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ЗАКОНЫ\РКП 23-25\"/>
    </mc:Choice>
  </mc:AlternateContent>
  <xr:revisionPtr revIDLastSave="0" documentId="13_ncr:1_{8DBECF74-EE58-4959-9752-81CC37A5299E}" xr6:coauthVersionLast="45" xr6:coauthVersionMax="45" xr10:uidLastSave="{00000000-0000-0000-0000-000000000000}"/>
  <bookViews>
    <workbookView xWindow="-120" yWindow="-120" windowWidth="29040" windowHeight="15840" firstSheet="4" activeTab="5" xr2:uid="{00000000-000D-0000-FFFF-FFFF00000000}"/>
  </bookViews>
  <sheets>
    <sheet name="часть 1" sheetId="1" state="hidden" r:id="rId1"/>
    <sheet name="часть 2" sheetId="2" state="hidden" r:id="rId2"/>
    <sheet name="часть 3" sheetId="3" state="hidden" r:id="rId3"/>
    <sheet name="№ п-п" sheetId="4" state="hidden" r:id="rId4"/>
    <sheet name="2-38" sheetId="5" r:id="rId5"/>
    <sheet name="39-66" sheetId="6" r:id="rId6"/>
    <sheet name="67-73" sheetId="7" r:id="rId7"/>
  </sheets>
  <externalReferences>
    <externalReference r:id="rId8"/>
  </externalReferences>
  <definedNames>
    <definedName name="_xlnm._FilterDatabase" localSheetId="4" hidden="1">'2-38'!$A$12:$S$1058</definedName>
    <definedName name="_xlnm._FilterDatabase" localSheetId="5" hidden="1">'39-66'!$A$7:$AA$1034</definedName>
    <definedName name="_xlnm._FilterDatabase" localSheetId="6" hidden="1">'67-73'!$A$5:$F$206</definedName>
    <definedName name="_xlnm._FilterDatabase" localSheetId="0" hidden="1">'часть 1'!$A$14:$BJ$580</definedName>
    <definedName name="_xlnm._FilterDatabase" localSheetId="1" hidden="1">'часть 2'!$A$6:$BA$560</definedName>
    <definedName name="_xlnm._FilterDatabase" localSheetId="2" hidden="1">'часть 3'!$A$5:$P$104</definedName>
    <definedName name="Z_05E5B781_F71B_4B1D_8903_6B19B14E5AF9_.wvu.FilterData" localSheetId="5" hidden="1">'39-66'!$A$7:$AA$639</definedName>
    <definedName name="Z_0FC031E8_1679_436D_B7BC_C7548B561FDB_.wvu.FilterData" localSheetId="5" hidden="1">'39-66'!$A$7:$AA$686</definedName>
    <definedName name="Z_12421221_D7D1_498B_BCF5_8FFA481C8CE8_.wvu.FilterData" localSheetId="5" hidden="1">'39-66'!$A$7:$AA$639</definedName>
    <definedName name="Z_136D24AF_77E8_4B69_91ED_7B8ADE43DD87_.wvu.FilterData" localSheetId="5" hidden="1">'39-66'!$A$7:$AA$639</definedName>
    <definedName name="Z_144E5A37_1CF2_41F0_BEF8_CB5D4D392E2A_.wvu.Cols" localSheetId="5" hidden="1">'39-66'!#REF!</definedName>
    <definedName name="Z_144E5A37_1CF2_41F0_BEF8_CB5D4D392E2A_.wvu.Cols" localSheetId="1" hidden="1">'часть 2'!$V:$V</definedName>
    <definedName name="Z_144E5A37_1CF2_41F0_BEF8_CB5D4D392E2A_.wvu.FilterData" localSheetId="4" hidden="1">'2-38'!$A$12:$S$496</definedName>
    <definedName name="Z_144E5A37_1CF2_41F0_BEF8_CB5D4D392E2A_.wvu.FilterData" localSheetId="5" hidden="1">'39-66'!$A$7:$AA$639</definedName>
    <definedName name="Z_144E5A37_1CF2_41F0_BEF8_CB5D4D392E2A_.wvu.FilterData" localSheetId="6" hidden="1">'67-73'!$A$5:$F$142</definedName>
    <definedName name="Z_144E5A37_1CF2_41F0_BEF8_CB5D4D392E2A_.wvu.FilterData" localSheetId="0" hidden="1">'часть 1'!$A$14:$BJ$580</definedName>
    <definedName name="Z_144E5A37_1CF2_41F0_BEF8_CB5D4D392E2A_.wvu.FilterData" localSheetId="1" hidden="1">'часть 2'!$A$6:$BA$560</definedName>
    <definedName name="Z_144E5A37_1CF2_41F0_BEF8_CB5D4D392E2A_.wvu.FilterData" localSheetId="2" hidden="1">'часть 3'!$A$5:$P$104</definedName>
    <definedName name="Z_144E5A37_1CF2_41F0_BEF8_CB5D4D392E2A_.wvu.PrintArea" localSheetId="4" hidden="1">'2-38'!$A$1:$S$496</definedName>
    <definedName name="Z_144E5A37_1CF2_41F0_BEF8_CB5D4D392E2A_.wvu.PrintArea" localSheetId="5" hidden="1">'39-66'!$A$1:$AA$1038</definedName>
    <definedName name="Z_144E5A37_1CF2_41F0_BEF8_CB5D4D392E2A_.wvu.PrintArea" localSheetId="6" hidden="1">'67-73'!$A$1:$F$142</definedName>
    <definedName name="Z_144E5A37_1CF2_41F0_BEF8_CB5D4D392E2A_.wvu.PrintTitles" localSheetId="4" hidden="1">'2-38'!$12:$12</definedName>
    <definedName name="Z_144E5A37_1CF2_41F0_BEF8_CB5D4D392E2A_.wvu.PrintTitles" localSheetId="5" hidden="1">'39-66'!$7:$7</definedName>
    <definedName name="Z_144E5A37_1CF2_41F0_BEF8_CB5D4D392E2A_.wvu.PrintTitles" localSheetId="6" hidden="1">'67-73'!$5:$5</definedName>
    <definedName name="Z_144E5A37_1CF2_41F0_BEF8_CB5D4D392E2A_.wvu.PrintTitles" localSheetId="0" hidden="1">'часть 1'!$15:$15</definedName>
    <definedName name="Z_144E5A37_1CF2_41F0_BEF8_CB5D4D392E2A_.wvu.PrintTitles" localSheetId="1" hidden="1">'часть 2'!$6:$6</definedName>
    <definedName name="Z_144E5A37_1CF2_41F0_BEF8_CB5D4D392E2A_.wvu.PrintTitles" localSheetId="2" hidden="1">'часть 3'!$5:$5</definedName>
    <definedName name="Z_144E5A37_1CF2_41F0_BEF8_CB5D4D392E2A_.wvu.Rows" localSheetId="3" hidden="1">'№ п-п'!$14:$15,'№ п-п'!$18:$19</definedName>
    <definedName name="Z_152DE27B_16E0_4C3F_B8C9_77C51C4FE919_.wvu.FilterData" localSheetId="5" hidden="1">'39-66'!$A$7:$AA$639</definedName>
    <definedName name="Z_29A3D4D6_A1CD_4D52_8401_A6487748845B_.wvu.FilterData" localSheetId="5" hidden="1">'39-66'!$A$7:$AA$639</definedName>
    <definedName name="Z_3BFD9ADE_D6DD_43B4_9811_8F791DD4CCB0_.wvu.FilterData" localSheetId="5" hidden="1">'39-66'!$A$7:$AA$639</definedName>
    <definedName name="Z_3F6E8ED0_3B45_404D_802F_187FEB96400E_.wvu.FilterData" localSheetId="5" hidden="1">'39-66'!$A$7:$AA$639</definedName>
    <definedName name="Z_40F34145_9305_4878_B22D_6D9AD8EA3B52_.wvu.FilterData" localSheetId="5" hidden="1">'39-66'!$A$7:$AA$639</definedName>
    <definedName name="Z_41475477_4189_43D3_81B6_CE8A040E00A7_.wvu.FilterData" localSheetId="5" hidden="1">'39-66'!$A$7:$AA$639</definedName>
    <definedName name="Z_41536B0E_9695_4461_B8DF_5941B174BA4D_.wvu.FilterData" localSheetId="5" hidden="1">'39-66'!$A$7:$AA$639</definedName>
    <definedName name="Z_474A6E90_1050_4B84_8489_0B2670AB677B_.wvu.FilterData" localSheetId="5" hidden="1">'39-66'!$A$7:$AA$639</definedName>
    <definedName name="Z_4C44C113_DA02_468D_99C5_83FA6693F42F_.wvu.Cols" localSheetId="1" hidden="1">'часть 2'!$V:$V</definedName>
    <definedName name="Z_4C44C113_DA02_468D_99C5_83FA6693F42F_.wvu.FilterData" localSheetId="4" hidden="1">'2-38'!$A$12:$S$496</definedName>
    <definedName name="Z_4C44C113_DA02_468D_99C5_83FA6693F42F_.wvu.FilterData" localSheetId="5" hidden="1">'39-66'!$A$7:$AA$639</definedName>
    <definedName name="Z_4C44C113_DA02_468D_99C5_83FA6693F42F_.wvu.FilterData" localSheetId="6" hidden="1">'67-73'!$A$5:$F$142</definedName>
    <definedName name="Z_4C44C113_DA02_468D_99C5_83FA6693F42F_.wvu.FilterData" localSheetId="0" hidden="1">'часть 1'!$A$14:$BJ$580</definedName>
    <definedName name="Z_4C44C113_DA02_468D_99C5_83FA6693F42F_.wvu.FilterData" localSheetId="1" hidden="1">'часть 2'!$A$6:$BA$560</definedName>
    <definedName name="Z_4C44C113_DA02_468D_99C5_83FA6693F42F_.wvu.FilterData" localSheetId="2" hidden="1">'часть 3'!$A$5:$P$104</definedName>
    <definedName name="Z_4C44C113_DA02_468D_99C5_83FA6693F42F_.wvu.PrintArea" localSheetId="4" hidden="1">'2-38'!$A$1:$S$496</definedName>
    <definedName name="Z_4C44C113_DA02_468D_99C5_83FA6693F42F_.wvu.PrintArea" localSheetId="5" hidden="1">'39-66'!$A$1:$AA$1035</definedName>
    <definedName name="Z_4C44C113_DA02_468D_99C5_83FA6693F42F_.wvu.PrintArea" localSheetId="6" hidden="1">'67-73'!$A$1:$F$142</definedName>
    <definedName name="Z_4C44C113_DA02_468D_99C5_83FA6693F42F_.wvu.PrintTitles" localSheetId="4" hidden="1">'2-38'!$12:$12</definedName>
    <definedName name="Z_4C44C113_DA02_468D_99C5_83FA6693F42F_.wvu.PrintTitles" localSheetId="5" hidden="1">'39-66'!$7:$7</definedName>
    <definedName name="Z_4C44C113_DA02_468D_99C5_83FA6693F42F_.wvu.PrintTitles" localSheetId="6" hidden="1">'67-73'!$5:$5</definedName>
    <definedName name="Z_4C44C113_DA02_468D_99C5_83FA6693F42F_.wvu.PrintTitles" localSheetId="0" hidden="1">'часть 1'!$15:$15</definedName>
    <definedName name="Z_4C44C113_DA02_468D_99C5_83FA6693F42F_.wvu.PrintTitles" localSheetId="1" hidden="1">'часть 2'!$6:$6</definedName>
    <definedName name="Z_4C44C113_DA02_468D_99C5_83FA6693F42F_.wvu.PrintTitles" localSheetId="2" hidden="1">'часть 3'!$5:$5</definedName>
    <definedName name="Z_4C44C113_DA02_468D_99C5_83FA6693F42F_.wvu.Rows" localSheetId="3" hidden="1">'№ п-п'!$14:$15,'№ п-п'!$18:$19</definedName>
    <definedName name="Z_4E314135_0949_4D37_900C_1E7395131096_.wvu.FilterData" localSheetId="5" hidden="1">'39-66'!$A$7:$AA$639</definedName>
    <definedName name="Z_4F82539F_839D_4A54_B506_2AAEC10295D9_.wvu.FilterData" localSheetId="5" hidden="1">'39-66'!$A$7:$AA$639</definedName>
    <definedName name="Z_5003B0C5_6416_446E_8CFF_5AFE12963873_.wvu.FilterData" localSheetId="5" hidden="1">'39-66'!$A$7:$AA$639</definedName>
    <definedName name="Z_570403C4_1D93_4175_B4D8_BD47D46CE99C_.wvu.Cols" localSheetId="5" hidden="1">'39-66'!#REF!</definedName>
    <definedName name="Z_570403C4_1D93_4175_B4D8_BD47D46CE99C_.wvu.Cols" localSheetId="1" hidden="1">'часть 2'!$V:$V</definedName>
    <definedName name="Z_570403C4_1D93_4175_B4D8_BD47D46CE99C_.wvu.FilterData" localSheetId="4" hidden="1">'2-38'!$A$12:$S$496</definedName>
    <definedName name="Z_570403C4_1D93_4175_B4D8_BD47D46CE99C_.wvu.FilterData" localSheetId="5" hidden="1">'39-66'!$A$7:$AA$639</definedName>
    <definedName name="Z_570403C4_1D93_4175_B4D8_BD47D46CE99C_.wvu.FilterData" localSheetId="6" hidden="1">'67-73'!$A$5:$F$142</definedName>
    <definedName name="Z_570403C4_1D93_4175_B4D8_BD47D46CE99C_.wvu.FilterData" localSheetId="0" hidden="1">'часть 1'!$A$14:$BJ$580</definedName>
    <definedName name="Z_570403C4_1D93_4175_B4D8_BD47D46CE99C_.wvu.FilterData" localSheetId="1" hidden="1">'часть 2'!$A$6:$BA$560</definedName>
    <definedName name="Z_570403C4_1D93_4175_B4D8_BD47D46CE99C_.wvu.FilterData" localSheetId="2" hidden="1">'часть 3'!$A$5:$P$104</definedName>
    <definedName name="Z_570403C4_1D93_4175_B4D8_BD47D46CE99C_.wvu.PrintArea" localSheetId="4" hidden="1">'2-38'!$A$1:$S$496</definedName>
    <definedName name="Z_570403C4_1D93_4175_B4D8_BD47D46CE99C_.wvu.PrintArea" localSheetId="5" hidden="1">'39-66'!$A$1:$AA$1038</definedName>
    <definedName name="Z_570403C4_1D93_4175_B4D8_BD47D46CE99C_.wvu.PrintArea" localSheetId="6" hidden="1">'67-73'!$A$1:$F$142</definedName>
    <definedName name="Z_570403C4_1D93_4175_B4D8_BD47D46CE99C_.wvu.PrintTitles" localSheetId="4" hidden="1">'2-38'!$12:$12</definedName>
    <definedName name="Z_570403C4_1D93_4175_B4D8_BD47D46CE99C_.wvu.PrintTitles" localSheetId="5" hidden="1">'39-66'!$7:$7</definedName>
    <definedName name="Z_570403C4_1D93_4175_B4D8_BD47D46CE99C_.wvu.PrintTitles" localSheetId="6" hidden="1">'67-73'!$5:$5</definedName>
    <definedName name="Z_570403C4_1D93_4175_B4D8_BD47D46CE99C_.wvu.PrintTitles" localSheetId="0" hidden="1">'часть 1'!$15:$15</definedName>
    <definedName name="Z_570403C4_1D93_4175_B4D8_BD47D46CE99C_.wvu.PrintTitles" localSheetId="1" hidden="1">'часть 2'!$6:$6</definedName>
    <definedName name="Z_570403C4_1D93_4175_B4D8_BD47D46CE99C_.wvu.PrintTitles" localSheetId="2" hidden="1">'часть 3'!$5:$5</definedName>
    <definedName name="Z_570403C4_1D93_4175_B4D8_BD47D46CE99C_.wvu.Rows" localSheetId="3" hidden="1">'№ п-п'!$14:$15,'№ п-п'!$18:$19</definedName>
    <definedName name="Z_57E5498B_E080_45F5_8B33_8D7188EC9C36_.wvu.FilterData" localSheetId="5" hidden="1">'39-66'!$A$7:$AA$639</definedName>
    <definedName name="Z_57F71C00_2F54_4A01_858D_34743D2725A9_.wvu.FilterData" localSheetId="5" hidden="1">'39-66'!$A$7:$AA$639</definedName>
    <definedName name="Z_5847BC76_9FD4_4C7D_BA05_675BE6D87382_.wvu.FilterData" localSheetId="5" hidden="1">'39-66'!$A$7:$AA$639</definedName>
    <definedName name="Z_5B35D3E7_D7A9_42F2_9D25_9CB666EA5110_.wvu.FilterData" localSheetId="5" hidden="1">'39-66'!$A$7:$AA$639</definedName>
    <definedName name="Z_5C3921B2_19C7_44DE_BD2B_2B0DD7BBFD35_.wvu.FilterData" localSheetId="5" hidden="1">'39-66'!$A$7:$AA$639</definedName>
    <definedName name="Z_5E9903E7_AB69_4D86_B57D_DF5ACEB8B791_.wvu.FilterData" localSheetId="5" hidden="1">'39-66'!$A$7:$AA$639</definedName>
    <definedName name="Z_60B34441_F0B1_49F8_8EDF_70278298107D_.wvu.FilterData" localSheetId="5" hidden="1">'39-66'!$A$7:$AA$639</definedName>
    <definedName name="Z_66F56527_BC57_49BC_8DAF_8747E0C93E75_.wvu.FilterData" localSheetId="5" hidden="1">'39-66'!$A$7:$AA$639</definedName>
    <definedName name="Z_6A833A2A_4156_48C4_9847_29978B4540DB_.wvu.FilterData" localSheetId="5" hidden="1">'39-66'!$A$7:$AA$639</definedName>
    <definedName name="Z_6BE86631_6F83_428E_A6F1_69EDF5D6BF4E_.wvu.FilterData" localSheetId="5" hidden="1">'39-66'!$A$7:$AA$639</definedName>
    <definedName name="Z_6EFFC362_96FF_4993_8ED7_69B790607D5D_.wvu.FilterData" localSheetId="5" hidden="1">'39-66'!$A$7:$AA$639</definedName>
    <definedName name="Z_705C1A0A_F1DB_4399_B406_DF1688937ED4_.wvu.FilterData" localSheetId="5" hidden="1">'39-66'!$A$7:$AA$639</definedName>
    <definedName name="Z_7096DD8D_E6EF_458D_9D55_386757A5C7CA_.wvu.FilterData" localSheetId="5" hidden="1">'39-66'!$A$7:$AA$639</definedName>
    <definedName name="Z_717C4A49_7194_40C2_88DE_D85370C22ADE_.wvu.FilterData" localSheetId="5" hidden="1">'39-66'!$A$7:$AA$639</definedName>
    <definedName name="Z_725685D9_D1CC_423B_8423_BB84CCB20813_.wvu.FilterData" localSheetId="5" hidden="1">'39-66'!$A$7:$AA$639</definedName>
    <definedName name="Z_747A43E6_2B52_44FC_9C52_FA1A962072AC_.wvu.FilterData" localSheetId="5" hidden="1">'39-66'!$A$7:$AA$639</definedName>
    <definedName name="Z_767D42A1_BC47_4717_AEA3_8B4CF63CB35B_.wvu.FilterData" localSheetId="5" hidden="1">'39-66'!$A$7:$AA$639</definedName>
    <definedName name="Z_7A5DD78D_CBB3_4B9E_BE2C_65A8DA97DE43_.wvu.FilterData" localSheetId="5" hidden="1">'39-66'!$A$7:$AA$639</definedName>
    <definedName name="Z_7A75CCE7_0E84_47E6_A162_5AC0354F2967_.wvu.Cols" localSheetId="5" hidden="1">'39-66'!#REF!</definedName>
    <definedName name="Z_7A75CCE7_0E84_47E6_A162_5AC0354F2967_.wvu.Cols" localSheetId="1" hidden="1">'часть 2'!$V:$V</definedName>
    <definedName name="Z_7A75CCE7_0E84_47E6_A162_5AC0354F2967_.wvu.FilterData" localSheetId="4" hidden="1">'2-38'!$A$12:$S$496</definedName>
    <definedName name="Z_7A75CCE7_0E84_47E6_A162_5AC0354F2967_.wvu.FilterData" localSheetId="5" hidden="1">'39-66'!$A$7:$AA$639</definedName>
    <definedName name="Z_7A75CCE7_0E84_47E6_A162_5AC0354F2967_.wvu.FilterData" localSheetId="6" hidden="1">'67-73'!$A$5:$F$142</definedName>
    <definedName name="Z_7A75CCE7_0E84_47E6_A162_5AC0354F2967_.wvu.FilterData" localSheetId="0" hidden="1">'часть 1'!$A$14:$BJ$580</definedName>
    <definedName name="Z_7A75CCE7_0E84_47E6_A162_5AC0354F2967_.wvu.FilterData" localSheetId="1" hidden="1">'часть 2'!$A$6:$BA$560</definedName>
    <definedName name="Z_7A75CCE7_0E84_47E6_A162_5AC0354F2967_.wvu.FilterData" localSheetId="2" hidden="1">'часть 3'!$A$5:$P$104</definedName>
    <definedName name="Z_7A75CCE7_0E84_47E6_A162_5AC0354F2967_.wvu.PrintArea" localSheetId="4" hidden="1">'2-38'!$A$1:$S$496</definedName>
    <definedName name="Z_7A75CCE7_0E84_47E6_A162_5AC0354F2967_.wvu.PrintArea" localSheetId="5" hidden="1">'39-66'!$A$1:$AA$1038</definedName>
    <definedName name="Z_7A75CCE7_0E84_47E6_A162_5AC0354F2967_.wvu.PrintArea" localSheetId="6" hidden="1">'67-73'!$A$1:$F$142</definedName>
    <definedName name="Z_7A75CCE7_0E84_47E6_A162_5AC0354F2967_.wvu.PrintTitles" localSheetId="4" hidden="1">'2-38'!$12:$12</definedName>
    <definedName name="Z_7A75CCE7_0E84_47E6_A162_5AC0354F2967_.wvu.PrintTitles" localSheetId="5" hidden="1">'39-66'!$7:$7</definedName>
    <definedName name="Z_7A75CCE7_0E84_47E6_A162_5AC0354F2967_.wvu.PrintTitles" localSheetId="6" hidden="1">'67-73'!$5:$5</definedName>
    <definedName name="Z_7A75CCE7_0E84_47E6_A162_5AC0354F2967_.wvu.PrintTitles" localSheetId="0" hidden="1">'часть 1'!$15:$15</definedName>
    <definedName name="Z_7A75CCE7_0E84_47E6_A162_5AC0354F2967_.wvu.PrintTitles" localSheetId="1" hidden="1">'часть 2'!$6:$6</definedName>
    <definedName name="Z_7A75CCE7_0E84_47E6_A162_5AC0354F2967_.wvu.PrintTitles" localSheetId="2" hidden="1">'часть 3'!$5:$5</definedName>
    <definedName name="Z_7A75CCE7_0E84_47E6_A162_5AC0354F2967_.wvu.Rows" localSheetId="3" hidden="1">'№ п-п'!$14:$15,'№ п-п'!$18:$19</definedName>
    <definedName name="Z_7DB3C1B3_F279_4BAA_A54C_7231163D6141_.wvu.FilterData" localSheetId="5" hidden="1">'39-66'!$A$7:$AA$639</definedName>
    <definedName name="Z_7F800B45_1B12_4FD8_BF8D_2D665F317240_.wvu.FilterData" localSheetId="5" hidden="1">'39-66'!$A$7:$AA$639</definedName>
    <definedName name="Z_8003C97D_E897_4AB5_8D11_A4AEEE9ACC85_.wvu.FilterData" localSheetId="5" hidden="1">'39-66'!$A$7:$AA$639</definedName>
    <definedName name="Z_8725054F_4167_4A91_9037_6D07CCC5DB03_.wvu.FilterData" localSheetId="5" hidden="1">'39-66'!$A$7:$AA$639</definedName>
    <definedName name="Z_880B7681_C748_4196_8E88_8ACA1B88DBF9_.wvu.FilterData" localSheetId="5" hidden="1">'39-66'!$A$7:$AA$639</definedName>
    <definedName name="Z_88902188_D5DE_44B0_AD71_31B250B07E2B_.wvu.FilterData" localSheetId="5" hidden="1">'39-66'!$A$7:$AA$639</definedName>
    <definedName name="Z_8F571991_ED81_4C65_B263_7535CEC7008C_.wvu.FilterData" localSheetId="5" hidden="1">'39-66'!$A$7:$AA$639</definedName>
    <definedName name="Z_971AA6D5_B469_4A54_816C_1252CCB6D265_.wvu.Cols" localSheetId="1" hidden="1">'часть 2'!$V:$V</definedName>
    <definedName name="Z_971AA6D5_B469_4A54_816C_1252CCB6D265_.wvu.FilterData" localSheetId="4" hidden="1">'2-38'!$A$12:$S$1050</definedName>
    <definedName name="Z_971AA6D5_B469_4A54_816C_1252CCB6D265_.wvu.FilterData" localSheetId="5" hidden="1">'39-66'!$A$7:$AA$639</definedName>
    <definedName name="Z_971AA6D5_B469_4A54_816C_1252CCB6D265_.wvu.FilterData" localSheetId="6" hidden="1">'67-73'!$A$5:$F$142</definedName>
    <definedName name="Z_971AA6D5_B469_4A54_816C_1252CCB6D265_.wvu.FilterData" localSheetId="0" hidden="1">'часть 1'!$A$14:$BJ$580</definedName>
    <definedName name="Z_971AA6D5_B469_4A54_816C_1252CCB6D265_.wvu.FilterData" localSheetId="1" hidden="1">'часть 2'!$A$6:$BA$560</definedName>
    <definedName name="Z_971AA6D5_B469_4A54_816C_1252CCB6D265_.wvu.FilterData" localSheetId="2" hidden="1">'часть 3'!$A$5:$P$104</definedName>
    <definedName name="Z_971AA6D5_B469_4A54_816C_1252CCB6D265_.wvu.PrintArea" localSheetId="4" hidden="1">'2-38'!$A$1:$S$1050</definedName>
    <definedName name="Z_971AA6D5_B469_4A54_816C_1252CCB6D265_.wvu.PrintArea" localSheetId="5" hidden="1">'39-66'!$A$1:$AA$1038</definedName>
    <definedName name="Z_971AA6D5_B469_4A54_816C_1252CCB6D265_.wvu.PrintArea" localSheetId="6" hidden="1">'67-73'!$A$1:$F$206</definedName>
    <definedName name="Z_971AA6D5_B469_4A54_816C_1252CCB6D265_.wvu.PrintTitles" localSheetId="4" hidden="1">'2-38'!$12:$12</definedName>
    <definedName name="Z_971AA6D5_B469_4A54_816C_1252CCB6D265_.wvu.PrintTitles" localSheetId="5" hidden="1">'39-66'!$7:$7</definedName>
    <definedName name="Z_971AA6D5_B469_4A54_816C_1252CCB6D265_.wvu.PrintTitles" localSheetId="6" hidden="1">'67-73'!$5:$5</definedName>
    <definedName name="Z_971AA6D5_B469_4A54_816C_1252CCB6D265_.wvu.PrintTitles" localSheetId="0" hidden="1">'часть 1'!$15:$15</definedName>
    <definedName name="Z_971AA6D5_B469_4A54_816C_1252CCB6D265_.wvu.PrintTitles" localSheetId="1" hidden="1">'часть 2'!$6:$6</definedName>
    <definedName name="Z_971AA6D5_B469_4A54_816C_1252CCB6D265_.wvu.PrintTitles" localSheetId="2" hidden="1">'часть 3'!$5:$5</definedName>
    <definedName name="Z_971AA6D5_B469_4A54_816C_1252CCB6D265_.wvu.Rows" localSheetId="3" hidden="1">'№ п-п'!$14:$15,'№ п-п'!$18:$19</definedName>
    <definedName name="Z_98E5B6B6_C64F_4325_ABDA_82FFCFC21AC2_.wvu.FilterData" localSheetId="5" hidden="1">'39-66'!$A$7:$AA$639</definedName>
    <definedName name="Z_A28C0ADC_4E0C_4A0A_ACB1_DA409183476D_.wvu.Cols" localSheetId="5" hidden="1">'39-66'!#REF!</definedName>
    <definedName name="Z_A28C0ADC_4E0C_4A0A_ACB1_DA409183476D_.wvu.Cols" localSheetId="1" hidden="1">'часть 2'!$V:$V</definedName>
    <definedName name="Z_A28C0ADC_4E0C_4A0A_ACB1_DA409183476D_.wvu.FilterData" localSheetId="4" hidden="1">'2-38'!$A$12:$S$496</definedName>
    <definedName name="Z_A28C0ADC_4E0C_4A0A_ACB1_DA409183476D_.wvu.FilterData" localSheetId="5" hidden="1">'39-66'!$A$7:$AA$639</definedName>
    <definedName name="Z_A28C0ADC_4E0C_4A0A_ACB1_DA409183476D_.wvu.FilterData" localSheetId="6" hidden="1">'67-73'!$A$5:$F$142</definedName>
    <definedName name="Z_A28C0ADC_4E0C_4A0A_ACB1_DA409183476D_.wvu.FilterData" localSheetId="0" hidden="1">'часть 1'!$A$14:$BJ$580</definedName>
    <definedName name="Z_A28C0ADC_4E0C_4A0A_ACB1_DA409183476D_.wvu.FilterData" localSheetId="1" hidden="1">'часть 2'!$A$6:$BA$560</definedName>
    <definedName name="Z_A28C0ADC_4E0C_4A0A_ACB1_DA409183476D_.wvu.FilterData" localSheetId="2" hidden="1">'часть 3'!$A$5:$P$104</definedName>
    <definedName name="Z_A28C0ADC_4E0C_4A0A_ACB1_DA409183476D_.wvu.PrintArea" localSheetId="4" hidden="1">'2-38'!$A$1:$S$496</definedName>
    <definedName name="Z_A28C0ADC_4E0C_4A0A_ACB1_DA409183476D_.wvu.PrintArea" localSheetId="5" hidden="1">'39-66'!$A$1:$AA$1038</definedName>
    <definedName name="Z_A28C0ADC_4E0C_4A0A_ACB1_DA409183476D_.wvu.PrintArea" localSheetId="6" hidden="1">'67-73'!$A$1:$F$142</definedName>
    <definedName name="Z_A28C0ADC_4E0C_4A0A_ACB1_DA409183476D_.wvu.PrintTitles" localSheetId="4" hidden="1">'2-38'!$12:$12</definedName>
    <definedName name="Z_A28C0ADC_4E0C_4A0A_ACB1_DA409183476D_.wvu.PrintTitles" localSheetId="5" hidden="1">'39-66'!$7:$7</definedName>
    <definedName name="Z_A28C0ADC_4E0C_4A0A_ACB1_DA409183476D_.wvu.PrintTitles" localSheetId="6" hidden="1">'67-73'!$5:$5</definedName>
    <definedName name="Z_A28C0ADC_4E0C_4A0A_ACB1_DA409183476D_.wvu.PrintTitles" localSheetId="0" hidden="1">'часть 1'!$15:$15</definedName>
    <definedName name="Z_A28C0ADC_4E0C_4A0A_ACB1_DA409183476D_.wvu.PrintTitles" localSheetId="1" hidden="1">'часть 2'!$6:$6</definedName>
    <definedName name="Z_A28C0ADC_4E0C_4A0A_ACB1_DA409183476D_.wvu.PrintTitles" localSheetId="2" hidden="1">'часть 3'!$5:$5</definedName>
    <definedName name="Z_A28C0ADC_4E0C_4A0A_ACB1_DA409183476D_.wvu.Rows" localSheetId="3" hidden="1">'№ п-п'!$14:$15,'№ п-п'!$18:$19</definedName>
    <definedName name="Z_A321FB79_B059_4A00_B85D_60ECC401FE5D_.wvu.FilterData" localSheetId="5" hidden="1">'39-66'!$A$7:$AA$639</definedName>
    <definedName name="Z_A5A38057_2A4E_4929_BCC1_C6D8896DA4F6_.wvu.FilterData" localSheetId="5" hidden="1">'39-66'!$A$7:$AA$639</definedName>
    <definedName name="Z_A6187BD3_0BA4_497C_8924_4FA3D77530F0_.wvu.Cols" localSheetId="5" hidden="1">'39-66'!#REF!</definedName>
    <definedName name="Z_A6187BD3_0BA4_497C_8924_4FA3D77530F0_.wvu.Cols" localSheetId="1" hidden="1">'часть 2'!$V:$V</definedName>
    <definedName name="Z_A6187BD3_0BA4_497C_8924_4FA3D77530F0_.wvu.FilterData" localSheetId="4" hidden="1">'2-38'!$A$12:$S$496</definedName>
    <definedName name="Z_A6187BD3_0BA4_497C_8924_4FA3D77530F0_.wvu.FilterData" localSheetId="5" hidden="1">'39-66'!$A$7:$AA$639</definedName>
    <definedName name="Z_A6187BD3_0BA4_497C_8924_4FA3D77530F0_.wvu.FilterData" localSheetId="6" hidden="1">'67-73'!$A$5:$F$142</definedName>
    <definedName name="Z_A6187BD3_0BA4_497C_8924_4FA3D77530F0_.wvu.FilterData" localSheetId="0" hidden="1">'часть 1'!$A$14:$BJ$580</definedName>
    <definedName name="Z_A6187BD3_0BA4_497C_8924_4FA3D77530F0_.wvu.FilterData" localSheetId="1" hidden="1">'часть 2'!$A$6:$BA$560</definedName>
    <definedName name="Z_A6187BD3_0BA4_497C_8924_4FA3D77530F0_.wvu.FilterData" localSheetId="2" hidden="1">'часть 3'!$A$5:$P$104</definedName>
    <definedName name="Z_A6187BD3_0BA4_497C_8924_4FA3D77530F0_.wvu.PrintArea" localSheetId="4" hidden="1">'2-38'!$A$1:$S$496</definedName>
    <definedName name="Z_A6187BD3_0BA4_497C_8924_4FA3D77530F0_.wvu.PrintArea" localSheetId="5" hidden="1">'39-66'!$A$1:$AA$1038</definedName>
    <definedName name="Z_A6187BD3_0BA4_497C_8924_4FA3D77530F0_.wvu.PrintArea" localSheetId="6" hidden="1">'67-73'!$A$1:$F$142</definedName>
    <definedName name="Z_A6187BD3_0BA4_497C_8924_4FA3D77530F0_.wvu.PrintTitles" localSheetId="4" hidden="1">'2-38'!$12:$12</definedName>
    <definedName name="Z_A6187BD3_0BA4_497C_8924_4FA3D77530F0_.wvu.PrintTitles" localSheetId="5" hidden="1">'39-66'!$7:$7</definedName>
    <definedName name="Z_A6187BD3_0BA4_497C_8924_4FA3D77530F0_.wvu.PrintTitles" localSheetId="6" hidden="1">'67-73'!$5:$5</definedName>
    <definedName name="Z_A6187BD3_0BA4_497C_8924_4FA3D77530F0_.wvu.PrintTitles" localSheetId="0" hidden="1">'часть 1'!$15:$15</definedName>
    <definedName name="Z_A6187BD3_0BA4_497C_8924_4FA3D77530F0_.wvu.PrintTitles" localSheetId="1" hidden="1">'часть 2'!$6:$6</definedName>
    <definedName name="Z_A6187BD3_0BA4_497C_8924_4FA3D77530F0_.wvu.PrintTitles" localSheetId="2" hidden="1">'часть 3'!$5:$5</definedName>
    <definedName name="Z_A6187BD3_0BA4_497C_8924_4FA3D77530F0_.wvu.Rows" localSheetId="3" hidden="1">'№ п-п'!$14:$15,'№ п-п'!$18:$19</definedName>
    <definedName name="Z_A83D7B2F_20B3_494F_BA63_C650B73EF160_.wvu.FilterData" localSheetId="5" hidden="1">'39-66'!$A$7:$AA$639</definedName>
    <definedName name="Z_AEB6E9DA_56F5_4213_892E_4F0DA44787BD_.wvu.FilterData" localSheetId="5" hidden="1">'39-66'!$A$7:$AA$639</definedName>
    <definedName name="Z_B1841E62_04AF_4786_8B2B_B1F42C88E6D1_.wvu.Cols" localSheetId="5" hidden="1">'39-66'!#REF!</definedName>
    <definedName name="Z_B1841E62_04AF_4786_8B2B_B1F42C88E6D1_.wvu.Cols" localSheetId="1" hidden="1">'часть 2'!$V:$V</definedName>
    <definedName name="Z_B1841E62_04AF_4786_8B2B_B1F42C88E6D1_.wvu.FilterData" localSheetId="4" hidden="1">'2-38'!$A$12:$S$496</definedName>
    <definedName name="Z_B1841E62_04AF_4786_8B2B_B1F42C88E6D1_.wvu.FilterData" localSheetId="5" hidden="1">'39-66'!$A$7:$AA$686</definedName>
    <definedName name="Z_B1841E62_04AF_4786_8B2B_B1F42C88E6D1_.wvu.FilterData" localSheetId="6" hidden="1">'67-73'!$A$5:$F$142</definedName>
    <definedName name="Z_B1841E62_04AF_4786_8B2B_B1F42C88E6D1_.wvu.FilterData" localSheetId="0" hidden="1">'часть 1'!$A$14:$BJ$580</definedName>
    <definedName name="Z_B1841E62_04AF_4786_8B2B_B1F42C88E6D1_.wvu.FilterData" localSheetId="1" hidden="1">'часть 2'!$A$6:$BA$560</definedName>
    <definedName name="Z_B1841E62_04AF_4786_8B2B_B1F42C88E6D1_.wvu.FilterData" localSheetId="2" hidden="1">'часть 3'!$A$5:$P$104</definedName>
    <definedName name="Z_B1841E62_04AF_4786_8B2B_B1F42C88E6D1_.wvu.PrintArea" localSheetId="4" hidden="1">'2-38'!$A$1:$S$496</definedName>
    <definedName name="Z_B1841E62_04AF_4786_8B2B_B1F42C88E6D1_.wvu.PrintArea" localSheetId="5" hidden="1">'39-66'!$A$1:$AA$1038</definedName>
    <definedName name="Z_B1841E62_04AF_4786_8B2B_B1F42C88E6D1_.wvu.PrintArea" localSheetId="6" hidden="1">'67-73'!$A$1:$F$142</definedName>
    <definedName name="Z_B1841E62_04AF_4786_8B2B_B1F42C88E6D1_.wvu.PrintTitles" localSheetId="4" hidden="1">'2-38'!$12:$12</definedName>
    <definedName name="Z_B1841E62_04AF_4786_8B2B_B1F42C88E6D1_.wvu.PrintTitles" localSheetId="5" hidden="1">'39-66'!$7:$7</definedName>
    <definedName name="Z_B1841E62_04AF_4786_8B2B_B1F42C88E6D1_.wvu.PrintTitles" localSheetId="6" hidden="1">'67-73'!$5:$5</definedName>
    <definedName name="Z_B1841E62_04AF_4786_8B2B_B1F42C88E6D1_.wvu.PrintTitles" localSheetId="0" hidden="1">'часть 1'!$15:$15</definedName>
    <definedName name="Z_B1841E62_04AF_4786_8B2B_B1F42C88E6D1_.wvu.PrintTitles" localSheetId="1" hidden="1">'часть 2'!$6:$6</definedName>
    <definedName name="Z_B1841E62_04AF_4786_8B2B_B1F42C88E6D1_.wvu.PrintTitles" localSheetId="2" hidden="1">'часть 3'!$5:$5</definedName>
    <definedName name="Z_B1841E62_04AF_4786_8B2B_B1F42C88E6D1_.wvu.Rows" localSheetId="3" hidden="1">'№ п-п'!$14:$15,'№ п-п'!$18:$19</definedName>
    <definedName name="Z_B2668406_A9E2_483C_9038_D3C53C3852B3_.wvu.FilterData" localSheetId="5" hidden="1">'39-66'!$A$7:$AA$639</definedName>
    <definedName name="Z_B9D0663C_63A0_401E_8ED1_60ADAC53D63A_.wvu.FilterData" localSheetId="5" hidden="1">'39-66'!$A$7:$AA$639</definedName>
    <definedName name="Z_BE54D047_288E_45CA_A3E2_8781AC521EB8_.wvu.FilterData" localSheetId="5" hidden="1">'39-66'!$A$7:$AA$639</definedName>
    <definedName name="Z_C72DCB43_63A7_46C9_B5CB_74FA2E0CD927_.wvu.FilterData" localSheetId="5" hidden="1">'39-66'!$A$7:$AA$639</definedName>
    <definedName name="Z_C9E4AE6E_4CA1_437A_9BAB_2F53034C90C5_.wvu.FilterData" localSheetId="5" hidden="1">'39-66'!$A$7:$AA$639</definedName>
    <definedName name="Z_CA3D85C3_A842_43A2_B866_F2F869FB930B_.wvu.FilterData" localSheetId="5" hidden="1">'39-66'!$A$7:$AA$639</definedName>
    <definedName name="Z_CBDE6D18_7D23_43BD_BD9C_663C0222EB8D_.wvu.FilterData" localSheetId="5" hidden="1">'39-66'!$A$7:$AA$639</definedName>
    <definedName name="Z_CC8F1533_D9B3_46FE_AB28_4986DEF39657_.wvu.FilterData" localSheetId="5" hidden="1">'39-66'!$A$7:$AA$639</definedName>
    <definedName name="Z_D19BCD5F_28F7_42BE_B4AA_59F65CE5711C_.wvu.FilterData" localSheetId="5" hidden="1">'39-66'!$A$7:$AA$639</definedName>
    <definedName name="Z_D9C6FA05_E1FF_462A_9752_4AAF3C578DD9_.wvu.FilterData" localSheetId="5" hidden="1">'39-66'!$A$7:$AA$639</definedName>
    <definedName name="Z_DC88C499_913F_4D15_846E_E5B9D5E047D7_.wvu.Cols" localSheetId="1" hidden="1">'часть 2'!$V:$V</definedName>
    <definedName name="Z_DC88C499_913F_4D15_846E_E5B9D5E047D7_.wvu.FilterData" localSheetId="4" hidden="1">'2-38'!$A$12:$S$496</definedName>
    <definedName name="Z_DC88C499_913F_4D15_846E_E5B9D5E047D7_.wvu.FilterData" localSheetId="5" hidden="1">'39-66'!$A$7:$AA$639</definedName>
    <definedName name="Z_DC88C499_913F_4D15_846E_E5B9D5E047D7_.wvu.FilterData" localSheetId="6" hidden="1">'67-73'!$A$5:$F$142</definedName>
    <definedName name="Z_DC88C499_913F_4D15_846E_E5B9D5E047D7_.wvu.FilterData" localSheetId="0" hidden="1">'часть 1'!$A$14:$BJ$580</definedName>
    <definedName name="Z_DC88C499_913F_4D15_846E_E5B9D5E047D7_.wvu.FilterData" localSheetId="1" hidden="1">'часть 2'!$A$6:$BA$560</definedName>
    <definedName name="Z_DC88C499_913F_4D15_846E_E5B9D5E047D7_.wvu.FilterData" localSheetId="2" hidden="1">'часть 3'!$A$5:$P$104</definedName>
    <definedName name="Z_DC88C499_913F_4D15_846E_E5B9D5E047D7_.wvu.PrintArea" localSheetId="4" hidden="1">'2-38'!$A$1:$S$496</definedName>
    <definedName name="Z_DC88C499_913F_4D15_846E_E5B9D5E047D7_.wvu.PrintArea" localSheetId="5" hidden="1">'39-66'!$A$1:$AA$1038</definedName>
    <definedName name="Z_DC88C499_913F_4D15_846E_E5B9D5E047D7_.wvu.PrintArea" localSheetId="6" hidden="1">'67-73'!$A$1:$F$142</definedName>
    <definedName name="Z_DC88C499_913F_4D15_846E_E5B9D5E047D7_.wvu.PrintTitles" localSheetId="4" hidden="1">'2-38'!$12:$12</definedName>
    <definedName name="Z_DC88C499_913F_4D15_846E_E5B9D5E047D7_.wvu.PrintTitles" localSheetId="5" hidden="1">'39-66'!$7:$7</definedName>
    <definedName name="Z_DC88C499_913F_4D15_846E_E5B9D5E047D7_.wvu.PrintTitles" localSheetId="6" hidden="1">'67-73'!$5:$5</definedName>
    <definedName name="Z_DC88C499_913F_4D15_846E_E5B9D5E047D7_.wvu.PrintTitles" localSheetId="0" hidden="1">'часть 1'!$15:$15</definedName>
    <definedName name="Z_DC88C499_913F_4D15_846E_E5B9D5E047D7_.wvu.PrintTitles" localSheetId="1" hidden="1">'часть 2'!$6:$6</definedName>
    <definedName name="Z_DC88C499_913F_4D15_846E_E5B9D5E047D7_.wvu.PrintTitles" localSheetId="2" hidden="1">'часть 3'!$5:$5</definedName>
    <definedName name="Z_DC88C499_913F_4D15_846E_E5B9D5E047D7_.wvu.Rows" localSheetId="3" hidden="1">'№ п-п'!$14:$15,'№ п-п'!$18:$19</definedName>
    <definedName name="Z_DFE5B545_478C_4B86_847C_1FEE882C6F69_.wvu.Cols" localSheetId="1" hidden="1">'часть 2'!$V:$V</definedName>
    <definedName name="Z_DFE5B545_478C_4B86_847C_1FEE882C6F69_.wvu.FilterData" localSheetId="4" hidden="1">'2-38'!$A$12:$S$496</definedName>
    <definedName name="Z_DFE5B545_478C_4B86_847C_1FEE882C6F69_.wvu.FilterData" localSheetId="5" hidden="1">'39-66'!$A$7:$AA$639</definedName>
    <definedName name="Z_DFE5B545_478C_4B86_847C_1FEE882C6F69_.wvu.FilterData" localSheetId="6" hidden="1">'67-73'!$A$5:$F$142</definedName>
    <definedName name="Z_DFE5B545_478C_4B86_847C_1FEE882C6F69_.wvu.FilterData" localSheetId="0" hidden="1">'часть 1'!$A$14:$BJ$580</definedName>
    <definedName name="Z_DFE5B545_478C_4B86_847C_1FEE882C6F69_.wvu.FilterData" localSheetId="1" hidden="1">'часть 2'!$A$6:$BA$560</definedName>
    <definedName name="Z_DFE5B545_478C_4B86_847C_1FEE882C6F69_.wvu.FilterData" localSheetId="2" hidden="1">'часть 3'!$A$5:$P$104</definedName>
    <definedName name="Z_DFE5B545_478C_4B86_847C_1FEE882C6F69_.wvu.PrintArea" localSheetId="4" hidden="1">'2-38'!$A$1:$S$496</definedName>
    <definedName name="Z_DFE5B545_478C_4B86_847C_1FEE882C6F69_.wvu.PrintArea" localSheetId="5" hidden="1">'39-66'!$A$1:$AA$1037</definedName>
    <definedName name="Z_DFE5B545_478C_4B86_847C_1FEE882C6F69_.wvu.PrintArea" localSheetId="6" hidden="1">'67-73'!$A$1:$F$142</definedName>
    <definedName name="Z_DFE5B545_478C_4B86_847C_1FEE882C6F69_.wvu.PrintTitles" localSheetId="4" hidden="1">'2-38'!$12:$12</definedName>
    <definedName name="Z_DFE5B545_478C_4B86_847C_1FEE882C6F69_.wvu.PrintTitles" localSheetId="5" hidden="1">'39-66'!$7:$7</definedName>
    <definedName name="Z_DFE5B545_478C_4B86_847C_1FEE882C6F69_.wvu.PrintTitles" localSheetId="6" hidden="1">'67-73'!$5:$5</definedName>
    <definedName name="Z_DFE5B545_478C_4B86_847C_1FEE882C6F69_.wvu.PrintTitles" localSheetId="0" hidden="1">'часть 1'!$15:$15</definedName>
    <definedName name="Z_DFE5B545_478C_4B86_847C_1FEE882C6F69_.wvu.PrintTitles" localSheetId="1" hidden="1">'часть 2'!$6:$6</definedName>
    <definedName name="Z_DFE5B545_478C_4B86_847C_1FEE882C6F69_.wvu.PrintTitles" localSheetId="2" hidden="1">'часть 3'!$5:$5</definedName>
    <definedName name="Z_DFE5B545_478C_4B86_847C_1FEE882C6F69_.wvu.Rows" localSheetId="3" hidden="1">'№ п-п'!$14:$15,'№ п-п'!$18:$19</definedName>
    <definedName name="Z_E2335EEE_90CD_44B5_B44F_67D0A5B89BF0_.wvu.FilterData" localSheetId="5" hidden="1">'39-66'!$A$7:$AA$639</definedName>
    <definedName name="Z_EA8946CA_5107_46AB_B930_29C3BB414A14_.wvu.FilterData" localSheetId="5" hidden="1">'39-66'!$A$7:$AA$639</definedName>
    <definedName name="Z_EF79F93F_B59D_4442_BDF7_22471F71A66E_.wvu.FilterData" localSheetId="5" hidden="1">'39-66'!$A$7:$AA$639</definedName>
    <definedName name="Z_F61B5223_12DC_4DBE_9593_ED93F1AA70BA_.wvu.FilterData" localSheetId="5" hidden="1">'39-66'!$A$7:$AA$639</definedName>
    <definedName name="Z_F6AA583A_65C3_409D_9CF2_7CB42EE241BE_.wvu.FilterData" localSheetId="5" hidden="1">'39-66'!$A$7:$AA$639</definedName>
    <definedName name="Z_F77DA852_6232_407C_9ABA_011B3432E9E3_.wvu.FilterData" localSheetId="5" hidden="1">'39-66'!$A$7:$AA$639</definedName>
    <definedName name="Z_FCB9068D_0529_4C17_8705_03722B6A9E17_.wvu.FilterData" localSheetId="5" hidden="1">'39-66'!$A$7:$AA$639</definedName>
    <definedName name="Z_FCF4D91B_0F54_4F15_9842_76F9B75A11F5_.wvu.FilterData" localSheetId="5" hidden="1">'39-66'!$A$7:$AA$639</definedName>
    <definedName name="Z_FEE20D38_B3DC_4C0F_81BA_40B7A314A69A_.wvu.FilterData" localSheetId="5" hidden="1">'39-66'!$A$7:$AA$639</definedName>
    <definedName name="_xlnm.Print_Titles" localSheetId="4">'2-38'!$12:$12</definedName>
    <definedName name="_xlnm.Print_Titles" localSheetId="5">'39-66'!$7:$7</definedName>
    <definedName name="_xlnm.Print_Titles" localSheetId="6">'67-73'!$2:$5</definedName>
    <definedName name="_xlnm.Print_Titles" localSheetId="0">'часть 1'!$15:$15</definedName>
    <definedName name="_xlnm.Print_Titles" localSheetId="1">'часть 2'!$6:$6</definedName>
    <definedName name="_xlnm.Print_Titles" localSheetId="2">'часть 3'!$5:$5</definedName>
    <definedName name="_xlnm.Print_Area" localSheetId="4">'2-38'!$A$1:$S$1058</definedName>
    <definedName name="_xlnm.Print_Area" localSheetId="5">'39-66'!$A$1:$AA$1035</definedName>
    <definedName name="_xlnm.Print_Area" localSheetId="6">'67-73'!$A$1:$F$207</definedName>
    <definedName name="Перечень" localSheetId="0">#REF!</definedName>
    <definedName name="Перечень">#REF!</definedName>
    <definedName name="Перечень2" localSheetId="0">#REF!</definedName>
    <definedName name="Перечень2">#REF!</definedName>
    <definedName name="Перечень3" localSheetId="0">#REF!</definedName>
    <definedName name="Перечень3">#REF!</definedName>
    <definedName name="Перечень4">#REF!</definedName>
  </definedNames>
  <calcPr calcId="181029"/>
  <customWorkbookViews>
    <customWorkbookView name="Юлия Гуцева - Личное представление" guid="{DC88C499-913F-4D15-846E-E5B9D5E047D7}" mergeInterval="0" personalView="1" maximized="1" xWindow="-8" yWindow="-8" windowWidth="1616" windowHeight="876" activeSheetId="6"/>
    <customWorkbookView name="User18 - Личное представление" guid="{A6187BD3-0BA4-497C-8924-4FA3D77530F0}" mergeInterval="0" personalView="1" maximized="1" xWindow="-8" yWindow="-8" windowWidth="1616" windowHeight="876" activeSheetId="6"/>
    <customWorkbookView name="Михаил Шувалов - Личное представление" guid="{7A75CCE7-0E84-47E6-A162-5AC0354F2967}" mergeInterval="0" personalView="1" maximized="1" xWindow="-8" yWindow="-8" windowWidth="1616" windowHeight="886" activeSheetId="6"/>
    <customWorkbookView name="Евгений Григорьев - Личное представление" guid="{144E5A37-1CF2-41F0-BEF8-CB5D4D392E2A}" mergeInterval="0" personalView="1" maximized="1" xWindow="-8" yWindow="-8" windowWidth="1616" windowHeight="876" activeSheetId="6"/>
    <customWorkbookView name="Галина Липашева - Личное представление" guid="{A28C0ADC-4E0C-4A0A-ACB1-DA409183476D}" mergeInterval="0" personalView="1" maximized="1" xWindow="-8" yWindow="-8" windowWidth="1936" windowHeight="1056" activeSheetId="6"/>
    <customWorkbookView name="Максим Егоров - Личное представление" guid="{B1841E62-04AF-4786-8B2B-B1F42C88E6D1}" mergeInterval="0" personalView="1" maximized="1" xWindow="-8" yWindow="-8" windowWidth="1936" windowHeight="1056" activeSheetId="6"/>
    <customWorkbookView name="Анастасия Андреева - Личное представление" guid="{570403C4-1D93-4175-B4D8-BD47D46CE99C}" mergeInterval="0" personalView="1" maximized="1" xWindow="-8" yWindow="-8" windowWidth="1936" windowHeight="1056" activeSheetId="6"/>
    <customWorkbookView name="Михаил Сакулин - Личное представление" guid="{4C44C113-DA02-468D-99C5-83FA6693F42F}" mergeInterval="0" personalView="1" maximized="1" xWindow="-8" yWindow="-8" windowWidth="1616" windowHeight="886" activeSheetId="6"/>
    <customWorkbookView name="Ольга Костоусова - Личное представление" guid="{DFE5B545-478C-4B86-847C-1FEE882C6F69}" mergeInterval="0" personalView="1" maximized="1" xWindow="-8" yWindow="-8" windowWidth="1616" windowHeight="876" activeSheetId="6"/>
    <customWorkbookView name="Попов - Личное представление" guid="{971AA6D5-B469-4A54-816C-1252CCB6D265}" mergeInterval="0" personalView="1" maximized="1" xWindow="1" yWindow="1" windowWidth="1916" windowHeight="755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70" i="6" l="1"/>
  <c r="F970" i="6"/>
  <c r="G970" i="6"/>
  <c r="H970" i="6"/>
  <c r="I970" i="6"/>
  <c r="J970" i="6"/>
  <c r="K970" i="6"/>
  <c r="L970" i="6"/>
  <c r="M970" i="6"/>
  <c r="N970" i="6"/>
  <c r="O970" i="6"/>
  <c r="P970" i="6"/>
  <c r="Q970" i="6"/>
  <c r="R970" i="6"/>
  <c r="S970" i="6"/>
  <c r="T970" i="6"/>
  <c r="U970" i="6"/>
  <c r="V970" i="6"/>
  <c r="W970" i="6"/>
  <c r="X970" i="6"/>
  <c r="Y970" i="6"/>
  <c r="Z970" i="6"/>
  <c r="AA970" i="6"/>
  <c r="I995" i="5"/>
  <c r="J995" i="5"/>
  <c r="K995" i="5"/>
  <c r="L995" i="5"/>
  <c r="F192" i="7" s="1"/>
  <c r="M995" i="5"/>
  <c r="N995" i="5"/>
  <c r="O995" i="5"/>
  <c r="P995" i="5"/>
  <c r="Q995" i="5"/>
  <c r="H995" i="5"/>
  <c r="C192" i="7" s="1"/>
  <c r="D972" i="6"/>
  <c r="C972" i="6" s="1"/>
  <c r="C947" i="6"/>
  <c r="C946" i="6" s="1"/>
  <c r="AA946" i="6"/>
  <c r="Z946" i="6"/>
  <c r="Y946" i="6"/>
  <c r="X946" i="6"/>
  <c r="W946" i="6"/>
  <c r="T946" i="6"/>
  <c r="S946" i="6"/>
  <c r="R946" i="6"/>
  <c r="Q946" i="6"/>
  <c r="P946" i="6"/>
  <c r="O946" i="6"/>
  <c r="N946" i="6"/>
  <c r="M946" i="6"/>
  <c r="L946" i="6"/>
  <c r="K946" i="6"/>
  <c r="J946" i="6"/>
  <c r="I946" i="6"/>
  <c r="H946" i="6"/>
  <c r="G946" i="6"/>
  <c r="F946" i="6"/>
  <c r="E946" i="6"/>
  <c r="D946" i="6"/>
  <c r="O972" i="5"/>
  <c r="Q971" i="5"/>
  <c r="P971" i="5"/>
  <c r="O971" i="5"/>
  <c r="N971" i="5"/>
  <c r="M971" i="5"/>
  <c r="L971" i="5"/>
  <c r="F189" i="7" s="1"/>
  <c r="K971" i="5"/>
  <c r="D189" i="7" s="1"/>
  <c r="J971" i="5"/>
  <c r="I971" i="5"/>
  <c r="H971" i="5"/>
  <c r="C189" i="7" s="1"/>
  <c r="E886" i="6"/>
  <c r="F886" i="6"/>
  <c r="G886" i="6"/>
  <c r="H886" i="6"/>
  <c r="I886" i="6"/>
  <c r="J886" i="6"/>
  <c r="K886" i="6"/>
  <c r="L886" i="6"/>
  <c r="M886" i="6"/>
  <c r="N886" i="6"/>
  <c r="O886" i="6"/>
  <c r="P886" i="6"/>
  <c r="Q886" i="6"/>
  <c r="R886" i="6"/>
  <c r="S886" i="6"/>
  <c r="T886" i="6"/>
  <c r="U886" i="6"/>
  <c r="V886" i="6"/>
  <c r="W886" i="6"/>
  <c r="X886" i="6"/>
  <c r="Y886" i="6"/>
  <c r="Z886" i="6"/>
  <c r="AA886" i="6"/>
  <c r="D893" i="6"/>
  <c r="C893" i="6" s="1"/>
  <c r="I911" i="5"/>
  <c r="J911" i="5"/>
  <c r="K911" i="5"/>
  <c r="L911" i="5"/>
  <c r="F180" i="7" s="1"/>
  <c r="M911" i="5"/>
  <c r="N911" i="5"/>
  <c r="Q911" i="5"/>
  <c r="H911" i="5"/>
  <c r="E175" i="7"/>
  <c r="D903" i="6"/>
  <c r="C903" i="6" s="1"/>
  <c r="C902" i="6" s="1"/>
  <c r="AA902" i="6"/>
  <c r="Z902" i="6"/>
  <c r="Y902" i="6"/>
  <c r="X902" i="6"/>
  <c r="W902" i="6"/>
  <c r="T902" i="6"/>
  <c r="S902" i="6"/>
  <c r="R902" i="6"/>
  <c r="Q902" i="6"/>
  <c r="P902" i="6"/>
  <c r="O902" i="6"/>
  <c r="N902" i="6"/>
  <c r="M902" i="6"/>
  <c r="L902" i="6"/>
  <c r="K902" i="6"/>
  <c r="J902" i="6"/>
  <c r="I902" i="6"/>
  <c r="H902" i="6"/>
  <c r="G902" i="6"/>
  <c r="F902" i="6"/>
  <c r="E902" i="6"/>
  <c r="D902" i="6"/>
  <c r="Q927" i="5"/>
  <c r="P927" i="5"/>
  <c r="O927" i="5"/>
  <c r="N927" i="5"/>
  <c r="M927" i="5"/>
  <c r="L927" i="5"/>
  <c r="F184" i="7" s="1"/>
  <c r="K927" i="5"/>
  <c r="D184" i="7" s="1"/>
  <c r="J927" i="5"/>
  <c r="I927" i="5"/>
  <c r="H927" i="5"/>
  <c r="C184" i="7" s="1"/>
  <c r="I929" i="5"/>
  <c r="J929" i="5"/>
  <c r="K929" i="5"/>
  <c r="D185" i="7" s="1"/>
  <c r="L929" i="5"/>
  <c r="F185" i="7" s="1"/>
  <c r="M929" i="5"/>
  <c r="N929" i="5"/>
  <c r="O929" i="5"/>
  <c r="Q929" i="5"/>
  <c r="H929" i="5"/>
  <c r="C185" i="7" s="1"/>
  <c r="D815" i="6"/>
  <c r="C815" i="6" s="1"/>
  <c r="C814" i="6" s="1"/>
  <c r="AA814" i="6"/>
  <c r="Z814" i="6"/>
  <c r="Y814" i="6"/>
  <c r="X814" i="6"/>
  <c r="W814" i="6"/>
  <c r="T814" i="6"/>
  <c r="S814" i="6"/>
  <c r="R814" i="6"/>
  <c r="Q814" i="6"/>
  <c r="P814" i="6"/>
  <c r="O814" i="6"/>
  <c r="N814" i="6"/>
  <c r="M814" i="6"/>
  <c r="L814" i="6"/>
  <c r="K814" i="6"/>
  <c r="J814" i="6"/>
  <c r="I814" i="6"/>
  <c r="H814" i="6"/>
  <c r="G814" i="6"/>
  <c r="F814" i="6"/>
  <c r="E814" i="6"/>
  <c r="Q839" i="5"/>
  <c r="P839" i="5"/>
  <c r="O839" i="5"/>
  <c r="N839" i="5"/>
  <c r="M839" i="5"/>
  <c r="L839" i="5"/>
  <c r="F167" i="7" s="1"/>
  <c r="K839" i="5"/>
  <c r="D167" i="7" s="1"/>
  <c r="J839" i="5"/>
  <c r="I839" i="5"/>
  <c r="H839" i="5"/>
  <c r="C167" i="7" s="1"/>
  <c r="E164" i="7"/>
  <c r="E153" i="7"/>
  <c r="U738" i="6"/>
  <c r="V738" i="6"/>
  <c r="D751" i="6"/>
  <c r="C751" i="6" s="1"/>
  <c r="C750" i="6" s="1"/>
  <c r="AA750" i="6"/>
  <c r="Z750" i="6"/>
  <c r="Y750" i="6"/>
  <c r="X750" i="6"/>
  <c r="W750" i="6"/>
  <c r="T750" i="6"/>
  <c r="S750" i="6"/>
  <c r="R750" i="6"/>
  <c r="Q750" i="6"/>
  <c r="P750" i="6"/>
  <c r="O750" i="6"/>
  <c r="N750" i="6"/>
  <c r="M750" i="6"/>
  <c r="L750" i="6"/>
  <c r="K750" i="6"/>
  <c r="J750" i="6"/>
  <c r="I750" i="6"/>
  <c r="H750" i="6"/>
  <c r="G750" i="6"/>
  <c r="F750" i="6"/>
  <c r="E750" i="6"/>
  <c r="Q775" i="5"/>
  <c r="P775" i="5"/>
  <c r="O775" i="5"/>
  <c r="N775" i="5"/>
  <c r="M775" i="5"/>
  <c r="L775" i="5"/>
  <c r="F155" i="7" s="1"/>
  <c r="K775" i="5"/>
  <c r="D155" i="7" s="1"/>
  <c r="J775" i="5"/>
  <c r="I775" i="5"/>
  <c r="H775" i="5"/>
  <c r="C155" i="7" s="1"/>
  <c r="D192" i="7"/>
  <c r="D971" i="6"/>
  <c r="C971" i="6" s="1"/>
  <c r="C970" i="6" s="1"/>
  <c r="E896" i="6"/>
  <c r="F896" i="6"/>
  <c r="G896" i="6"/>
  <c r="H896" i="6"/>
  <c r="I896" i="6"/>
  <c r="J896" i="6"/>
  <c r="K896" i="6"/>
  <c r="L896" i="6"/>
  <c r="M896" i="6"/>
  <c r="N896" i="6"/>
  <c r="O896" i="6"/>
  <c r="P896" i="6"/>
  <c r="Q896" i="6"/>
  <c r="R896" i="6"/>
  <c r="S896" i="6"/>
  <c r="T896" i="6"/>
  <c r="U896" i="6"/>
  <c r="V896" i="6"/>
  <c r="W896" i="6"/>
  <c r="X896" i="6"/>
  <c r="Y896" i="6"/>
  <c r="Z896" i="6"/>
  <c r="AA896" i="6"/>
  <c r="D899" i="6"/>
  <c r="C899" i="6" s="1"/>
  <c r="I921" i="5"/>
  <c r="J921" i="5"/>
  <c r="K921" i="5"/>
  <c r="L921" i="5"/>
  <c r="M921" i="5"/>
  <c r="N921" i="5"/>
  <c r="O921" i="5"/>
  <c r="P921" i="5"/>
  <c r="Q921" i="5"/>
  <c r="H921" i="5"/>
  <c r="C182" i="7" s="1"/>
  <c r="E803" i="6"/>
  <c r="F803" i="6"/>
  <c r="G803" i="6"/>
  <c r="H803" i="6"/>
  <c r="I803" i="6"/>
  <c r="J803" i="6"/>
  <c r="K803" i="6"/>
  <c r="L803" i="6"/>
  <c r="M803" i="6"/>
  <c r="N803" i="6"/>
  <c r="O803" i="6"/>
  <c r="P803" i="6"/>
  <c r="Q803" i="6"/>
  <c r="R803" i="6"/>
  <c r="S803" i="6"/>
  <c r="T803" i="6"/>
  <c r="U803" i="6"/>
  <c r="V803" i="6"/>
  <c r="W803" i="6"/>
  <c r="X803" i="6"/>
  <c r="Y803" i="6"/>
  <c r="Z803" i="6"/>
  <c r="AA803" i="6"/>
  <c r="D806" i="6"/>
  <c r="C806" i="6" s="1"/>
  <c r="I828" i="5"/>
  <c r="J828" i="5"/>
  <c r="K828" i="5"/>
  <c r="L828" i="5"/>
  <c r="M828" i="5"/>
  <c r="N828" i="5"/>
  <c r="O828" i="5"/>
  <c r="P828" i="5"/>
  <c r="Q828" i="5"/>
  <c r="H828" i="5"/>
  <c r="E992" i="6"/>
  <c r="F992" i="6"/>
  <c r="G992" i="6"/>
  <c r="H992" i="6"/>
  <c r="I992" i="6"/>
  <c r="J992" i="6"/>
  <c r="K992" i="6"/>
  <c r="L992" i="6"/>
  <c r="M992" i="6"/>
  <c r="N992" i="6"/>
  <c r="O992" i="6"/>
  <c r="P992" i="6"/>
  <c r="Q992" i="6"/>
  <c r="R992" i="6"/>
  <c r="S992" i="6"/>
  <c r="T992" i="6"/>
  <c r="U992" i="6"/>
  <c r="V992" i="6"/>
  <c r="W992" i="6"/>
  <c r="X992" i="6"/>
  <c r="Y992" i="6"/>
  <c r="Z992" i="6"/>
  <c r="AA992" i="6"/>
  <c r="D1005" i="6"/>
  <c r="C1005" i="6" s="1"/>
  <c r="D1004" i="6"/>
  <c r="C1004" i="6" s="1"/>
  <c r="D1003" i="6"/>
  <c r="C1003" i="6" s="1"/>
  <c r="D1002" i="6"/>
  <c r="C1002" i="6" s="1"/>
  <c r="I1017" i="5"/>
  <c r="J1017" i="5"/>
  <c r="K1017" i="5"/>
  <c r="L1017" i="5"/>
  <c r="M1017" i="5"/>
  <c r="N1017" i="5"/>
  <c r="Q1017" i="5"/>
  <c r="H1017" i="5"/>
  <c r="E856" i="6"/>
  <c r="F856" i="6"/>
  <c r="G856" i="6"/>
  <c r="H856" i="6"/>
  <c r="I856" i="6"/>
  <c r="J856" i="6"/>
  <c r="K856" i="6"/>
  <c r="L856" i="6"/>
  <c r="M856" i="6"/>
  <c r="N856" i="6"/>
  <c r="O856" i="6"/>
  <c r="P856" i="6"/>
  <c r="Q856" i="6"/>
  <c r="R856" i="6"/>
  <c r="S856" i="6"/>
  <c r="T856" i="6"/>
  <c r="U856" i="6"/>
  <c r="V856" i="6"/>
  <c r="W856" i="6"/>
  <c r="X856" i="6"/>
  <c r="Y856" i="6"/>
  <c r="Z856" i="6"/>
  <c r="AA856" i="6"/>
  <c r="I881" i="5"/>
  <c r="J881" i="5"/>
  <c r="K881" i="5"/>
  <c r="L881" i="5"/>
  <c r="M881" i="5"/>
  <c r="N881" i="5"/>
  <c r="O881" i="5"/>
  <c r="P881" i="5"/>
  <c r="Q881" i="5"/>
  <c r="H881" i="5"/>
  <c r="D862" i="6"/>
  <c r="C862" i="6" s="1"/>
  <c r="D861" i="6"/>
  <c r="C861" i="6" s="1"/>
  <c r="I810" i="5"/>
  <c r="J810" i="5"/>
  <c r="K810" i="5"/>
  <c r="D159" i="7" s="1"/>
  <c r="L810" i="5"/>
  <c r="F159" i="7" s="1"/>
  <c r="M810" i="5"/>
  <c r="N810" i="5"/>
  <c r="O810" i="5"/>
  <c r="P810" i="5"/>
  <c r="Q810" i="5"/>
  <c r="H810" i="5"/>
  <c r="C159" i="7" s="1"/>
  <c r="E785" i="6"/>
  <c r="F785" i="6"/>
  <c r="G785" i="6"/>
  <c r="H785" i="6"/>
  <c r="I785" i="6"/>
  <c r="J785" i="6"/>
  <c r="K785" i="6"/>
  <c r="L785" i="6"/>
  <c r="M785" i="6"/>
  <c r="N785" i="6"/>
  <c r="O785" i="6"/>
  <c r="P785" i="6"/>
  <c r="Q785" i="6"/>
  <c r="R785" i="6"/>
  <c r="S785" i="6"/>
  <c r="T785" i="6"/>
  <c r="U785" i="6"/>
  <c r="V785" i="6"/>
  <c r="W785" i="6"/>
  <c r="X785" i="6"/>
  <c r="Y785" i="6"/>
  <c r="Y763" i="6" s="1"/>
  <c r="Z785" i="6"/>
  <c r="AA785" i="6"/>
  <c r="D787" i="6"/>
  <c r="C787" i="6" s="1"/>
  <c r="C785" i="6" s="1"/>
  <c r="D901" i="6"/>
  <c r="C901" i="6" s="1"/>
  <c r="C900" i="6" s="1"/>
  <c r="AA900" i="6"/>
  <c r="Z900" i="6"/>
  <c r="X900" i="6"/>
  <c r="W900" i="6"/>
  <c r="T900" i="6"/>
  <c r="S900" i="6"/>
  <c r="R900" i="6"/>
  <c r="Q900" i="6"/>
  <c r="P900" i="6"/>
  <c r="O900" i="6"/>
  <c r="N900" i="6"/>
  <c r="M900" i="6"/>
  <c r="L900" i="6"/>
  <c r="K900" i="6"/>
  <c r="J900" i="6"/>
  <c r="I900" i="6"/>
  <c r="H900" i="6"/>
  <c r="G900" i="6"/>
  <c r="F900" i="6"/>
  <c r="E900" i="6"/>
  <c r="Q925" i="5"/>
  <c r="P925" i="5"/>
  <c r="O925" i="5"/>
  <c r="N925" i="5"/>
  <c r="M925" i="5"/>
  <c r="L925" i="5"/>
  <c r="F183" i="7" s="1"/>
  <c r="K925" i="5"/>
  <c r="D183" i="7" s="1"/>
  <c r="J925" i="5"/>
  <c r="I925" i="5"/>
  <c r="H925" i="5"/>
  <c r="C183" i="7" s="1"/>
  <c r="D897" i="6"/>
  <c r="C897" i="6" s="1"/>
  <c r="D898" i="6"/>
  <c r="C898" i="6" s="1"/>
  <c r="F182" i="7"/>
  <c r="D182" i="7"/>
  <c r="E199" i="7"/>
  <c r="U1007" i="6"/>
  <c r="V1007" i="6"/>
  <c r="Y1007" i="6"/>
  <c r="D1009" i="6"/>
  <c r="C1009" i="6" s="1"/>
  <c r="C1008" i="6" s="1"/>
  <c r="C1007" i="6" s="1"/>
  <c r="AA1008" i="6"/>
  <c r="AA1007" i="6" s="1"/>
  <c r="Z1008" i="6"/>
  <c r="Z1007" i="6" s="1"/>
  <c r="X1008" i="6"/>
  <c r="X1007" i="6" s="1"/>
  <c r="W1008" i="6"/>
  <c r="W1007" i="6" s="1"/>
  <c r="T1008" i="6"/>
  <c r="T1007" i="6" s="1"/>
  <c r="S1008" i="6"/>
  <c r="S1007" i="6" s="1"/>
  <c r="R1008" i="6"/>
  <c r="R1007" i="6" s="1"/>
  <c r="Q1008" i="6"/>
  <c r="Q1007" i="6" s="1"/>
  <c r="P1008" i="6"/>
  <c r="P1007" i="6" s="1"/>
  <c r="O1008" i="6"/>
  <c r="O1007" i="6" s="1"/>
  <c r="N1008" i="6"/>
  <c r="N1007" i="6" s="1"/>
  <c r="M1008" i="6"/>
  <c r="M1007" i="6" s="1"/>
  <c r="L1008" i="6"/>
  <c r="L1007" i="6" s="1"/>
  <c r="K1008" i="6"/>
  <c r="K1007" i="6" s="1"/>
  <c r="J1008" i="6"/>
  <c r="J1007" i="6" s="1"/>
  <c r="I1008" i="6"/>
  <c r="I1007" i="6" s="1"/>
  <c r="H1008" i="6"/>
  <c r="H1007" i="6" s="1"/>
  <c r="G1008" i="6"/>
  <c r="G1007" i="6" s="1"/>
  <c r="F1008" i="6"/>
  <c r="F1007" i="6" s="1"/>
  <c r="E1008" i="6"/>
  <c r="E1007" i="6" s="1"/>
  <c r="Q1032" i="5"/>
  <c r="Q1031" i="5" s="1"/>
  <c r="P1032" i="5"/>
  <c r="P1031" i="5" s="1"/>
  <c r="O1032" i="5"/>
  <c r="O1031" i="5" s="1"/>
  <c r="N1032" i="5"/>
  <c r="N1031" i="5" s="1"/>
  <c r="M1032" i="5"/>
  <c r="M1031" i="5" s="1"/>
  <c r="L1032" i="5"/>
  <c r="L1031" i="5" s="1"/>
  <c r="K1032" i="5"/>
  <c r="D200" i="7" s="1"/>
  <c r="D199" i="7" s="1"/>
  <c r="J1032" i="5"/>
  <c r="J1031" i="5" s="1"/>
  <c r="I1032" i="5"/>
  <c r="I1031" i="5" s="1"/>
  <c r="H1032" i="5"/>
  <c r="H1031" i="5" s="1"/>
  <c r="E894" i="6"/>
  <c r="F894" i="6"/>
  <c r="G894" i="6"/>
  <c r="H894" i="6"/>
  <c r="I894" i="6"/>
  <c r="J894" i="6"/>
  <c r="K894" i="6"/>
  <c r="L894" i="6"/>
  <c r="M894" i="6"/>
  <c r="N894" i="6"/>
  <c r="O894" i="6"/>
  <c r="P894" i="6"/>
  <c r="Q894" i="6"/>
  <c r="R894" i="6"/>
  <c r="S894" i="6"/>
  <c r="T894" i="6"/>
  <c r="U894" i="6"/>
  <c r="V894" i="6"/>
  <c r="W894" i="6"/>
  <c r="X894" i="6"/>
  <c r="Y894" i="6"/>
  <c r="Z894" i="6"/>
  <c r="AA894" i="6"/>
  <c r="I919" i="5"/>
  <c r="J919" i="5"/>
  <c r="K919" i="5"/>
  <c r="D181" i="7" s="1"/>
  <c r="L919" i="5"/>
  <c r="M919" i="5"/>
  <c r="N919" i="5"/>
  <c r="P919" i="5"/>
  <c r="Q919" i="5"/>
  <c r="H919" i="5"/>
  <c r="C181" i="7" s="1"/>
  <c r="D895" i="6"/>
  <c r="C895" i="6" s="1"/>
  <c r="C894" i="6" s="1"/>
  <c r="O920" i="5"/>
  <c r="O919" i="5" s="1"/>
  <c r="F181" i="7"/>
  <c r="D892" i="6"/>
  <c r="C892" i="6" s="1"/>
  <c r="D891" i="6"/>
  <c r="C891" i="6" s="1"/>
  <c r="D890" i="6"/>
  <c r="C890" i="6" s="1"/>
  <c r="D889" i="6"/>
  <c r="C889" i="6" s="1"/>
  <c r="D888" i="6"/>
  <c r="C888" i="6" s="1"/>
  <c r="D887" i="6"/>
  <c r="C887" i="6" s="1"/>
  <c r="O917" i="5"/>
  <c r="O916" i="5"/>
  <c r="O915" i="5"/>
  <c r="P914" i="5"/>
  <c r="O914" i="5"/>
  <c r="P913" i="5"/>
  <c r="O913" i="5"/>
  <c r="O912" i="5"/>
  <c r="O911" i="5" s="1"/>
  <c r="D180" i="7"/>
  <c r="C180" i="7"/>
  <c r="E822" i="6"/>
  <c r="F822" i="6"/>
  <c r="G822" i="6"/>
  <c r="H822" i="6"/>
  <c r="I822" i="6"/>
  <c r="J822" i="6"/>
  <c r="K822" i="6"/>
  <c r="L822" i="6"/>
  <c r="M822" i="6"/>
  <c r="N822" i="6"/>
  <c r="O822" i="6"/>
  <c r="P822" i="6"/>
  <c r="Q822" i="6"/>
  <c r="R822" i="6"/>
  <c r="S822" i="6"/>
  <c r="T822" i="6"/>
  <c r="U822" i="6"/>
  <c r="V822" i="6"/>
  <c r="W822" i="6"/>
  <c r="X822" i="6"/>
  <c r="Y822" i="6"/>
  <c r="Z822" i="6"/>
  <c r="AA822" i="6"/>
  <c r="D823" i="6"/>
  <c r="C823" i="6" s="1"/>
  <c r="C822" i="6" s="1"/>
  <c r="I847" i="5"/>
  <c r="J847" i="5"/>
  <c r="K847" i="5"/>
  <c r="D170" i="7" s="1"/>
  <c r="L847" i="5"/>
  <c r="F170" i="7" s="1"/>
  <c r="M847" i="5"/>
  <c r="N847" i="5"/>
  <c r="O847" i="5"/>
  <c r="P847" i="5"/>
  <c r="Q847" i="5"/>
  <c r="H847" i="5"/>
  <c r="C170" i="7" s="1"/>
  <c r="E157" i="7"/>
  <c r="U763" i="6"/>
  <c r="V763" i="6"/>
  <c r="P911" i="5" l="1"/>
  <c r="D750" i="6"/>
  <c r="D814" i="6"/>
  <c r="C896" i="6"/>
  <c r="C886" i="6"/>
  <c r="D886" i="6"/>
  <c r="D970" i="6"/>
  <c r="D896" i="6"/>
  <c r="D785" i="6"/>
  <c r="D900" i="6"/>
  <c r="D1008" i="6"/>
  <c r="D1007" i="6" s="1"/>
  <c r="K1031" i="5"/>
  <c r="C200" i="7"/>
  <c r="C199" i="7" s="1"/>
  <c r="F200" i="7"/>
  <c r="F199" i="7" s="1"/>
  <c r="D894" i="6"/>
  <c r="D822" i="6"/>
  <c r="E977" i="6" l="1"/>
  <c r="F977" i="6"/>
  <c r="G977" i="6"/>
  <c r="H977" i="6"/>
  <c r="I977" i="6"/>
  <c r="J977" i="6"/>
  <c r="K977" i="6"/>
  <c r="L977" i="6"/>
  <c r="M977" i="6"/>
  <c r="N977" i="6"/>
  <c r="O977" i="6"/>
  <c r="P977" i="6"/>
  <c r="Q977" i="6"/>
  <c r="R977" i="6"/>
  <c r="S977" i="6"/>
  <c r="T977" i="6"/>
  <c r="U977" i="6"/>
  <c r="V977" i="6"/>
  <c r="W977" i="6"/>
  <c r="X977" i="6"/>
  <c r="Y977" i="6"/>
  <c r="Z977" i="6"/>
  <c r="AA977" i="6"/>
  <c r="D979" i="6"/>
  <c r="C979" i="6" s="1"/>
  <c r="D978" i="6"/>
  <c r="C978" i="6" s="1"/>
  <c r="E456" i="6"/>
  <c r="F456" i="6"/>
  <c r="G456" i="6"/>
  <c r="H456" i="6"/>
  <c r="I456" i="6"/>
  <c r="J456" i="6"/>
  <c r="K456" i="6"/>
  <c r="L456" i="6"/>
  <c r="M456" i="6"/>
  <c r="N456" i="6"/>
  <c r="O456" i="6"/>
  <c r="P456" i="6"/>
  <c r="Q456" i="6"/>
  <c r="R456" i="6"/>
  <c r="S456" i="6"/>
  <c r="T456" i="6"/>
  <c r="U456" i="6"/>
  <c r="V456" i="6"/>
  <c r="W456" i="6"/>
  <c r="X456" i="6"/>
  <c r="Y456" i="6"/>
  <c r="Z456" i="6"/>
  <c r="AA456" i="6"/>
  <c r="D457" i="6"/>
  <c r="C457" i="6" s="1"/>
  <c r="C456" i="6" s="1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D182" i="6"/>
  <c r="C182" i="6" s="1"/>
  <c r="C181" i="6" s="1"/>
  <c r="I1002" i="5"/>
  <c r="J1002" i="5"/>
  <c r="K1002" i="5"/>
  <c r="L1002" i="5"/>
  <c r="M1002" i="5"/>
  <c r="N1002" i="5"/>
  <c r="O1002" i="5"/>
  <c r="P1002" i="5"/>
  <c r="Q1002" i="5"/>
  <c r="H1002" i="5"/>
  <c r="I473" i="5"/>
  <c r="J473" i="5"/>
  <c r="K473" i="5"/>
  <c r="L473" i="5"/>
  <c r="M473" i="5"/>
  <c r="N473" i="5"/>
  <c r="O473" i="5"/>
  <c r="P473" i="5"/>
  <c r="Q473" i="5"/>
  <c r="H473" i="5"/>
  <c r="I166" i="5"/>
  <c r="J166" i="5"/>
  <c r="K166" i="5"/>
  <c r="D50" i="7" s="1"/>
  <c r="L166" i="5"/>
  <c r="F50" i="7" s="1"/>
  <c r="M166" i="5"/>
  <c r="N166" i="5"/>
  <c r="O166" i="5"/>
  <c r="P166" i="5"/>
  <c r="Q166" i="5"/>
  <c r="H166" i="5"/>
  <c r="C50" i="7" s="1"/>
  <c r="D181" i="6" l="1"/>
  <c r="D977" i="6"/>
  <c r="C977" i="6"/>
  <c r="D456" i="6"/>
  <c r="E111" i="7" l="1"/>
  <c r="E820" i="6"/>
  <c r="F820" i="6"/>
  <c r="G820" i="6"/>
  <c r="H820" i="6"/>
  <c r="I820" i="6"/>
  <c r="J820" i="6"/>
  <c r="K820" i="6"/>
  <c r="L820" i="6"/>
  <c r="M820" i="6"/>
  <c r="N820" i="6"/>
  <c r="O820" i="6"/>
  <c r="P820" i="6"/>
  <c r="Q820" i="6"/>
  <c r="R820" i="6"/>
  <c r="S820" i="6"/>
  <c r="T820" i="6"/>
  <c r="U820" i="6"/>
  <c r="V820" i="6"/>
  <c r="W820" i="6"/>
  <c r="X820" i="6"/>
  <c r="Y820" i="6"/>
  <c r="Z820" i="6"/>
  <c r="AA820" i="6"/>
  <c r="D821" i="6"/>
  <c r="C821" i="6" s="1"/>
  <c r="C820" i="6" s="1"/>
  <c r="E402" i="6"/>
  <c r="F402" i="6"/>
  <c r="G402" i="6"/>
  <c r="H402" i="6"/>
  <c r="I402" i="6"/>
  <c r="J402" i="6"/>
  <c r="K402" i="6"/>
  <c r="L402" i="6"/>
  <c r="M402" i="6"/>
  <c r="N402" i="6"/>
  <c r="O402" i="6"/>
  <c r="P402" i="6"/>
  <c r="Q402" i="6"/>
  <c r="R402" i="6"/>
  <c r="S402" i="6"/>
  <c r="T402" i="6"/>
  <c r="U402" i="6"/>
  <c r="V402" i="6"/>
  <c r="W402" i="6"/>
  <c r="X402" i="6"/>
  <c r="Y402" i="6"/>
  <c r="Z402" i="6"/>
  <c r="AA402" i="6"/>
  <c r="D403" i="6"/>
  <c r="C403" i="6" s="1"/>
  <c r="C402" i="6" s="1"/>
  <c r="I845" i="5"/>
  <c r="J845" i="5"/>
  <c r="K845" i="5"/>
  <c r="D169" i="7" s="1"/>
  <c r="L845" i="5"/>
  <c r="F169" i="7" s="1"/>
  <c r="M845" i="5"/>
  <c r="N845" i="5"/>
  <c r="O845" i="5"/>
  <c r="P845" i="5"/>
  <c r="Q845" i="5"/>
  <c r="H845" i="5"/>
  <c r="C169" i="7" s="1"/>
  <c r="I421" i="5"/>
  <c r="J421" i="5"/>
  <c r="K421" i="5"/>
  <c r="D117" i="7" s="1"/>
  <c r="L421" i="5"/>
  <c r="F117" i="7" s="1"/>
  <c r="M421" i="5"/>
  <c r="N421" i="5"/>
  <c r="O421" i="5"/>
  <c r="P421" i="5"/>
  <c r="Q421" i="5"/>
  <c r="H421" i="5"/>
  <c r="C117" i="7" s="1"/>
  <c r="D820" i="6" l="1"/>
  <c r="D402" i="6"/>
  <c r="E122" i="7"/>
  <c r="E426" i="6"/>
  <c r="F426" i="6"/>
  <c r="G426" i="6"/>
  <c r="H426" i="6"/>
  <c r="I426" i="6"/>
  <c r="J426" i="6"/>
  <c r="K426" i="6"/>
  <c r="L426" i="6"/>
  <c r="M426" i="6"/>
  <c r="N426" i="6"/>
  <c r="O426" i="6"/>
  <c r="P426" i="6"/>
  <c r="Q426" i="6"/>
  <c r="R426" i="6"/>
  <c r="S426" i="6"/>
  <c r="T426" i="6"/>
  <c r="U426" i="6"/>
  <c r="U418" i="6" s="1"/>
  <c r="V426" i="6"/>
  <c r="V418" i="6" s="1"/>
  <c r="W426" i="6"/>
  <c r="X426" i="6"/>
  <c r="Y426" i="6"/>
  <c r="Z426" i="6"/>
  <c r="AA426" i="6"/>
  <c r="D427" i="6"/>
  <c r="C427" i="6" s="1"/>
  <c r="C426" i="6" s="1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D119" i="6"/>
  <c r="C119" i="6" s="1"/>
  <c r="D118" i="6"/>
  <c r="C118" i="6" s="1"/>
  <c r="I445" i="5"/>
  <c r="J445" i="5"/>
  <c r="K445" i="5"/>
  <c r="D124" i="7" s="1"/>
  <c r="L445" i="5"/>
  <c r="F124" i="7" s="1"/>
  <c r="M445" i="5"/>
  <c r="N445" i="5"/>
  <c r="O445" i="5"/>
  <c r="P445" i="5"/>
  <c r="Q445" i="5"/>
  <c r="H445" i="5"/>
  <c r="C124" i="7" s="1"/>
  <c r="I126" i="5"/>
  <c r="J126" i="5"/>
  <c r="K126" i="5"/>
  <c r="D39" i="7" s="1"/>
  <c r="L126" i="5"/>
  <c r="F39" i="7" s="1"/>
  <c r="M126" i="5"/>
  <c r="N126" i="5"/>
  <c r="O126" i="5"/>
  <c r="P126" i="5"/>
  <c r="Q126" i="5"/>
  <c r="H126" i="5"/>
  <c r="C39" i="7" s="1"/>
  <c r="E434" i="6"/>
  <c r="F434" i="6"/>
  <c r="G434" i="6"/>
  <c r="H434" i="6"/>
  <c r="I434" i="6"/>
  <c r="J434" i="6"/>
  <c r="K434" i="6"/>
  <c r="L434" i="6"/>
  <c r="M434" i="6"/>
  <c r="N434" i="6"/>
  <c r="O434" i="6"/>
  <c r="P434" i="6"/>
  <c r="Q434" i="6"/>
  <c r="R434" i="6"/>
  <c r="S434" i="6"/>
  <c r="T434" i="6"/>
  <c r="U434" i="6"/>
  <c r="V434" i="6"/>
  <c r="W434" i="6"/>
  <c r="X434" i="6"/>
  <c r="Y434" i="6"/>
  <c r="Z434" i="6"/>
  <c r="AA434" i="6"/>
  <c r="D435" i="6"/>
  <c r="C435" i="6" s="1"/>
  <c r="C434" i="6" s="1"/>
  <c r="U376" i="6"/>
  <c r="V376" i="6"/>
  <c r="U267" i="6"/>
  <c r="V267" i="6"/>
  <c r="E103" i="7"/>
  <c r="E81" i="7"/>
  <c r="E74" i="7"/>
  <c r="E201" i="7"/>
  <c r="E204" i="7"/>
  <c r="E24" i="7"/>
  <c r="D953" i="6"/>
  <c r="C953" i="6" s="1"/>
  <c r="D954" i="6"/>
  <c r="C954" i="6" s="1"/>
  <c r="E307" i="6"/>
  <c r="F307" i="6"/>
  <c r="G307" i="6"/>
  <c r="H307" i="6"/>
  <c r="I307" i="6"/>
  <c r="J307" i="6"/>
  <c r="K307" i="6"/>
  <c r="L307" i="6"/>
  <c r="M307" i="6"/>
  <c r="N307" i="6"/>
  <c r="O307" i="6"/>
  <c r="P307" i="6"/>
  <c r="Q307" i="6"/>
  <c r="R307" i="6"/>
  <c r="S307" i="6"/>
  <c r="T307" i="6"/>
  <c r="U307" i="6"/>
  <c r="V307" i="6"/>
  <c r="W307" i="6"/>
  <c r="X307" i="6"/>
  <c r="Y307" i="6"/>
  <c r="Z307" i="6"/>
  <c r="AA307" i="6"/>
  <c r="K133" i="6"/>
  <c r="L133" i="6"/>
  <c r="M133" i="6"/>
  <c r="O133" i="6"/>
  <c r="P133" i="6"/>
  <c r="Q133" i="6"/>
  <c r="S133" i="6"/>
  <c r="U133" i="6"/>
  <c r="V133" i="6"/>
  <c r="W133" i="6"/>
  <c r="Y133" i="6"/>
  <c r="Z133" i="6"/>
  <c r="AA133" i="6"/>
  <c r="I973" i="5"/>
  <c r="J973" i="5"/>
  <c r="K973" i="5"/>
  <c r="L973" i="5"/>
  <c r="M973" i="5"/>
  <c r="N973" i="5"/>
  <c r="O973" i="5"/>
  <c r="P973" i="5"/>
  <c r="Q973" i="5"/>
  <c r="H973" i="5"/>
  <c r="I319" i="5"/>
  <c r="J319" i="5"/>
  <c r="K319" i="5"/>
  <c r="L319" i="5"/>
  <c r="M319" i="5"/>
  <c r="N319" i="5"/>
  <c r="P319" i="5"/>
  <c r="Q319" i="5"/>
  <c r="H319" i="5"/>
  <c r="I140" i="5"/>
  <c r="J140" i="5"/>
  <c r="K140" i="5"/>
  <c r="L140" i="5"/>
  <c r="M140" i="5"/>
  <c r="N140" i="5"/>
  <c r="P140" i="5"/>
  <c r="Q140" i="5"/>
  <c r="H140" i="5"/>
  <c r="D426" i="6" l="1"/>
  <c r="D117" i="6"/>
  <c r="C117" i="6"/>
  <c r="D434" i="6"/>
  <c r="D234" i="6"/>
  <c r="C234" i="6" s="1"/>
  <c r="E357" i="6"/>
  <c r="F357" i="6"/>
  <c r="G357" i="6"/>
  <c r="H357" i="6"/>
  <c r="I357" i="6"/>
  <c r="J357" i="6"/>
  <c r="K357" i="6"/>
  <c r="L357" i="6"/>
  <c r="M357" i="6"/>
  <c r="N357" i="6"/>
  <c r="O357" i="6"/>
  <c r="P357" i="6"/>
  <c r="Q357" i="6"/>
  <c r="R357" i="6"/>
  <c r="S357" i="6"/>
  <c r="T357" i="6"/>
  <c r="U357" i="6"/>
  <c r="V357" i="6"/>
  <c r="W357" i="6"/>
  <c r="X357" i="6"/>
  <c r="Y357" i="6"/>
  <c r="Z357" i="6"/>
  <c r="AA357" i="6"/>
  <c r="D360" i="6"/>
  <c r="C360" i="6" s="1"/>
  <c r="D361" i="6"/>
  <c r="C361" i="6" s="1"/>
  <c r="D362" i="6"/>
  <c r="C362" i="6" s="1"/>
  <c r="D363" i="6"/>
  <c r="C363" i="6" s="1"/>
  <c r="D359" i="6"/>
  <c r="C359" i="6" s="1"/>
  <c r="D358" i="6"/>
  <c r="C358" i="6" s="1"/>
  <c r="D169" i="6"/>
  <c r="C169" i="6" s="1"/>
  <c r="D170" i="6"/>
  <c r="C170" i="6" s="1"/>
  <c r="D171" i="6"/>
  <c r="C171" i="6" s="1"/>
  <c r="D172" i="6"/>
  <c r="C172" i="6" s="1"/>
  <c r="D173" i="6"/>
  <c r="C173" i="6" s="1"/>
  <c r="D174" i="6"/>
  <c r="C174" i="6" s="1"/>
  <c r="D175" i="6"/>
  <c r="C175" i="6" s="1"/>
  <c r="D176" i="6"/>
  <c r="C176" i="6" s="1"/>
  <c r="D177" i="6"/>
  <c r="C177" i="6" s="1"/>
  <c r="D178" i="6"/>
  <c r="C178" i="6" s="1"/>
  <c r="I153" i="5"/>
  <c r="J153" i="5"/>
  <c r="K153" i="5"/>
  <c r="L153" i="5"/>
  <c r="M153" i="5"/>
  <c r="N153" i="5"/>
  <c r="O153" i="5"/>
  <c r="P153" i="5"/>
  <c r="Q153" i="5"/>
  <c r="H153" i="5"/>
  <c r="C357" i="6" l="1"/>
  <c r="D357" i="6"/>
  <c r="E816" i="6" l="1"/>
  <c r="F816" i="6"/>
  <c r="G816" i="6"/>
  <c r="H816" i="6"/>
  <c r="I816" i="6"/>
  <c r="J816" i="6"/>
  <c r="K816" i="6"/>
  <c r="L816" i="6"/>
  <c r="M816" i="6"/>
  <c r="N816" i="6"/>
  <c r="O816" i="6"/>
  <c r="P816" i="6"/>
  <c r="Q816" i="6"/>
  <c r="R816" i="6"/>
  <c r="S816" i="6"/>
  <c r="T816" i="6"/>
  <c r="U816" i="6"/>
  <c r="V816" i="6"/>
  <c r="W816" i="6"/>
  <c r="X816" i="6"/>
  <c r="Y816" i="6"/>
  <c r="Z816" i="6"/>
  <c r="AA816" i="6"/>
  <c r="D819" i="6"/>
  <c r="C819" i="6" s="1"/>
  <c r="D818" i="6"/>
  <c r="C818" i="6" s="1"/>
  <c r="D817" i="6"/>
  <c r="C817" i="6" s="1"/>
  <c r="I841" i="5"/>
  <c r="J841" i="5"/>
  <c r="K841" i="5"/>
  <c r="L841" i="5"/>
  <c r="M841" i="5"/>
  <c r="N841" i="5"/>
  <c r="Q841" i="5"/>
  <c r="H841" i="5"/>
  <c r="O844" i="5"/>
  <c r="O843" i="5"/>
  <c r="P842" i="5"/>
  <c r="P841" i="5" s="1"/>
  <c r="O842" i="5"/>
  <c r="C816" i="6" l="1"/>
  <c r="O841" i="5"/>
  <c r="D816" i="6"/>
  <c r="E19" i="7"/>
  <c r="U50" i="6"/>
  <c r="V50" i="6"/>
  <c r="Y50" i="6"/>
  <c r="E640" i="6"/>
  <c r="F640" i="6"/>
  <c r="G640" i="6"/>
  <c r="H640" i="6"/>
  <c r="I640" i="6"/>
  <c r="J640" i="6"/>
  <c r="K640" i="6"/>
  <c r="L640" i="6"/>
  <c r="M640" i="6"/>
  <c r="N640" i="6"/>
  <c r="O640" i="6"/>
  <c r="P640" i="6"/>
  <c r="Q640" i="6"/>
  <c r="R640" i="6"/>
  <c r="S640" i="6"/>
  <c r="T640" i="6"/>
  <c r="U640" i="6"/>
  <c r="V640" i="6"/>
  <c r="W640" i="6"/>
  <c r="X640" i="6"/>
  <c r="Y640" i="6"/>
  <c r="Z640" i="6"/>
  <c r="AA640" i="6"/>
  <c r="D672" i="6"/>
  <c r="C672" i="6" s="1"/>
  <c r="D673" i="6"/>
  <c r="C673" i="6" s="1"/>
  <c r="D674" i="6"/>
  <c r="C674" i="6" s="1"/>
  <c r="D675" i="6"/>
  <c r="C675" i="6" s="1"/>
  <c r="D676" i="6"/>
  <c r="C676" i="6" s="1"/>
  <c r="D677" i="6"/>
  <c r="C677" i="6" s="1"/>
  <c r="D678" i="6"/>
  <c r="C678" i="6" s="1"/>
  <c r="D679" i="6"/>
  <c r="C679" i="6" s="1"/>
  <c r="D680" i="6"/>
  <c r="C680" i="6" s="1"/>
  <c r="D681" i="6"/>
  <c r="C681" i="6" s="1"/>
  <c r="D682" i="6"/>
  <c r="C682" i="6" s="1"/>
  <c r="E351" i="6"/>
  <c r="F351" i="6"/>
  <c r="G351" i="6"/>
  <c r="H351" i="6"/>
  <c r="I351" i="6"/>
  <c r="J351" i="6"/>
  <c r="K351" i="6"/>
  <c r="L351" i="6"/>
  <c r="M351" i="6"/>
  <c r="N351" i="6"/>
  <c r="O351" i="6"/>
  <c r="P351" i="6"/>
  <c r="Q351" i="6"/>
  <c r="R351" i="6"/>
  <c r="S351" i="6"/>
  <c r="T351" i="6"/>
  <c r="U351" i="6"/>
  <c r="V351" i="6"/>
  <c r="W351" i="6"/>
  <c r="X351" i="6"/>
  <c r="Y351" i="6"/>
  <c r="Z351" i="6"/>
  <c r="AA351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I665" i="5"/>
  <c r="J665" i="5"/>
  <c r="K665" i="5"/>
  <c r="L665" i="5"/>
  <c r="M665" i="5"/>
  <c r="N665" i="5"/>
  <c r="P665" i="5"/>
  <c r="Q665" i="5"/>
  <c r="H665" i="5"/>
  <c r="O666" i="5"/>
  <c r="O665" i="5" s="1"/>
  <c r="I370" i="5"/>
  <c r="J370" i="5"/>
  <c r="K370" i="5"/>
  <c r="L370" i="5"/>
  <c r="M370" i="5"/>
  <c r="N370" i="5"/>
  <c r="O370" i="5"/>
  <c r="P370" i="5"/>
  <c r="Q370" i="5"/>
  <c r="H370" i="5"/>
  <c r="I236" i="5"/>
  <c r="J236" i="5"/>
  <c r="K236" i="5"/>
  <c r="L236" i="5"/>
  <c r="M236" i="5"/>
  <c r="N236" i="5"/>
  <c r="O236" i="5"/>
  <c r="P236" i="5"/>
  <c r="Q236" i="5"/>
  <c r="H236" i="5"/>
  <c r="F501" i="6" l="1"/>
  <c r="L350" i="6"/>
  <c r="F350" i="6"/>
  <c r="L221" i="6"/>
  <c r="L215" i="6"/>
  <c r="L203" i="6"/>
  <c r="F203" i="6"/>
  <c r="D203" i="6" s="1"/>
  <c r="L20" i="6"/>
  <c r="O663" i="5"/>
  <c r="O662" i="5"/>
  <c r="O661" i="5"/>
  <c r="O660" i="5"/>
  <c r="O659" i="5"/>
  <c r="O658" i="5"/>
  <c r="O657" i="5"/>
  <c r="O656" i="5"/>
  <c r="O655" i="5"/>
  <c r="O654" i="5"/>
  <c r="O653" i="5"/>
  <c r="O652" i="5"/>
  <c r="O651" i="5"/>
  <c r="O649" i="5"/>
  <c r="O646" i="5"/>
  <c r="O645" i="5"/>
  <c r="O644" i="5"/>
  <c r="O643" i="5"/>
  <c r="O642" i="5"/>
  <c r="O641" i="5"/>
  <c r="O640" i="5"/>
  <c r="O639" i="5"/>
  <c r="O638" i="5"/>
  <c r="J638" i="5"/>
  <c r="O637" i="5"/>
  <c r="O636" i="5"/>
  <c r="J636" i="5"/>
  <c r="O630" i="5"/>
  <c r="O629" i="5"/>
  <c r="O626" i="5"/>
  <c r="O623" i="5"/>
  <c r="O620" i="5"/>
  <c r="O618" i="5"/>
  <c r="J618" i="5"/>
  <c r="J615" i="5"/>
  <c r="O613" i="5"/>
  <c r="O612" i="5"/>
  <c r="O610" i="5"/>
  <c r="J610" i="5"/>
  <c r="O602" i="5"/>
  <c r="O600" i="5"/>
  <c r="O599" i="5"/>
  <c r="O597" i="5"/>
  <c r="O596" i="5"/>
  <c r="O595" i="5"/>
  <c r="O594" i="5"/>
  <c r="O593" i="5"/>
  <c r="O588" i="5"/>
  <c r="J588" i="5"/>
  <c r="O587" i="5"/>
  <c r="J587" i="5"/>
  <c r="J586" i="5"/>
  <c r="O585" i="5"/>
  <c r="J585" i="5"/>
  <c r="J584" i="5"/>
  <c r="O583" i="5"/>
  <c r="J583" i="5"/>
  <c r="J582" i="5"/>
  <c r="O581" i="5"/>
  <c r="J581" i="5"/>
  <c r="O580" i="5"/>
  <c r="J580" i="5"/>
  <c r="J579" i="5"/>
  <c r="J578" i="5"/>
  <c r="O577" i="5"/>
  <c r="J577" i="5"/>
  <c r="O576" i="5"/>
  <c r="J576" i="5"/>
  <c r="J575" i="5"/>
  <c r="O574" i="5"/>
  <c r="J574" i="5"/>
  <c r="O573" i="5"/>
  <c r="J573" i="5"/>
  <c r="O572" i="5"/>
  <c r="J572" i="5"/>
  <c r="J571" i="5"/>
  <c r="O570" i="5"/>
  <c r="J570" i="5"/>
  <c r="J569" i="5"/>
  <c r="J568" i="5"/>
  <c r="O567" i="5"/>
  <c r="J567" i="5"/>
  <c r="O566" i="5"/>
  <c r="J566" i="5"/>
  <c r="J565" i="5"/>
  <c r="J564" i="5"/>
  <c r="O563" i="5"/>
  <c r="J563" i="5"/>
  <c r="O562" i="5"/>
  <c r="J562" i="5"/>
  <c r="O561" i="5"/>
  <c r="J561" i="5"/>
  <c r="J560" i="5"/>
  <c r="J559" i="5"/>
  <c r="J558" i="5"/>
  <c r="O557" i="5"/>
  <c r="J557" i="5"/>
  <c r="O556" i="5"/>
  <c r="J555" i="5"/>
  <c r="J554" i="5"/>
  <c r="J553" i="5"/>
  <c r="O552" i="5"/>
  <c r="J552" i="5"/>
  <c r="O551" i="5"/>
  <c r="J551" i="5"/>
  <c r="O550" i="5"/>
  <c r="J550" i="5"/>
  <c r="O549" i="5"/>
  <c r="O548" i="5"/>
  <c r="J548" i="5"/>
  <c r="O547" i="5"/>
  <c r="J547" i="5"/>
  <c r="O546" i="5"/>
  <c r="J546" i="5"/>
  <c r="O545" i="5"/>
  <c r="J545" i="5"/>
  <c r="O544" i="5"/>
  <c r="J544" i="5"/>
  <c r="O543" i="5"/>
  <c r="J543" i="5"/>
  <c r="O542" i="5"/>
  <c r="J542" i="5"/>
  <c r="O541" i="5"/>
  <c r="J541" i="5"/>
  <c r="O540" i="5"/>
  <c r="J540" i="5"/>
  <c r="O539" i="5"/>
  <c r="J539" i="5"/>
  <c r="O538" i="5"/>
  <c r="J538" i="5"/>
  <c r="O537" i="5"/>
  <c r="J537" i="5"/>
  <c r="O536" i="5"/>
  <c r="O535" i="5"/>
  <c r="J535" i="5"/>
  <c r="O534" i="5"/>
  <c r="J534" i="5"/>
  <c r="O533" i="5"/>
  <c r="J533" i="5"/>
  <c r="O532" i="5"/>
  <c r="J532" i="5"/>
  <c r="O531" i="5"/>
  <c r="J531" i="5"/>
  <c r="O530" i="5"/>
  <c r="J530" i="5"/>
  <c r="O529" i="5"/>
  <c r="J529" i="5"/>
  <c r="O528" i="5"/>
  <c r="J528" i="5"/>
  <c r="O527" i="5"/>
  <c r="J527" i="5"/>
  <c r="H527" i="5"/>
  <c r="O526" i="5"/>
  <c r="J526" i="5"/>
  <c r="I526" i="5"/>
  <c r="O525" i="5"/>
  <c r="J525" i="5"/>
  <c r="O524" i="5"/>
  <c r="J524" i="5"/>
  <c r="O523" i="5"/>
  <c r="O522" i="5"/>
  <c r="J522" i="5"/>
  <c r="O521" i="5"/>
  <c r="O520" i="5"/>
  <c r="O519" i="5"/>
  <c r="J519" i="5"/>
  <c r="O518" i="5"/>
  <c r="J518" i="5"/>
  <c r="H518" i="5"/>
  <c r="O517" i="5"/>
  <c r="O516" i="5"/>
  <c r="O515" i="5"/>
  <c r="J515" i="5"/>
  <c r="O514" i="5"/>
  <c r="O513" i="5"/>
  <c r="O512" i="5"/>
  <c r="O511" i="5"/>
  <c r="O510" i="5"/>
  <c r="J510" i="5"/>
  <c r="J360" i="5"/>
  <c r="J222" i="5"/>
  <c r="J221" i="5"/>
  <c r="J219" i="5"/>
  <c r="J218" i="5"/>
  <c r="J217" i="5"/>
  <c r="J216" i="5"/>
  <c r="J26" i="5"/>
  <c r="I25" i="5"/>
  <c r="J24" i="5"/>
  <c r="J22" i="5"/>
  <c r="J21" i="5"/>
  <c r="D877" i="6"/>
  <c r="E877" i="6"/>
  <c r="F877" i="6"/>
  <c r="G877" i="6"/>
  <c r="H877" i="6"/>
  <c r="I877" i="6"/>
  <c r="J877" i="6"/>
  <c r="K877" i="6"/>
  <c r="L877" i="6"/>
  <c r="M877" i="6"/>
  <c r="N877" i="6"/>
  <c r="O877" i="6"/>
  <c r="P877" i="6"/>
  <c r="Q877" i="6"/>
  <c r="R877" i="6"/>
  <c r="S877" i="6"/>
  <c r="T877" i="6"/>
  <c r="U877" i="6"/>
  <c r="U863" i="6" s="1"/>
  <c r="V877" i="6"/>
  <c r="V863" i="6" s="1"/>
  <c r="W877" i="6"/>
  <c r="X877" i="6"/>
  <c r="Y877" i="6"/>
  <c r="Y863" i="6" s="1"/>
  <c r="Z877" i="6"/>
  <c r="C878" i="6"/>
  <c r="C877" i="6" s="1"/>
  <c r="I902" i="5"/>
  <c r="J902" i="5"/>
  <c r="K902" i="5"/>
  <c r="D177" i="7" s="1"/>
  <c r="L902" i="5"/>
  <c r="F177" i="7" s="1"/>
  <c r="M902" i="5"/>
  <c r="N902" i="5"/>
  <c r="O902" i="5"/>
  <c r="P902" i="5"/>
  <c r="Q902" i="5"/>
  <c r="H902" i="5"/>
  <c r="C177" i="7" s="1"/>
  <c r="E989" i="6"/>
  <c r="F989" i="6"/>
  <c r="G989" i="6"/>
  <c r="H989" i="6"/>
  <c r="I989" i="6"/>
  <c r="J989" i="6"/>
  <c r="K989" i="6"/>
  <c r="L989" i="6"/>
  <c r="M989" i="6"/>
  <c r="N989" i="6"/>
  <c r="O989" i="6"/>
  <c r="P989" i="6"/>
  <c r="Q989" i="6"/>
  <c r="R989" i="6"/>
  <c r="S989" i="6"/>
  <c r="T989" i="6"/>
  <c r="U989" i="6"/>
  <c r="V989" i="6"/>
  <c r="W989" i="6"/>
  <c r="X989" i="6"/>
  <c r="Y989" i="6"/>
  <c r="Z989" i="6"/>
  <c r="AA989" i="6"/>
  <c r="D990" i="6"/>
  <c r="C990" i="6" s="1"/>
  <c r="I1011" i="5"/>
  <c r="J1011" i="5"/>
  <c r="K1011" i="5"/>
  <c r="L1011" i="5"/>
  <c r="M1011" i="5"/>
  <c r="N1011" i="5"/>
  <c r="O1011" i="5"/>
  <c r="Q1011" i="5"/>
  <c r="H1011" i="5"/>
  <c r="E297" i="6"/>
  <c r="F297" i="6"/>
  <c r="G297" i="6"/>
  <c r="H297" i="6"/>
  <c r="I297" i="6"/>
  <c r="J297" i="6"/>
  <c r="K297" i="6"/>
  <c r="L297" i="6"/>
  <c r="M297" i="6"/>
  <c r="N297" i="6"/>
  <c r="O297" i="6"/>
  <c r="P297" i="6"/>
  <c r="Q297" i="6"/>
  <c r="R297" i="6"/>
  <c r="S297" i="6"/>
  <c r="T297" i="6"/>
  <c r="U297" i="6"/>
  <c r="U288" i="6" s="1"/>
  <c r="V297" i="6"/>
  <c r="V288" i="6" s="1"/>
  <c r="W297" i="6"/>
  <c r="X297" i="6"/>
  <c r="Y297" i="6"/>
  <c r="Z297" i="6"/>
  <c r="AA297" i="6"/>
  <c r="I309" i="5"/>
  <c r="J309" i="5"/>
  <c r="K309" i="5"/>
  <c r="L309" i="5"/>
  <c r="M309" i="5"/>
  <c r="N309" i="5"/>
  <c r="O309" i="5"/>
  <c r="P309" i="5"/>
  <c r="Q309" i="5"/>
  <c r="H309" i="5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D99" i="6"/>
  <c r="C99" i="6" s="1"/>
  <c r="C98" i="6" s="1"/>
  <c r="I105" i="5"/>
  <c r="J105" i="5"/>
  <c r="K105" i="5"/>
  <c r="D35" i="7" s="1"/>
  <c r="L105" i="5"/>
  <c r="F35" i="7" s="1"/>
  <c r="M105" i="5"/>
  <c r="N105" i="5"/>
  <c r="O105" i="5"/>
  <c r="P105" i="5"/>
  <c r="Q105" i="5"/>
  <c r="H105" i="5"/>
  <c r="C35" i="7" s="1"/>
  <c r="E810" i="6"/>
  <c r="F810" i="6"/>
  <c r="G810" i="6"/>
  <c r="H810" i="6"/>
  <c r="I810" i="6"/>
  <c r="J810" i="6"/>
  <c r="K810" i="6"/>
  <c r="L810" i="6"/>
  <c r="M810" i="6"/>
  <c r="N810" i="6"/>
  <c r="O810" i="6"/>
  <c r="P810" i="6"/>
  <c r="Q810" i="6"/>
  <c r="R810" i="6"/>
  <c r="S810" i="6"/>
  <c r="T810" i="6"/>
  <c r="U810" i="6"/>
  <c r="V810" i="6"/>
  <c r="W810" i="6"/>
  <c r="X810" i="6"/>
  <c r="Y810" i="6"/>
  <c r="Z810" i="6"/>
  <c r="AA810" i="6"/>
  <c r="E808" i="6"/>
  <c r="F808" i="6"/>
  <c r="F807" i="6" s="1"/>
  <c r="G808" i="6"/>
  <c r="H808" i="6"/>
  <c r="I808" i="6"/>
  <c r="J808" i="6"/>
  <c r="J807" i="6" s="1"/>
  <c r="K808" i="6"/>
  <c r="L808" i="6"/>
  <c r="M808" i="6"/>
  <c r="N808" i="6"/>
  <c r="N807" i="6" s="1"/>
  <c r="O808" i="6"/>
  <c r="P808" i="6"/>
  <c r="Q808" i="6"/>
  <c r="R808" i="6"/>
  <c r="R807" i="6" s="1"/>
  <c r="S808" i="6"/>
  <c r="T808" i="6"/>
  <c r="U808" i="6"/>
  <c r="V808" i="6"/>
  <c r="V807" i="6" s="1"/>
  <c r="W808" i="6"/>
  <c r="X808" i="6"/>
  <c r="Y808" i="6"/>
  <c r="Z808" i="6"/>
  <c r="Z807" i="6" s="1"/>
  <c r="AA808" i="6"/>
  <c r="D809" i="6"/>
  <c r="C809" i="6" s="1"/>
  <c r="C808" i="6" s="1"/>
  <c r="D811" i="6"/>
  <c r="C811" i="6" s="1"/>
  <c r="D813" i="6"/>
  <c r="C813" i="6" s="1"/>
  <c r="D812" i="6"/>
  <c r="C812" i="6" s="1"/>
  <c r="F76" i="7"/>
  <c r="C76" i="7"/>
  <c r="D271" i="6"/>
  <c r="C271" i="6" s="1"/>
  <c r="C270" i="6" s="1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I835" i="5"/>
  <c r="J835" i="5"/>
  <c r="K835" i="5"/>
  <c r="D166" i="7" s="1"/>
  <c r="L835" i="5"/>
  <c r="F166" i="7" s="1"/>
  <c r="M835" i="5"/>
  <c r="N835" i="5"/>
  <c r="O835" i="5"/>
  <c r="P835" i="5"/>
  <c r="Q835" i="5"/>
  <c r="H835" i="5"/>
  <c r="C166" i="7" s="1"/>
  <c r="I78" i="5"/>
  <c r="J78" i="5"/>
  <c r="K78" i="5"/>
  <c r="L78" i="5"/>
  <c r="M78" i="5"/>
  <c r="N78" i="5"/>
  <c r="O78" i="5"/>
  <c r="P78" i="5"/>
  <c r="Q78" i="5"/>
  <c r="H78" i="5"/>
  <c r="D458" i="6"/>
  <c r="E458" i="6"/>
  <c r="F458" i="6"/>
  <c r="G458" i="6"/>
  <c r="H458" i="6"/>
  <c r="I458" i="6"/>
  <c r="J458" i="6"/>
  <c r="K458" i="6"/>
  <c r="L458" i="6"/>
  <c r="M458" i="6"/>
  <c r="N458" i="6"/>
  <c r="O458" i="6"/>
  <c r="P458" i="6"/>
  <c r="Q458" i="6"/>
  <c r="R458" i="6"/>
  <c r="S458" i="6"/>
  <c r="T458" i="6"/>
  <c r="U458" i="6"/>
  <c r="V458" i="6"/>
  <c r="W458" i="6"/>
  <c r="X458" i="6"/>
  <c r="Y458" i="6"/>
  <c r="Z458" i="6"/>
  <c r="AA458" i="6"/>
  <c r="D317" i="6"/>
  <c r="E317" i="6"/>
  <c r="F317" i="6"/>
  <c r="G317" i="6"/>
  <c r="H317" i="6"/>
  <c r="I317" i="6"/>
  <c r="J317" i="6"/>
  <c r="K317" i="6"/>
  <c r="L317" i="6"/>
  <c r="M317" i="6"/>
  <c r="N317" i="6"/>
  <c r="O317" i="6"/>
  <c r="P317" i="6"/>
  <c r="Q317" i="6"/>
  <c r="R317" i="6"/>
  <c r="S317" i="6"/>
  <c r="T317" i="6"/>
  <c r="U317" i="6"/>
  <c r="V317" i="6"/>
  <c r="W317" i="6"/>
  <c r="X317" i="6"/>
  <c r="Y317" i="6"/>
  <c r="Z317" i="6"/>
  <c r="AA317" i="6"/>
  <c r="U807" i="6" l="1"/>
  <c r="Q807" i="6"/>
  <c r="I807" i="6"/>
  <c r="E807" i="6"/>
  <c r="X807" i="6"/>
  <c r="T807" i="6"/>
  <c r="P807" i="6"/>
  <c r="L807" i="6"/>
  <c r="H807" i="6"/>
  <c r="AA807" i="6"/>
  <c r="W807" i="6"/>
  <c r="S807" i="6"/>
  <c r="O807" i="6"/>
  <c r="K807" i="6"/>
  <c r="G807" i="6"/>
  <c r="Y807" i="6"/>
  <c r="M807" i="6"/>
  <c r="C203" i="6"/>
  <c r="C810" i="6"/>
  <c r="C807" i="6" s="1"/>
  <c r="D808" i="6"/>
  <c r="D810" i="6"/>
  <c r="D98" i="6"/>
  <c r="D270" i="6"/>
  <c r="I475" i="5"/>
  <c r="J475" i="5"/>
  <c r="K475" i="5"/>
  <c r="L475" i="5"/>
  <c r="M475" i="5"/>
  <c r="N475" i="5"/>
  <c r="O475" i="5"/>
  <c r="P475" i="5"/>
  <c r="Q475" i="5"/>
  <c r="H475" i="5"/>
  <c r="I326" i="5"/>
  <c r="J326" i="5"/>
  <c r="K326" i="5"/>
  <c r="L326" i="5"/>
  <c r="M326" i="5"/>
  <c r="N326" i="5"/>
  <c r="O326" i="5"/>
  <c r="P326" i="5"/>
  <c r="Q326" i="5"/>
  <c r="H326" i="5"/>
  <c r="E1014" i="6"/>
  <c r="F1014" i="6"/>
  <c r="G1014" i="6"/>
  <c r="H1014" i="6"/>
  <c r="I1014" i="6"/>
  <c r="J1014" i="6"/>
  <c r="K1014" i="6"/>
  <c r="L1014" i="6"/>
  <c r="M1014" i="6"/>
  <c r="N1014" i="6"/>
  <c r="O1014" i="6"/>
  <c r="P1014" i="6"/>
  <c r="Q1014" i="6"/>
  <c r="R1014" i="6"/>
  <c r="S1014" i="6"/>
  <c r="T1014" i="6"/>
  <c r="U1014" i="6"/>
  <c r="V1014" i="6"/>
  <c r="W1014" i="6"/>
  <c r="X1014" i="6"/>
  <c r="Y1014" i="6"/>
  <c r="Z1014" i="6"/>
  <c r="AA1014" i="6"/>
  <c r="D1016" i="6"/>
  <c r="C1016" i="6" s="1"/>
  <c r="D1017" i="6"/>
  <c r="C1017" i="6" s="1"/>
  <c r="D1018" i="6"/>
  <c r="C1018" i="6" s="1"/>
  <c r="D1019" i="6"/>
  <c r="C1019" i="6" s="1"/>
  <c r="D1020" i="6"/>
  <c r="C1020" i="6" s="1"/>
  <c r="D1021" i="6"/>
  <c r="C1021" i="6" s="1"/>
  <c r="E465" i="6"/>
  <c r="F465" i="6"/>
  <c r="G465" i="6"/>
  <c r="H465" i="6"/>
  <c r="I465" i="6"/>
  <c r="J465" i="6"/>
  <c r="K465" i="6"/>
  <c r="L465" i="6"/>
  <c r="M465" i="6"/>
  <c r="N465" i="6"/>
  <c r="O465" i="6"/>
  <c r="P465" i="6"/>
  <c r="Q465" i="6"/>
  <c r="R465" i="6"/>
  <c r="S465" i="6"/>
  <c r="T465" i="6"/>
  <c r="U465" i="6"/>
  <c r="V465" i="6"/>
  <c r="W465" i="6"/>
  <c r="X465" i="6"/>
  <c r="Y465" i="6"/>
  <c r="Z465" i="6"/>
  <c r="AA465" i="6"/>
  <c r="E325" i="6"/>
  <c r="F325" i="6"/>
  <c r="G325" i="6"/>
  <c r="H325" i="6"/>
  <c r="I325" i="6"/>
  <c r="J325" i="6"/>
  <c r="K325" i="6"/>
  <c r="L325" i="6"/>
  <c r="M325" i="6"/>
  <c r="N325" i="6"/>
  <c r="O325" i="6"/>
  <c r="P325" i="6"/>
  <c r="Q325" i="6"/>
  <c r="R325" i="6"/>
  <c r="S325" i="6"/>
  <c r="T325" i="6"/>
  <c r="U325" i="6"/>
  <c r="V325" i="6"/>
  <c r="W325" i="6"/>
  <c r="X325" i="6"/>
  <c r="Y325" i="6"/>
  <c r="Z325" i="6"/>
  <c r="AA325" i="6"/>
  <c r="D329" i="6"/>
  <c r="C329" i="6" s="1"/>
  <c r="I1038" i="5"/>
  <c r="J1038" i="5"/>
  <c r="K1038" i="5"/>
  <c r="L1038" i="5"/>
  <c r="M1038" i="5"/>
  <c r="N1038" i="5"/>
  <c r="O1038" i="5"/>
  <c r="P1038" i="5"/>
  <c r="Q1038" i="5"/>
  <c r="H1038" i="5"/>
  <c r="D807" i="6" l="1"/>
  <c r="I334" i="5"/>
  <c r="J334" i="5"/>
  <c r="K334" i="5"/>
  <c r="L334" i="5"/>
  <c r="M334" i="5"/>
  <c r="N334" i="5"/>
  <c r="P334" i="5"/>
  <c r="Q334" i="5"/>
  <c r="H334" i="5"/>
  <c r="I181" i="5"/>
  <c r="J181" i="5"/>
  <c r="K181" i="5"/>
  <c r="L181" i="5"/>
  <c r="M181" i="5"/>
  <c r="N181" i="5"/>
  <c r="P181" i="5"/>
  <c r="Q181" i="5"/>
  <c r="H181" i="5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D76" i="6"/>
  <c r="C76" i="6" s="1"/>
  <c r="C75" i="6" s="1"/>
  <c r="Q82" i="5"/>
  <c r="P82" i="5"/>
  <c r="O82" i="5"/>
  <c r="N82" i="5"/>
  <c r="M82" i="5"/>
  <c r="L82" i="5"/>
  <c r="F29" i="7" s="1"/>
  <c r="K82" i="5"/>
  <c r="D29" i="7" s="1"/>
  <c r="J82" i="5"/>
  <c r="I82" i="5"/>
  <c r="H82" i="5"/>
  <c r="C29" i="7" s="1"/>
  <c r="D291" i="6"/>
  <c r="C291" i="6" s="1"/>
  <c r="D292" i="6"/>
  <c r="C292" i="6" s="1"/>
  <c r="D293" i="6"/>
  <c r="C293" i="6" s="1"/>
  <c r="D294" i="6"/>
  <c r="C294" i="6" s="1"/>
  <c r="D290" i="6"/>
  <c r="C290" i="6" s="1"/>
  <c r="O900" i="5"/>
  <c r="O899" i="5"/>
  <c r="J444" i="5"/>
  <c r="J443" i="5"/>
  <c r="J442" i="5"/>
  <c r="J441" i="5"/>
  <c r="J440" i="5"/>
  <c r="J439" i="5"/>
  <c r="I301" i="5"/>
  <c r="J301" i="5"/>
  <c r="K301" i="5"/>
  <c r="L301" i="5"/>
  <c r="M301" i="5"/>
  <c r="N301" i="5"/>
  <c r="O301" i="5"/>
  <c r="P301" i="5"/>
  <c r="Q301" i="5"/>
  <c r="H301" i="5"/>
  <c r="K115" i="5"/>
  <c r="L115" i="5"/>
  <c r="M115" i="5"/>
  <c r="N115" i="5"/>
  <c r="O115" i="5"/>
  <c r="P115" i="5"/>
  <c r="Q115" i="5"/>
  <c r="J123" i="5"/>
  <c r="J122" i="5"/>
  <c r="J121" i="5"/>
  <c r="J120" i="5"/>
  <c r="J119" i="5"/>
  <c r="J118" i="5"/>
  <c r="J117" i="5"/>
  <c r="I117" i="5"/>
  <c r="H117" i="5" s="1"/>
  <c r="H115" i="5" s="1"/>
  <c r="I116" i="5"/>
  <c r="J116" i="5" s="1"/>
  <c r="D780" i="6"/>
  <c r="C780" i="6" s="1"/>
  <c r="D781" i="6"/>
  <c r="C781" i="6" s="1"/>
  <c r="D782" i="6"/>
  <c r="C782" i="6" s="1"/>
  <c r="D783" i="6"/>
  <c r="C783" i="6" s="1"/>
  <c r="I789" i="5"/>
  <c r="I788" i="5" s="1"/>
  <c r="J789" i="5"/>
  <c r="J788" i="5" s="1"/>
  <c r="K789" i="5"/>
  <c r="K788" i="5" s="1"/>
  <c r="L789" i="5"/>
  <c r="L788" i="5" s="1"/>
  <c r="M789" i="5"/>
  <c r="M788" i="5" s="1"/>
  <c r="N789" i="5"/>
  <c r="N788" i="5" s="1"/>
  <c r="P789" i="5"/>
  <c r="P788" i="5" s="1"/>
  <c r="Q789" i="5"/>
  <c r="Q788" i="5" s="1"/>
  <c r="H789" i="5"/>
  <c r="H788" i="5" s="1"/>
  <c r="C82" i="7" l="1"/>
  <c r="F82" i="7"/>
  <c r="D82" i="7"/>
  <c r="F38" i="7"/>
  <c r="C38" i="7"/>
  <c r="D38" i="7"/>
  <c r="D75" i="6"/>
  <c r="J115" i="5"/>
  <c r="I115" i="5"/>
  <c r="D385" i="6"/>
  <c r="C385" i="6" s="1"/>
  <c r="D800" i="6"/>
  <c r="C800" i="6" s="1"/>
  <c r="E391" i="6"/>
  <c r="F391" i="6"/>
  <c r="G391" i="6"/>
  <c r="H391" i="6"/>
  <c r="I391" i="6"/>
  <c r="J391" i="6"/>
  <c r="K391" i="6"/>
  <c r="L391" i="6"/>
  <c r="M391" i="6"/>
  <c r="N391" i="6"/>
  <c r="O391" i="6"/>
  <c r="P391" i="6"/>
  <c r="Q391" i="6"/>
  <c r="R391" i="6"/>
  <c r="S391" i="6"/>
  <c r="T391" i="6"/>
  <c r="U391" i="6"/>
  <c r="V391" i="6"/>
  <c r="W391" i="6"/>
  <c r="X391" i="6"/>
  <c r="Y391" i="6"/>
  <c r="Z391" i="6"/>
  <c r="AA391" i="6"/>
  <c r="E265" i="6"/>
  <c r="F265" i="6"/>
  <c r="G265" i="6"/>
  <c r="H265" i="6"/>
  <c r="I265" i="6"/>
  <c r="J265" i="6"/>
  <c r="K265" i="6"/>
  <c r="L265" i="6"/>
  <c r="M265" i="6"/>
  <c r="N265" i="6"/>
  <c r="O265" i="6"/>
  <c r="P265" i="6"/>
  <c r="Q265" i="6"/>
  <c r="R265" i="6"/>
  <c r="S265" i="6"/>
  <c r="T265" i="6"/>
  <c r="U265" i="6"/>
  <c r="V265" i="6"/>
  <c r="W265" i="6"/>
  <c r="X265" i="6"/>
  <c r="Y265" i="6"/>
  <c r="Z265" i="6"/>
  <c r="AA265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I410" i="5"/>
  <c r="J410" i="5"/>
  <c r="K410" i="5"/>
  <c r="L410" i="5"/>
  <c r="M410" i="5"/>
  <c r="N410" i="5"/>
  <c r="P410" i="5"/>
  <c r="Q410" i="5"/>
  <c r="H410" i="5"/>
  <c r="I277" i="5"/>
  <c r="J277" i="5"/>
  <c r="K277" i="5"/>
  <c r="L277" i="5"/>
  <c r="M277" i="5"/>
  <c r="N277" i="5"/>
  <c r="O277" i="5"/>
  <c r="P277" i="5"/>
  <c r="Q277" i="5"/>
  <c r="H277" i="5"/>
  <c r="I67" i="5"/>
  <c r="J67" i="5"/>
  <c r="K67" i="5"/>
  <c r="L67" i="5"/>
  <c r="M67" i="5"/>
  <c r="N67" i="5"/>
  <c r="O67" i="5"/>
  <c r="P67" i="5"/>
  <c r="Q67" i="5"/>
  <c r="H67" i="5"/>
  <c r="D790" i="6"/>
  <c r="C790" i="6" s="1"/>
  <c r="D387" i="6"/>
  <c r="E387" i="6"/>
  <c r="F387" i="6"/>
  <c r="G387" i="6"/>
  <c r="H387" i="6"/>
  <c r="I387" i="6"/>
  <c r="J387" i="6"/>
  <c r="K387" i="6"/>
  <c r="L387" i="6"/>
  <c r="M387" i="6"/>
  <c r="N387" i="6"/>
  <c r="O387" i="6"/>
  <c r="P387" i="6"/>
  <c r="Q387" i="6"/>
  <c r="R387" i="6"/>
  <c r="S387" i="6"/>
  <c r="T387" i="6"/>
  <c r="U387" i="6"/>
  <c r="V387" i="6"/>
  <c r="W387" i="6"/>
  <c r="X387" i="6"/>
  <c r="Y387" i="6"/>
  <c r="Z387" i="6"/>
  <c r="AA387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D58" i="6"/>
  <c r="C58" i="6" s="1"/>
  <c r="I406" i="5"/>
  <c r="J406" i="5"/>
  <c r="K406" i="5"/>
  <c r="L406" i="5"/>
  <c r="M406" i="5"/>
  <c r="N406" i="5"/>
  <c r="O406" i="5"/>
  <c r="P406" i="5"/>
  <c r="Q406" i="5"/>
  <c r="H406" i="5"/>
  <c r="I63" i="5"/>
  <c r="J63" i="5"/>
  <c r="K63" i="5"/>
  <c r="L63" i="5"/>
  <c r="M63" i="5"/>
  <c r="N63" i="5"/>
  <c r="O63" i="5"/>
  <c r="P63" i="5"/>
  <c r="Q63" i="5"/>
  <c r="H63" i="5"/>
  <c r="E305" i="6"/>
  <c r="F305" i="6"/>
  <c r="G305" i="6"/>
  <c r="H305" i="6"/>
  <c r="I305" i="6"/>
  <c r="J305" i="6"/>
  <c r="K305" i="6"/>
  <c r="L305" i="6"/>
  <c r="M305" i="6"/>
  <c r="N305" i="6"/>
  <c r="O305" i="6"/>
  <c r="P305" i="6"/>
  <c r="Q305" i="6"/>
  <c r="R305" i="6"/>
  <c r="S305" i="6"/>
  <c r="T305" i="6"/>
  <c r="U305" i="6"/>
  <c r="V305" i="6"/>
  <c r="W305" i="6"/>
  <c r="X305" i="6"/>
  <c r="Y305" i="6"/>
  <c r="Z305" i="6"/>
  <c r="AA305" i="6"/>
  <c r="D306" i="6"/>
  <c r="C306" i="6" s="1"/>
  <c r="C305" i="6" s="1"/>
  <c r="I317" i="5"/>
  <c r="J317" i="5"/>
  <c r="K317" i="5"/>
  <c r="D86" i="7" s="1"/>
  <c r="L317" i="5"/>
  <c r="F86" i="7" s="1"/>
  <c r="M317" i="5"/>
  <c r="N317" i="5"/>
  <c r="O317" i="5"/>
  <c r="P317" i="5"/>
  <c r="Q317" i="5"/>
  <c r="H317" i="5"/>
  <c r="C86" i="7" s="1"/>
  <c r="E284" i="6"/>
  <c r="F284" i="6"/>
  <c r="G284" i="6"/>
  <c r="H284" i="6"/>
  <c r="I284" i="6"/>
  <c r="J284" i="6"/>
  <c r="K284" i="6"/>
  <c r="L284" i="6"/>
  <c r="M284" i="6"/>
  <c r="N284" i="6"/>
  <c r="O284" i="6"/>
  <c r="P284" i="6"/>
  <c r="Q284" i="6"/>
  <c r="R284" i="6"/>
  <c r="S284" i="6"/>
  <c r="T284" i="6"/>
  <c r="U284" i="6"/>
  <c r="V284" i="6"/>
  <c r="W284" i="6"/>
  <c r="X284" i="6"/>
  <c r="Y284" i="6"/>
  <c r="Z284" i="6"/>
  <c r="AA284" i="6"/>
  <c r="D287" i="6"/>
  <c r="C287" i="6" s="1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D106" i="6"/>
  <c r="C106" i="6" s="1"/>
  <c r="E413" i="6"/>
  <c r="F413" i="6"/>
  <c r="G413" i="6"/>
  <c r="H413" i="6"/>
  <c r="I413" i="6"/>
  <c r="J413" i="6"/>
  <c r="K413" i="6"/>
  <c r="L413" i="6"/>
  <c r="M413" i="6"/>
  <c r="N413" i="6"/>
  <c r="O413" i="6"/>
  <c r="P413" i="6"/>
  <c r="Q413" i="6"/>
  <c r="R413" i="6"/>
  <c r="S413" i="6"/>
  <c r="T413" i="6"/>
  <c r="U413" i="6"/>
  <c r="V413" i="6"/>
  <c r="W413" i="6"/>
  <c r="X413" i="6"/>
  <c r="Y413" i="6"/>
  <c r="Z413" i="6"/>
  <c r="AA413" i="6"/>
  <c r="D417" i="6"/>
  <c r="C417" i="6" s="1"/>
  <c r="D858" i="6"/>
  <c r="C858" i="6" s="1"/>
  <c r="D859" i="6"/>
  <c r="C859" i="6" s="1"/>
  <c r="D860" i="6"/>
  <c r="I432" i="5"/>
  <c r="J432" i="5"/>
  <c r="K432" i="5"/>
  <c r="L432" i="5"/>
  <c r="M432" i="5"/>
  <c r="N432" i="5"/>
  <c r="O432" i="5"/>
  <c r="P432" i="5"/>
  <c r="Q432" i="5"/>
  <c r="H432" i="5"/>
  <c r="I427" i="5"/>
  <c r="J427" i="5"/>
  <c r="K427" i="5"/>
  <c r="L427" i="5"/>
  <c r="M427" i="5"/>
  <c r="N427" i="5"/>
  <c r="O427" i="5"/>
  <c r="P427" i="5"/>
  <c r="Q427" i="5"/>
  <c r="H427" i="5"/>
  <c r="I296" i="5"/>
  <c r="J296" i="5"/>
  <c r="K296" i="5"/>
  <c r="L296" i="5"/>
  <c r="M296" i="5"/>
  <c r="N296" i="5"/>
  <c r="O296" i="5"/>
  <c r="P296" i="5"/>
  <c r="Q296" i="5"/>
  <c r="H296" i="5"/>
  <c r="I107" i="5"/>
  <c r="J107" i="5"/>
  <c r="K107" i="5"/>
  <c r="L107" i="5"/>
  <c r="M107" i="5"/>
  <c r="N107" i="5"/>
  <c r="O107" i="5"/>
  <c r="P107" i="5"/>
  <c r="Q107" i="5"/>
  <c r="H107" i="5"/>
  <c r="D726" i="6"/>
  <c r="C726" i="6" s="1"/>
  <c r="D725" i="6"/>
  <c r="C725" i="6" s="1"/>
  <c r="D724" i="6"/>
  <c r="C724" i="6" s="1"/>
  <c r="D717" i="6"/>
  <c r="C717" i="6" s="1"/>
  <c r="D718" i="6"/>
  <c r="C718" i="6" s="1"/>
  <c r="D719" i="6"/>
  <c r="C719" i="6" s="1"/>
  <c r="D720" i="6"/>
  <c r="C720" i="6" s="1"/>
  <c r="D721" i="6"/>
  <c r="C721" i="6" s="1"/>
  <c r="D722" i="6"/>
  <c r="C722" i="6" s="1"/>
  <c r="D723" i="6"/>
  <c r="C723" i="6" s="1"/>
  <c r="E369" i="6"/>
  <c r="F369" i="6"/>
  <c r="G369" i="6"/>
  <c r="H369" i="6"/>
  <c r="I369" i="6"/>
  <c r="J369" i="6"/>
  <c r="K369" i="6"/>
  <c r="L369" i="6"/>
  <c r="M369" i="6"/>
  <c r="N369" i="6"/>
  <c r="O369" i="6"/>
  <c r="P369" i="6"/>
  <c r="Q369" i="6"/>
  <c r="R369" i="6"/>
  <c r="S369" i="6"/>
  <c r="T369" i="6"/>
  <c r="U369" i="6"/>
  <c r="V369" i="6"/>
  <c r="W369" i="6"/>
  <c r="X369" i="6"/>
  <c r="Y369" i="6"/>
  <c r="Z369" i="6"/>
  <c r="AA369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D63" i="6"/>
  <c r="C63" i="6" s="1"/>
  <c r="C62" i="6" s="1"/>
  <c r="I69" i="5"/>
  <c r="J69" i="5"/>
  <c r="K69" i="5"/>
  <c r="D23" i="7" s="1"/>
  <c r="L69" i="5"/>
  <c r="F23" i="7" s="1"/>
  <c r="M69" i="5"/>
  <c r="N69" i="5"/>
  <c r="O69" i="5"/>
  <c r="P69" i="5"/>
  <c r="Q69" i="5"/>
  <c r="H69" i="5"/>
  <c r="C23" i="7" s="1"/>
  <c r="E904" i="6"/>
  <c r="F904" i="6"/>
  <c r="G904" i="6"/>
  <c r="H904" i="6"/>
  <c r="I904" i="6"/>
  <c r="J904" i="6"/>
  <c r="K904" i="6"/>
  <c r="L904" i="6"/>
  <c r="M904" i="6"/>
  <c r="N904" i="6"/>
  <c r="O904" i="6"/>
  <c r="P904" i="6"/>
  <c r="Q904" i="6"/>
  <c r="R904" i="6"/>
  <c r="S904" i="6"/>
  <c r="T904" i="6"/>
  <c r="U904" i="6"/>
  <c r="V904" i="6"/>
  <c r="W904" i="6"/>
  <c r="X904" i="6"/>
  <c r="Y904" i="6"/>
  <c r="Z904" i="6"/>
  <c r="AA904" i="6"/>
  <c r="D906" i="6"/>
  <c r="C906" i="6" s="1"/>
  <c r="D907" i="6"/>
  <c r="C907" i="6" s="1"/>
  <c r="D908" i="6"/>
  <c r="C908" i="6" s="1"/>
  <c r="D909" i="6"/>
  <c r="C909" i="6" s="1"/>
  <c r="D910" i="6"/>
  <c r="C910" i="6" s="1"/>
  <c r="D905" i="6"/>
  <c r="C905" i="6" s="1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D305" i="6" l="1"/>
  <c r="C860" i="6"/>
  <c r="D62" i="6"/>
  <c r="C904" i="6"/>
  <c r="D904" i="6"/>
  <c r="I131" i="5" l="1"/>
  <c r="J131" i="5"/>
  <c r="K131" i="5"/>
  <c r="L131" i="5"/>
  <c r="M131" i="5"/>
  <c r="N131" i="5"/>
  <c r="O131" i="5"/>
  <c r="P131" i="5"/>
  <c r="Q131" i="5"/>
  <c r="H131" i="5"/>
  <c r="E394" i="6"/>
  <c r="F394" i="6"/>
  <c r="G394" i="6"/>
  <c r="H394" i="6"/>
  <c r="I394" i="6"/>
  <c r="J394" i="6"/>
  <c r="K394" i="6"/>
  <c r="L394" i="6"/>
  <c r="M394" i="6"/>
  <c r="N394" i="6"/>
  <c r="O394" i="6"/>
  <c r="P394" i="6"/>
  <c r="Q394" i="6"/>
  <c r="R394" i="6"/>
  <c r="S394" i="6"/>
  <c r="T394" i="6"/>
  <c r="U394" i="6"/>
  <c r="V394" i="6"/>
  <c r="W394" i="6"/>
  <c r="X394" i="6"/>
  <c r="Y394" i="6"/>
  <c r="Z394" i="6"/>
  <c r="AA394" i="6"/>
  <c r="D395" i="6"/>
  <c r="C395" i="6" s="1"/>
  <c r="C394" i="6" s="1"/>
  <c r="I413" i="5"/>
  <c r="J413" i="5"/>
  <c r="K413" i="5"/>
  <c r="D112" i="7" s="1"/>
  <c r="L413" i="5"/>
  <c r="F112" i="7" s="1"/>
  <c r="M413" i="5"/>
  <c r="N413" i="5"/>
  <c r="O413" i="5"/>
  <c r="P413" i="5"/>
  <c r="Q413" i="5"/>
  <c r="H413" i="5"/>
  <c r="C112" i="7" s="1"/>
  <c r="D394" i="6" l="1"/>
  <c r="D917" i="6"/>
  <c r="C917" i="6" s="1"/>
  <c r="D918" i="6"/>
  <c r="C918" i="6" s="1"/>
  <c r="D919" i="6"/>
  <c r="C919" i="6" s="1"/>
  <c r="I937" i="5"/>
  <c r="J937" i="5"/>
  <c r="K937" i="5"/>
  <c r="L937" i="5"/>
  <c r="M937" i="5"/>
  <c r="N937" i="5"/>
  <c r="Q937" i="5"/>
  <c r="H937" i="5"/>
  <c r="I456" i="5"/>
  <c r="J456" i="5"/>
  <c r="K456" i="5"/>
  <c r="L456" i="5"/>
  <c r="M456" i="5"/>
  <c r="N456" i="5"/>
  <c r="O456" i="5"/>
  <c r="P456" i="5"/>
  <c r="Q456" i="5"/>
  <c r="H456" i="5"/>
  <c r="I754" i="5"/>
  <c r="J754" i="5"/>
  <c r="K754" i="5"/>
  <c r="L754" i="5"/>
  <c r="M754" i="5"/>
  <c r="N754" i="5"/>
  <c r="Q754" i="5"/>
  <c r="H754" i="5"/>
  <c r="E250" i="6"/>
  <c r="F250" i="6"/>
  <c r="G250" i="6"/>
  <c r="H250" i="6"/>
  <c r="I250" i="6"/>
  <c r="J250" i="6"/>
  <c r="K250" i="6"/>
  <c r="L250" i="6"/>
  <c r="M250" i="6"/>
  <c r="N250" i="6"/>
  <c r="O250" i="6"/>
  <c r="P250" i="6"/>
  <c r="Q250" i="6"/>
  <c r="R250" i="6"/>
  <c r="S250" i="6"/>
  <c r="T250" i="6"/>
  <c r="U250" i="6"/>
  <c r="V250" i="6"/>
  <c r="W250" i="6"/>
  <c r="X250" i="6"/>
  <c r="Y250" i="6"/>
  <c r="Z250" i="6"/>
  <c r="AA250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I262" i="5"/>
  <c r="J262" i="5"/>
  <c r="K262" i="5"/>
  <c r="L262" i="5"/>
  <c r="M262" i="5"/>
  <c r="N262" i="5"/>
  <c r="O262" i="5"/>
  <c r="P262" i="5"/>
  <c r="Q262" i="5"/>
  <c r="H262" i="5"/>
  <c r="I46" i="5"/>
  <c r="J46" i="5"/>
  <c r="K46" i="5"/>
  <c r="L46" i="5"/>
  <c r="M46" i="5"/>
  <c r="N46" i="5"/>
  <c r="O46" i="5"/>
  <c r="P46" i="5"/>
  <c r="Q46" i="5"/>
  <c r="H46" i="5"/>
  <c r="E828" i="6"/>
  <c r="F828" i="6"/>
  <c r="G828" i="6"/>
  <c r="H828" i="6"/>
  <c r="I828" i="6"/>
  <c r="J828" i="6"/>
  <c r="K828" i="6"/>
  <c r="L828" i="6"/>
  <c r="M828" i="6"/>
  <c r="N828" i="6"/>
  <c r="O828" i="6"/>
  <c r="P828" i="6"/>
  <c r="Q828" i="6"/>
  <c r="R828" i="6"/>
  <c r="S828" i="6"/>
  <c r="T828" i="6"/>
  <c r="U828" i="6"/>
  <c r="V828" i="6"/>
  <c r="W828" i="6"/>
  <c r="X828" i="6"/>
  <c r="Y828" i="6"/>
  <c r="Z828" i="6"/>
  <c r="AA828" i="6"/>
  <c r="D840" i="6"/>
  <c r="C840" i="6" s="1"/>
  <c r="D841" i="6"/>
  <c r="C841" i="6" s="1"/>
  <c r="D842" i="6"/>
  <c r="C842" i="6" s="1"/>
  <c r="D843" i="6"/>
  <c r="C843" i="6" s="1"/>
  <c r="D844" i="6"/>
  <c r="C844" i="6" s="1"/>
  <c r="D845" i="6"/>
  <c r="C845" i="6" s="1"/>
  <c r="D846" i="6"/>
  <c r="C846" i="6" s="1"/>
  <c r="D847" i="6"/>
  <c r="C847" i="6" s="1"/>
  <c r="D848" i="6"/>
  <c r="C848" i="6" s="1"/>
  <c r="D849" i="6"/>
  <c r="C849" i="6" s="1"/>
  <c r="D850" i="6"/>
  <c r="C850" i="6" s="1"/>
  <c r="D851" i="6"/>
  <c r="C851" i="6" s="1"/>
  <c r="D852" i="6"/>
  <c r="C852" i="6" s="1"/>
  <c r="D853" i="6"/>
  <c r="C853" i="6" s="1"/>
  <c r="D854" i="6"/>
  <c r="C854" i="6" s="1"/>
  <c r="D855" i="6"/>
  <c r="C855" i="6" s="1"/>
  <c r="E408" i="6"/>
  <c r="F408" i="6"/>
  <c r="G408" i="6"/>
  <c r="H408" i="6"/>
  <c r="I408" i="6"/>
  <c r="J408" i="6"/>
  <c r="K408" i="6"/>
  <c r="L408" i="6"/>
  <c r="M408" i="6"/>
  <c r="N408" i="6"/>
  <c r="O408" i="6"/>
  <c r="P408" i="6"/>
  <c r="Q408" i="6"/>
  <c r="R408" i="6"/>
  <c r="S408" i="6"/>
  <c r="T408" i="6"/>
  <c r="U408" i="6"/>
  <c r="V408" i="6"/>
  <c r="W408" i="6"/>
  <c r="X408" i="6"/>
  <c r="Y408" i="6"/>
  <c r="Z408" i="6"/>
  <c r="AA408" i="6"/>
  <c r="E278" i="6"/>
  <c r="F278" i="6"/>
  <c r="G278" i="6"/>
  <c r="H278" i="6"/>
  <c r="I278" i="6"/>
  <c r="J278" i="6"/>
  <c r="K278" i="6"/>
  <c r="L278" i="6"/>
  <c r="M278" i="6"/>
  <c r="N278" i="6"/>
  <c r="O278" i="6"/>
  <c r="P278" i="6"/>
  <c r="Q278" i="6"/>
  <c r="R278" i="6"/>
  <c r="S278" i="6"/>
  <c r="T278" i="6"/>
  <c r="U278" i="6"/>
  <c r="V278" i="6"/>
  <c r="W278" i="6"/>
  <c r="X278" i="6"/>
  <c r="Y278" i="6"/>
  <c r="Z278" i="6"/>
  <c r="AA278" i="6"/>
  <c r="I853" i="5"/>
  <c r="J853" i="5"/>
  <c r="K853" i="5"/>
  <c r="L853" i="5"/>
  <c r="M853" i="5"/>
  <c r="N853" i="5"/>
  <c r="P853" i="5"/>
  <c r="Q853" i="5"/>
  <c r="H853" i="5"/>
  <c r="O879" i="5"/>
  <c r="O853" i="5" s="1"/>
  <c r="I290" i="5" l="1"/>
  <c r="J290" i="5"/>
  <c r="K290" i="5"/>
  <c r="L290" i="5"/>
  <c r="M290" i="5"/>
  <c r="N290" i="5"/>
  <c r="O290" i="5"/>
  <c r="P290" i="5"/>
  <c r="Q290" i="5"/>
  <c r="H290" i="5"/>
  <c r="D441" i="6" l="1"/>
  <c r="C441" i="6" s="1"/>
  <c r="D442" i="6"/>
  <c r="C442" i="6" s="1"/>
  <c r="D440" i="6"/>
  <c r="C440" i="6" s="1"/>
  <c r="E439" i="6"/>
  <c r="F439" i="6"/>
  <c r="G439" i="6"/>
  <c r="H439" i="6"/>
  <c r="I439" i="6"/>
  <c r="J439" i="6"/>
  <c r="K439" i="6"/>
  <c r="L439" i="6"/>
  <c r="M439" i="6"/>
  <c r="N439" i="6"/>
  <c r="O439" i="6"/>
  <c r="P439" i="6"/>
  <c r="Q439" i="6"/>
  <c r="R439" i="6"/>
  <c r="S439" i="6"/>
  <c r="T439" i="6"/>
  <c r="U439" i="6"/>
  <c r="V439" i="6"/>
  <c r="W439" i="6"/>
  <c r="X439" i="6"/>
  <c r="Y439" i="6"/>
  <c r="Z439" i="6"/>
  <c r="AA439" i="6"/>
  <c r="D931" i="6" l="1"/>
  <c r="C931" i="6" s="1"/>
  <c r="D932" i="6"/>
  <c r="C932" i="6" s="1"/>
  <c r="D933" i="6"/>
  <c r="C933" i="6" s="1"/>
  <c r="D934" i="6"/>
  <c r="C934" i="6" s="1"/>
  <c r="D935" i="6"/>
  <c r="C935" i="6" s="1"/>
  <c r="D936" i="6"/>
  <c r="C936" i="6" s="1"/>
  <c r="D937" i="6"/>
  <c r="C937" i="6" s="1"/>
  <c r="D938" i="6"/>
  <c r="C938" i="6" s="1"/>
  <c r="D994" i="6"/>
  <c r="C994" i="6" s="1"/>
  <c r="D995" i="6"/>
  <c r="C995" i="6" s="1"/>
  <c r="D996" i="6"/>
  <c r="C996" i="6" s="1"/>
  <c r="D997" i="6"/>
  <c r="C997" i="6" s="1"/>
  <c r="D998" i="6"/>
  <c r="C998" i="6" s="1"/>
  <c r="D993" i="6"/>
  <c r="E463" i="6"/>
  <c r="F463" i="6"/>
  <c r="G463" i="6"/>
  <c r="H463" i="6"/>
  <c r="I463" i="6"/>
  <c r="J463" i="6"/>
  <c r="K463" i="6"/>
  <c r="L463" i="6"/>
  <c r="M463" i="6"/>
  <c r="N463" i="6"/>
  <c r="O463" i="6"/>
  <c r="P463" i="6"/>
  <c r="Q463" i="6"/>
  <c r="R463" i="6"/>
  <c r="S463" i="6"/>
  <c r="T463" i="6"/>
  <c r="U463" i="6"/>
  <c r="V463" i="6"/>
  <c r="W463" i="6"/>
  <c r="X463" i="6"/>
  <c r="Y463" i="6"/>
  <c r="Z463" i="6"/>
  <c r="AA463" i="6"/>
  <c r="E321" i="6"/>
  <c r="F321" i="6"/>
  <c r="G321" i="6"/>
  <c r="H321" i="6"/>
  <c r="I321" i="6"/>
  <c r="J321" i="6"/>
  <c r="K321" i="6"/>
  <c r="L321" i="6"/>
  <c r="M321" i="6"/>
  <c r="N321" i="6"/>
  <c r="O321" i="6"/>
  <c r="P321" i="6"/>
  <c r="Q321" i="6"/>
  <c r="R321" i="6"/>
  <c r="S321" i="6"/>
  <c r="T321" i="6"/>
  <c r="U321" i="6"/>
  <c r="V321" i="6"/>
  <c r="W321" i="6"/>
  <c r="X321" i="6"/>
  <c r="Y321" i="6"/>
  <c r="Z321" i="6"/>
  <c r="AA321" i="6"/>
  <c r="C993" i="6" l="1"/>
  <c r="E1011" i="6"/>
  <c r="E1010" i="6" s="1"/>
  <c r="F1011" i="6"/>
  <c r="F1010" i="6" s="1"/>
  <c r="G1011" i="6"/>
  <c r="G1010" i="6" s="1"/>
  <c r="H1011" i="6"/>
  <c r="H1010" i="6" s="1"/>
  <c r="I1011" i="6"/>
  <c r="I1010" i="6" s="1"/>
  <c r="J1011" i="6"/>
  <c r="J1010" i="6" s="1"/>
  <c r="K1011" i="6"/>
  <c r="K1010" i="6" s="1"/>
  <c r="L1011" i="6"/>
  <c r="L1010" i="6" s="1"/>
  <c r="M1011" i="6"/>
  <c r="M1010" i="6" s="1"/>
  <c r="N1011" i="6"/>
  <c r="N1010" i="6" s="1"/>
  <c r="O1011" i="6"/>
  <c r="O1010" i="6" s="1"/>
  <c r="P1011" i="6"/>
  <c r="P1010" i="6" s="1"/>
  <c r="Q1011" i="6"/>
  <c r="Q1010" i="6" s="1"/>
  <c r="R1011" i="6"/>
  <c r="R1010" i="6" s="1"/>
  <c r="S1011" i="6"/>
  <c r="S1010" i="6" s="1"/>
  <c r="T1011" i="6"/>
  <c r="T1010" i="6" s="1"/>
  <c r="U1011" i="6"/>
  <c r="U1010" i="6" s="1"/>
  <c r="V1011" i="6"/>
  <c r="V1010" i="6" s="1"/>
  <c r="W1011" i="6"/>
  <c r="W1010" i="6" s="1"/>
  <c r="X1011" i="6"/>
  <c r="X1010" i="6" s="1"/>
  <c r="Y1011" i="6"/>
  <c r="Y1010" i="6" s="1"/>
  <c r="Z1011" i="6"/>
  <c r="Z1010" i="6" s="1"/>
  <c r="AA1011" i="6"/>
  <c r="AA1010" i="6" s="1"/>
  <c r="D1013" i="6"/>
  <c r="C1013" i="6" s="1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I1035" i="5"/>
  <c r="I1034" i="5" s="1"/>
  <c r="J1035" i="5"/>
  <c r="J1034" i="5" s="1"/>
  <c r="K1035" i="5"/>
  <c r="K1034" i="5" s="1"/>
  <c r="L1035" i="5"/>
  <c r="L1034" i="5" s="1"/>
  <c r="M1035" i="5"/>
  <c r="M1034" i="5" s="1"/>
  <c r="N1035" i="5"/>
  <c r="N1034" i="5" s="1"/>
  <c r="O1035" i="5"/>
  <c r="O1034" i="5" s="1"/>
  <c r="P1035" i="5"/>
  <c r="P1034" i="5" s="1"/>
  <c r="Q1035" i="5"/>
  <c r="Q1034" i="5" s="1"/>
  <c r="H1035" i="5"/>
  <c r="H1034" i="5" s="1"/>
  <c r="I179" i="5"/>
  <c r="J179" i="5"/>
  <c r="K179" i="5"/>
  <c r="L179" i="5"/>
  <c r="M179" i="5"/>
  <c r="N179" i="5"/>
  <c r="O179" i="5"/>
  <c r="Q179" i="5"/>
  <c r="H179" i="5"/>
  <c r="P962" i="5" l="1"/>
  <c r="I458" i="5"/>
  <c r="J458" i="5"/>
  <c r="K458" i="5"/>
  <c r="L458" i="5"/>
  <c r="M458" i="5"/>
  <c r="N458" i="5"/>
  <c r="P458" i="5"/>
  <c r="Q458" i="5"/>
  <c r="H458" i="5"/>
  <c r="I311" i="5"/>
  <c r="J311" i="5"/>
  <c r="K311" i="5"/>
  <c r="D85" i="7" s="1"/>
  <c r="L311" i="5"/>
  <c r="F85" i="7" s="1"/>
  <c r="M311" i="5"/>
  <c r="N311" i="5"/>
  <c r="P311" i="5"/>
  <c r="Q311" i="5"/>
  <c r="H311" i="5"/>
  <c r="C85" i="7" s="1"/>
  <c r="E727" i="6"/>
  <c r="F727" i="6"/>
  <c r="G727" i="6"/>
  <c r="H727" i="6"/>
  <c r="I727" i="6"/>
  <c r="J727" i="6"/>
  <c r="K727" i="6"/>
  <c r="L727" i="6"/>
  <c r="M727" i="6"/>
  <c r="N727" i="6"/>
  <c r="O727" i="6"/>
  <c r="P727" i="6"/>
  <c r="Q727" i="6"/>
  <c r="R727" i="6"/>
  <c r="S727" i="6"/>
  <c r="T727" i="6"/>
  <c r="U727" i="6"/>
  <c r="V727" i="6"/>
  <c r="W727" i="6"/>
  <c r="X727" i="6"/>
  <c r="Y727" i="6"/>
  <c r="Z727" i="6"/>
  <c r="AA727" i="6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W247" i="6"/>
  <c r="X247" i="6"/>
  <c r="Y247" i="6"/>
  <c r="Z247" i="6"/>
  <c r="AA247" i="6"/>
  <c r="D249" i="6"/>
  <c r="C249" i="6" s="1"/>
  <c r="D248" i="6"/>
  <c r="C248" i="6" s="1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D38" i="6"/>
  <c r="C38" i="6" s="1"/>
  <c r="C37" i="6" s="1"/>
  <c r="I752" i="5"/>
  <c r="J752" i="5"/>
  <c r="K752" i="5"/>
  <c r="L752" i="5"/>
  <c r="M752" i="5"/>
  <c r="N752" i="5"/>
  <c r="P752" i="5"/>
  <c r="Q752" i="5"/>
  <c r="H752" i="5"/>
  <c r="I259" i="5"/>
  <c r="J259" i="5"/>
  <c r="K259" i="5"/>
  <c r="D65" i="7" s="1"/>
  <c r="L259" i="5"/>
  <c r="F65" i="7" s="1"/>
  <c r="M259" i="5"/>
  <c r="N259" i="5"/>
  <c r="P259" i="5"/>
  <c r="Q259" i="5"/>
  <c r="H259" i="5"/>
  <c r="C65" i="7" s="1"/>
  <c r="O261" i="5"/>
  <c r="O260" i="5"/>
  <c r="I44" i="5"/>
  <c r="J44" i="5"/>
  <c r="K44" i="5"/>
  <c r="D14" i="7" s="1"/>
  <c r="L44" i="5"/>
  <c r="F14" i="7" s="1"/>
  <c r="M44" i="5"/>
  <c r="N44" i="5"/>
  <c r="O44" i="5"/>
  <c r="P44" i="5"/>
  <c r="Q44" i="5"/>
  <c r="H44" i="5"/>
  <c r="C14" i="7" s="1"/>
  <c r="D975" i="6"/>
  <c r="C975" i="6" s="1"/>
  <c r="D976" i="6"/>
  <c r="C976" i="6" s="1"/>
  <c r="E973" i="6"/>
  <c r="F973" i="6"/>
  <c r="G973" i="6"/>
  <c r="H973" i="6"/>
  <c r="I973" i="6"/>
  <c r="J973" i="6"/>
  <c r="K973" i="6"/>
  <c r="L973" i="6"/>
  <c r="M973" i="6"/>
  <c r="N973" i="6"/>
  <c r="O973" i="6"/>
  <c r="P973" i="6"/>
  <c r="Q973" i="6"/>
  <c r="R973" i="6"/>
  <c r="S973" i="6"/>
  <c r="T973" i="6"/>
  <c r="U973" i="6"/>
  <c r="V973" i="6"/>
  <c r="W973" i="6"/>
  <c r="X973" i="6"/>
  <c r="Y973" i="6"/>
  <c r="Z973" i="6"/>
  <c r="AA973" i="6"/>
  <c r="I998" i="5"/>
  <c r="J998" i="5"/>
  <c r="K998" i="5"/>
  <c r="L998" i="5"/>
  <c r="M998" i="5"/>
  <c r="N998" i="5"/>
  <c r="O998" i="5"/>
  <c r="P998" i="5"/>
  <c r="Q998" i="5"/>
  <c r="H998" i="5"/>
  <c r="D405" i="6"/>
  <c r="E405" i="6"/>
  <c r="F405" i="6"/>
  <c r="G405" i="6"/>
  <c r="H405" i="6"/>
  <c r="I405" i="6"/>
  <c r="J405" i="6"/>
  <c r="K405" i="6"/>
  <c r="L405" i="6"/>
  <c r="M405" i="6"/>
  <c r="N405" i="6"/>
  <c r="O405" i="6"/>
  <c r="P405" i="6"/>
  <c r="Q405" i="6"/>
  <c r="R405" i="6"/>
  <c r="S405" i="6"/>
  <c r="T405" i="6"/>
  <c r="U405" i="6"/>
  <c r="V405" i="6"/>
  <c r="W405" i="6"/>
  <c r="X405" i="6"/>
  <c r="Y405" i="6"/>
  <c r="Z405" i="6"/>
  <c r="AA405" i="6"/>
  <c r="E825" i="6"/>
  <c r="F825" i="6"/>
  <c r="G825" i="6"/>
  <c r="H825" i="6"/>
  <c r="I825" i="6"/>
  <c r="J825" i="6"/>
  <c r="K825" i="6"/>
  <c r="L825" i="6"/>
  <c r="M825" i="6"/>
  <c r="N825" i="6"/>
  <c r="O825" i="6"/>
  <c r="P825" i="6"/>
  <c r="Q825" i="6"/>
  <c r="R825" i="6"/>
  <c r="S825" i="6"/>
  <c r="T825" i="6"/>
  <c r="U825" i="6"/>
  <c r="V825" i="6"/>
  <c r="W825" i="6"/>
  <c r="X825" i="6"/>
  <c r="Y825" i="6"/>
  <c r="Z825" i="6"/>
  <c r="AA825" i="6"/>
  <c r="I90" i="5"/>
  <c r="J90" i="5"/>
  <c r="K90" i="5"/>
  <c r="L90" i="5"/>
  <c r="M90" i="5"/>
  <c r="N90" i="5"/>
  <c r="O90" i="5"/>
  <c r="P90" i="5"/>
  <c r="Q90" i="5"/>
  <c r="H90" i="5"/>
  <c r="D742" i="6"/>
  <c r="C742" i="6" s="1"/>
  <c r="D743" i="6"/>
  <c r="C743" i="6" s="1"/>
  <c r="D744" i="6"/>
  <c r="C744" i="6" s="1"/>
  <c r="D745" i="6"/>
  <c r="C745" i="6" s="1"/>
  <c r="D746" i="6"/>
  <c r="C746" i="6" s="1"/>
  <c r="D747" i="6"/>
  <c r="C747" i="6" s="1"/>
  <c r="D748" i="6"/>
  <c r="C748" i="6" s="1"/>
  <c r="D749" i="6"/>
  <c r="C749" i="6" s="1"/>
  <c r="D45" i="6"/>
  <c r="D43" i="6"/>
  <c r="O396" i="5"/>
  <c r="O395" i="5" s="1"/>
  <c r="L396" i="5"/>
  <c r="L395" i="5" s="1"/>
  <c r="K396" i="5"/>
  <c r="K395" i="5" s="1"/>
  <c r="J396" i="5"/>
  <c r="J395" i="5" s="1"/>
  <c r="I396" i="5"/>
  <c r="I395" i="5" s="1"/>
  <c r="H396" i="5"/>
  <c r="H395" i="5" s="1"/>
  <c r="M396" i="5"/>
  <c r="M395" i="5" s="1"/>
  <c r="N396" i="5"/>
  <c r="N395" i="5" s="1"/>
  <c r="P396" i="5"/>
  <c r="P395" i="5" s="1"/>
  <c r="Q396" i="5"/>
  <c r="Q395" i="5" s="1"/>
  <c r="I265" i="5"/>
  <c r="J265" i="5"/>
  <c r="K265" i="5"/>
  <c r="L265" i="5"/>
  <c r="M265" i="5"/>
  <c r="N265" i="5"/>
  <c r="O265" i="5"/>
  <c r="P265" i="5"/>
  <c r="Q265" i="5"/>
  <c r="H265" i="5"/>
  <c r="D429" i="6"/>
  <c r="C429" i="6" s="1"/>
  <c r="C428" i="6" s="1"/>
  <c r="AA428" i="6"/>
  <c r="Z428" i="6"/>
  <c r="Y428" i="6"/>
  <c r="X428" i="6"/>
  <c r="W428" i="6"/>
  <c r="T428" i="6"/>
  <c r="S428" i="6"/>
  <c r="R428" i="6"/>
  <c r="Q428" i="6"/>
  <c r="P428" i="6"/>
  <c r="O428" i="6"/>
  <c r="N428" i="6"/>
  <c r="M428" i="6"/>
  <c r="L428" i="6"/>
  <c r="K428" i="6"/>
  <c r="J428" i="6"/>
  <c r="I428" i="6"/>
  <c r="H428" i="6"/>
  <c r="G428" i="6"/>
  <c r="F428" i="6"/>
  <c r="E428" i="6"/>
  <c r="D428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U107" i="6" s="1"/>
  <c r="V120" i="6"/>
  <c r="V107" i="6" s="1"/>
  <c r="W120" i="6"/>
  <c r="X120" i="6"/>
  <c r="Y120" i="6"/>
  <c r="Z120" i="6"/>
  <c r="AA120" i="6"/>
  <c r="I904" i="5"/>
  <c r="J904" i="5"/>
  <c r="K904" i="5"/>
  <c r="L904" i="5"/>
  <c r="M904" i="5"/>
  <c r="N904" i="5"/>
  <c r="O904" i="5"/>
  <c r="Q904" i="5"/>
  <c r="H904" i="5"/>
  <c r="Q447" i="5"/>
  <c r="P447" i="5"/>
  <c r="O447" i="5"/>
  <c r="N447" i="5"/>
  <c r="M447" i="5"/>
  <c r="L447" i="5"/>
  <c r="F125" i="7" s="1"/>
  <c r="K447" i="5"/>
  <c r="D125" i="7" s="1"/>
  <c r="J447" i="5"/>
  <c r="I447" i="5"/>
  <c r="H447" i="5"/>
  <c r="C125" i="7" s="1"/>
  <c r="I124" i="5"/>
  <c r="J124" i="5"/>
  <c r="K124" i="5"/>
  <c r="L124" i="5"/>
  <c r="M124" i="5"/>
  <c r="N124" i="5"/>
  <c r="O124" i="5"/>
  <c r="P124" i="5"/>
  <c r="Q124" i="5"/>
  <c r="H124" i="5"/>
  <c r="D398" i="6"/>
  <c r="E398" i="6"/>
  <c r="F398" i="6"/>
  <c r="G398" i="6"/>
  <c r="H398" i="6"/>
  <c r="I398" i="6"/>
  <c r="J398" i="6"/>
  <c r="K398" i="6"/>
  <c r="L398" i="6"/>
  <c r="M398" i="6"/>
  <c r="N398" i="6"/>
  <c r="O398" i="6"/>
  <c r="P398" i="6"/>
  <c r="Q398" i="6"/>
  <c r="R398" i="6"/>
  <c r="S398" i="6"/>
  <c r="T398" i="6"/>
  <c r="U398" i="6"/>
  <c r="U393" i="6" s="1"/>
  <c r="V398" i="6"/>
  <c r="V393" i="6" s="1"/>
  <c r="W398" i="6"/>
  <c r="X398" i="6"/>
  <c r="Y398" i="6"/>
  <c r="Z398" i="6"/>
  <c r="AA398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U64" i="6" s="1"/>
  <c r="V67" i="6"/>
  <c r="V64" i="6" s="1"/>
  <c r="W67" i="6"/>
  <c r="X67" i="6"/>
  <c r="Y67" i="6"/>
  <c r="Z67" i="6"/>
  <c r="AA67" i="6"/>
  <c r="D69" i="6"/>
  <c r="C69" i="6" s="1"/>
  <c r="I417" i="5"/>
  <c r="J417" i="5"/>
  <c r="K417" i="5"/>
  <c r="L417" i="5"/>
  <c r="M417" i="5"/>
  <c r="N417" i="5"/>
  <c r="O417" i="5"/>
  <c r="P417" i="5"/>
  <c r="Q417" i="5"/>
  <c r="H417" i="5"/>
  <c r="I74" i="5"/>
  <c r="J74" i="5"/>
  <c r="K74" i="5"/>
  <c r="L74" i="5"/>
  <c r="M74" i="5"/>
  <c r="N74" i="5"/>
  <c r="O74" i="5"/>
  <c r="P74" i="5"/>
  <c r="Q74" i="5"/>
  <c r="H74" i="5"/>
  <c r="D415" i="6"/>
  <c r="C415" i="6" s="1"/>
  <c r="D416" i="6"/>
  <c r="C416" i="6" s="1"/>
  <c r="D414" i="6"/>
  <c r="D121" i="7"/>
  <c r="F121" i="7"/>
  <c r="C121" i="7"/>
  <c r="E701" i="6"/>
  <c r="F701" i="6"/>
  <c r="G701" i="6"/>
  <c r="H701" i="6"/>
  <c r="I701" i="6"/>
  <c r="J701" i="6"/>
  <c r="K701" i="6"/>
  <c r="L701" i="6"/>
  <c r="M701" i="6"/>
  <c r="N701" i="6"/>
  <c r="O701" i="6"/>
  <c r="P701" i="6"/>
  <c r="Q701" i="6"/>
  <c r="R701" i="6"/>
  <c r="S701" i="6"/>
  <c r="T701" i="6"/>
  <c r="U701" i="6"/>
  <c r="V701" i="6"/>
  <c r="W701" i="6"/>
  <c r="X701" i="6"/>
  <c r="Y701" i="6"/>
  <c r="Z701" i="6"/>
  <c r="AA701" i="6"/>
  <c r="Z712" i="6"/>
  <c r="H726" i="5"/>
  <c r="D151" i="6"/>
  <c r="C151" i="6" s="1"/>
  <c r="D152" i="6"/>
  <c r="C152" i="6" s="1"/>
  <c r="D153" i="6"/>
  <c r="C153" i="6" s="1"/>
  <c r="D154" i="6"/>
  <c r="C154" i="6" s="1"/>
  <c r="D155" i="6"/>
  <c r="C155" i="6" s="1"/>
  <c r="L348" i="5"/>
  <c r="L347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190" i="5"/>
  <c r="I189" i="5"/>
  <c r="I188" i="5" s="1"/>
  <c r="J189" i="5"/>
  <c r="J188" i="5" s="1"/>
  <c r="K189" i="5"/>
  <c r="K188" i="5" s="1"/>
  <c r="M189" i="5"/>
  <c r="M188" i="5" s="1"/>
  <c r="N189" i="5"/>
  <c r="N188" i="5" s="1"/>
  <c r="O189" i="5"/>
  <c r="O188" i="5" s="1"/>
  <c r="P189" i="5"/>
  <c r="P188" i="5" s="1"/>
  <c r="Q189" i="5"/>
  <c r="Q188" i="5" s="1"/>
  <c r="H189" i="5"/>
  <c r="H188" i="5" s="1"/>
  <c r="C414" i="6" l="1"/>
  <c r="C413" i="6" s="1"/>
  <c r="D413" i="6"/>
  <c r="C247" i="6"/>
  <c r="O259" i="5"/>
  <c r="D37" i="6"/>
  <c r="D247" i="6"/>
  <c r="L189" i="5"/>
  <c r="L188" i="5" s="1"/>
  <c r="D754" i="6"/>
  <c r="C754" i="6" s="1"/>
  <c r="D755" i="6"/>
  <c r="C755" i="6" s="1"/>
  <c r="D756" i="6"/>
  <c r="C756" i="6" s="1"/>
  <c r="D757" i="6"/>
  <c r="C757" i="6" s="1"/>
  <c r="D758" i="6"/>
  <c r="C758" i="6" s="1"/>
  <c r="D759" i="6"/>
  <c r="C759" i="6" s="1"/>
  <c r="D760" i="6"/>
  <c r="C760" i="6" s="1"/>
  <c r="D761" i="6"/>
  <c r="C761" i="6" s="1"/>
  <c r="D762" i="6"/>
  <c r="C762" i="6" s="1"/>
  <c r="E752" i="6"/>
  <c r="F752" i="6"/>
  <c r="G752" i="6"/>
  <c r="H752" i="6"/>
  <c r="I752" i="6"/>
  <c r="J752" i="6"/>
  <c r="K752" i="6"/>
  <c r="L752" i="6"/>
  <c r="M752" i="6"/>
  <c r="N752" i="6"/>
  <c r="O752" i="6"/>
  <c r="P752" i="6"/>
  <c r="Q752" i="6"/>
  <c r="R752" i="6"/>
  <c r="S752" i="6"/>
  <c r="T752" i="6"/>
  <c r="U752" i="6"/>
  <c r="V752" i="6"/>
  <c r="W752" i="6"/>
  <c r="X752" i="6"/>
  <c r="Y752" i="6"/>
  <c r="Z752" i="6"/>
  <c r="AA752" i="6"/>
  <c r="D753" i="6"/>
  <c r="C753" i="6" s="1"/>
  <c r="E380" i="6"/>
  <c r="F380" i="6"/>
  <c r="G380" i="6"/>
  <c r="H380" i="6"/>
  <c r="I380" i="6"/>
  <c r="J380" i="6"/>
  <c r="K380" i="6"/>
  <c r="L380" i="6"/>
  <c r="M380" i="6"/>
  <c r="N380" i="6"/>
  <c r="O380" i="6"/>
  <c r="P380" i="6"/>
  <c r="Q380" i="6"/>
  <c r="R380" i="6"/>
  <c r="S380" i="6"/>
  <c r="T380" i="6"/>
  <c r="U380" i="6"/>
  <c r="V380" i="6"/>
  <c r="W380" i="6"/>
  <c r="X380" i="6"/>
  <c r="Y380" i="6"/>
  <c r="Z380" i="6"/>
  <c r="AA380" i="6"/>
  <c r="E257" i="6"/>
  <c r="F257" i="6"/>
  <c r="G257" i="6"/>
  <c r="H257" i="6"/>
  <c r="I257" i="6"/>
  <c r="J257" i="6"/>
  <c r="K257" i="6"/>
  <c r="L257" i="6"/>
  <c r="M257" i="6"/>
  <c r="N257" i="6"/>
  <c r="O257" i="6"/>
  <c r="P257" i="6"/>
  <c r="Q257" i="6"/>
  <c r="R257" i="6"/>
  <c r="S257" i="6"/>
  <c r="T257" i="6"/>
  <c r="U257" i="6"/>
  <c r="V257" i="6"/>
  <c r="W257" i="6"/>
  <c r="X257" i="6"/>
  <c r="Y257" i="6"/>
  <c r="Z257" i="6"/>
  <c r="AA257" i="6"/>
  <c r="D258" i="6"/>
  <c r="C258" i="6" s="1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P780" i="5"/>
  <c r="P781" i="5"/>
  <c r="P782" i="5"/>
  <c r="P783" i="5"/>
  <c r="P784" i="5"/>
  <c r="I777" i="5"/>
  <c r="J777" i="5"/>
  <c r="K777" i="5"/>
  <c r="L777" i="5"/>
  <c r="M777" i="5"/>
  <c r="N777" i="5"/>
  <c r="O777" i="5"/>
  <c r="Q777" i="5"/>
  <c r="H777" i="5"/>
  <c r="C752" i="6" l="1"/>
  <c r="D752" i="6"/>
  <c r="P779" i="5" l="1"/>
  <c r="P778" i="5"/>
  <c r="I399" i="5"/>
  <c r="J399" i="5"/>
  <c r="K399" i="5"/>
  <c r="L399" i="5"/>
  <c r="M399" i="5"/>
  <c r="N399" i="5"/>
  <c r="P399" i="5"/>
  <c r="Q399" i="5"/>
  <c r="H399" i="5"/>
  <c r="I269" i="5"/>
  <c r="J269" i="5"/>
  <c r="K269" i="5"/>
  <c r="L269" i="5"/>
  <c r="M269" i="5"/>
  <c r="N269" i="5"/>
  <c r="O269" i="5"/>
  <c r="P269" i="5"/>
  <c r="Q269" i="5"/>
  <c r="H269" i="5"/>
  <c r="I54" i="5"/>
  <c r="J54" i="5"/>
  <c r="K54" i="5"/>
  <c r="L54" i="5"/>
  <c r="M54" i="5"/>
  <c r="N54" i="5"/>
  <c r="O54" i="5"/>
  <c r="P54" i="5"/>
  <c r="Q54" i="5"/>
  <c r="H54" i="5"/>
  <c r="D959" i="6"/>
  <c r="C959" i="6" s="1"/>
  <c r="D960" i="6"/>
  <c r="C960" i="6" s="1"/>
  <c r="D961" i="6"/>
  <c r="C961" i="6" s="1"/>
  <c r="D962" i="6"/>
  <c r="C962" i="6" s="1"/>
  <c r="D963" i="6"/>
  <c r="C963" i="6" s="1"/>
  <c r="D964" i="6"/>
  <c r="C964" i="6" s="1"/>
  <c r="D965" i="6"/>
  <c r="C965" i="6" s="1"/>
  <c r="D958" i="6"/>
  <c r="C958" i="6" s="1"/>
  <c r="E957" i="6"/>
  <c r="F957" i="6"/>
  <c r="G957" i="6"/>
  <c r="H957" i="6"/>
  <c r="I957" i="6"/>
  <c r="J957" i="6"/>
  <c r="K957" i="6"/>
  <c r="L957" i="6"/>
  <c r="M957" i="6"/>
  <c r="N957" i="6"/>
  <c r="O957" i="6"/>
  <c r="P957" i="6"/>
  <c r="Q957" i="6"/>
  <c r="R957" i="6"/>
  <c r="S957" i="6"/>
  <c r="T957" i="6"/>
  <c r="U957" i="6"/>
  <c r="V957" i="6"/>
  <c r="W957" i="6"/>
  <c r="X957" i="6"/>
  <c r="Y957" i="6"/>
  <c r="Z957" i="6"/>
  <c r="AA957" i="6"/>
  <c r="D165" i="6"/>
  <c r="C165" i="6" s="1"/>
  <c r="O994" i="5"/>
  <c r="O993" i="5"/>
  <c r="O992" i="5"/>
  <c r="O991" i="5"/>
  <c r="O990" i="5"/>
  <c r="O989" i="5"/>
  <c r="P986" i="5"/>
  <c r="P988" i="5"/>
  <c r="O986" i="5"/>
  <c r="O987" i="5"/>
  <c r="O988" i="5"/>
  <c r="O467" i="5"/>
  <c r="O468" i="5"/>
  <c r="O469" i="5"/>
  <c r="O470" i="5"/>
  <c r="E986" i="6" l="1"/>
  <c r="F986" i="6"/>
  <c r="G986" i="6"/>
  <c r="H986" i="6"/>
  <c r="I986" i="6"/>
  <c r="J986" i="6"/>
  <c r="K986" i="6"/>
  <c r="L986" i="6"/>
  <c r="M986" i="6"/>
  <c r="N986" i="6"/>
  <c r="O986" i="6"/>
  <c r="P986" i="6"/>
  <c r="Q986" i="6"/>
  <c r="R986" i="6"/>
  <c r="S986" i="6"/>
  <c r="T986" i="6"/>
  <c r="U986" i="6"/>
  <c r="V986" i="6"/>
  <c r="W986" i="6"/>
  <c r="X986" i="6"/>
  <c r="Y986" i="6"/>
  <c r="Z986" i="6"/>
  <c r="AA986" i="6"/>
  <c r="D988" i="6"/>
  <c r="C988" i="6" s="1"/>
  <c r="D987" i="6"/>
  <c r="C987" i="6" s="1"/>
  <c r="E460" i="6"/>
  <c r="F460" i="6"/>
  <c r="G460" i="6"/>
  <c r="H460" i="6"/>
  <c r="I460" i="6"/>
  <c r="J460" i="6"/>
  <c r="K460" i="6"/>
  <c r="L460" i="6"/>
  <c r="M460" i="6"/>
  <c r="N460" i="6"/>
  <c r="O460" i="6"/>
  <c r="P460" i="6"/>
  <c r="Q460" i="6"/>
  <c r="R460" i="6"/>
  <c r="S460" i="6"/>
  <c r="T460" i="6"/>
  <c r="U460" i="6"/>
  <c r="V460" i="6"/>
  <c r="W460" i="6"/>
  <c r="X460" i="6"/>
  <c r="Y460" i="6"/>
  <c r="Z460" i="6"/>
  <c r="AA460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I1014" i="5"/>
  <c r="J1014" i="5"/>
  <c r="K1014" i="5"/>
  <c r="D197" i="7" s="1"/>
  <c r="L1014" i="5"/>
  <c r="F197" i="7" s="1"/>
  <c r="M1014" i="5"/>
  <c r="N1014" i="5"/>
  <c r="O1014" i="5"/>
  <c r="P1014" i="5"/>
  <c r="Q1014" i="5"/>
  <c r="H1014" i="5"/>
  <c r="C197" i="7" s="1"/>
  <c r="I477" i="5"/>
  <c r="J477" i="5"/>
  <c r="K477" i="5"/>
  <c r="D138" i="7" s="1"/>
  <c r="L477" i="5"/>
  <c r="F138" i="7" s="1"/>
  <c r="M477" i="5"/>
  <c r="N477" i="5"/>
  <c r="O477" i="5"/>
  <c r="P477" i="5"/>
  <c r="Q477" i="5"/>
  <c r="H477" i="5"/>
  <c r="C138" i="7" s="1"/>
  <c r="I173" i="5"/>
  <c r="J173" i="5"/>
  <c r="K173" i="5"/>
  <c r="L173" i="5"/>
  <c r="F53" i="7" s="1"/>
  <c r="M173" i="5"/>
  <c r="N173" i="5"/>
  <c r="O173" i="5"/>
  <c r="P173" i="5"/>
  <c r="Q173" i="5"/>
  <c r="H173" i="5"/>
  <c r="C53" i="7" s="1"/>
  <c r="D1023" i="6"/>
  <c r="E1023" i="6"/>
  <c r="F1023" i="6"/>
  <c r="G1023" i="6"/>
  <c r="H1023" i="6"/>
  <c r="I1023" i="6"/>
  <c r="J1023" i="6"/>
  <c r="K1023" i="6"/>
  <c r="L1023" i="6"/>
  <c r="M1023" i="6"/>
  <c r="N1023" i="6"/>
  <c r="O1023" i="6"/>
  <c r="P1023" i="6"/>
  <c r="Q1023" i="6"/>
  <c r="R1023" i="6"/>
  <c r="S1023" i="6"/>
  <c r="T1023" i="6"/>
  <c r="U1023" i="6"/>
  <c r="V1023" i="6"/>
  <c r="W1023" i="6"/>
  <c r="X1023" i="6"/>
  <c r="Y1023" i="6"/>
  <c r="Z1023" i="6"/>
  <c r="AA1023" i="6"/>
  <c r="C1025" i="6"/>
  <c r="D472" i="6"/>
  <c r="E472" i="6"/>
  <c r="F472" i="6"/>
  <c r="G472" i="6"/>
  <c r="H472" i="6"/>
  <c r="I472" i="6"/>
  <c r="J472" i="6"/>
  <c r="K472" i="6"/>
  <c r="L472" i="6"/>
  <c r="M472" i="6"/>
  <c r="N472" i="6"/>
  <c r="O472" i="6"/>
  <c r="P472" i="6"/>
  <c r="Q472" i="6"/>
  <c r="R472" i="6"/>
  <c r="S472" i="6"/>
  <c r="T472" i="6"/>
  <c r="U472" i="6"/>
  <c r="V472" i="6"/>
  <c r="W472" i="6"/>
  <c r="X472" i="6"/>
  <c r="Y472" i="6"/>
  <c r="Z472" i="6"/>
  <c r="AA472" i="6"/>
  <c r="I1047" i="5"/>
  <c r="J1047" i="5"/>
  <c r="K1047" i="5"/>
  <c r="L1047" i="5"/>
  <c r="M1047" i="5"/>
  <c r="N1047" i="5"/>
  <c r="H1047" i="5"/>
  <c r="I489" i="5"/>
  <c r="J489" i="5"/>
  <c r="K489" i="5"/>
  <c r="L489" i="5"/>
  <c r="M489" i="5"/>
  <c r="N489" i="5"/>
  <c r="O489" i="5"/>
  <c r="P489" i="5"/>
  <c r="Q489" i="5"/>
  <c r="H489" i="5"/>
  <c r="E141" i="7"/>
  <c r="E1027" i="6"/>
  <c r="F1027" i="6"/>
  <c r="G1027" i="6"/>
  <c r="H1027" i="6"/>
  <c r="I1027" i="6"/>
  <c r="J1027" i="6"/>
  <c r="K1027" i="6"/>
  <c r="L1027" i="6"/>
  <c r="M1027" i="6"/>
  <c r="N1027" i="6"/>
  <c r="O1027" i="6"/>
  <c r="P1027" i="6"/>
  <c r="Q1027" i="6"/>
  <c r="R1027" i="6"/>
  <c r="S1027" i="6"/>
  <c r="T1027" i="6"/>
  <c r="U1027" i="6"/>
  <c r="V1027" i="6"/>
  <c r="W1027" i="6"/>
  <c r="X1027" i="6"/>
  <c r="Y1027" i="6"/>
  <c r="Z1027" i="6"/>
  <c r="AA1027" i="6"/>
  <c r="D1029" i="6"/>
  <c r="C1029" i="6" s="1"/>
  <c r="D1028" i="6"/>
  <c r="D474" i="6"/>
  <c r="E474" i="6"/>
  <c r="F474" i="6"/>
  <c r="G474" i="6"/>
  <c r="H474" i="6"/>
  <c r="I474" i="6"/>
  <c r="J474" i="6"/>
  <c r="K474" i="6"/>
  <c r="L474" i="6"/>
  <c r="M474" i="6"/>
  <c r="N474" i="6"/>
  <c r="O474" i="6"/>
  <c r="P474" i="6"/>
  <c r="Q474" i="6"/>
  <c r="R474" i="6"/>
  <c r="S474" i="6"/>
  <c r="T474" i="6"/>
  <c r="U474" i="6"/>
  <c r="V474" i="6"/>
  <c r="W474" i="6"/>
  <c r="X474" i="6"/>
  <c r="Y474" i="6"/>
  <c r="Z474" i="6"/>
  <c r="AA474" i="6"/>
  <c r="C475" i="6"/>
  <c r="C474" i="6" s="1"/>
  <c r="I1051" i="5"/>
  <c r="J1051" i="5"/>
  <c r="K1051" i="5"/>
  <c r="L1051" i="5"/>
  <c r="M1051" i="5"/>
  <c r="N1051" i="5"/>
  <c r="O1051" i="5"/>
  <c r="P1051" i="5"/>
  <c r="Q1051" i="5"/>
  <c r="H1051" i="5"/>
  <c r="Q491" i="5"/>
  <c r="P491" i="5"/>
  <c r="O491" i="5"/>
  <c r="N491" i="5"/>
  <c r="M491" i="5"/>
  <c r="L491" i="5"/>
  <c r="F143" i="7" s="1"/>
  <c r="K491" i="5"/>
  <c r="D143" i="7" s="1"/>
  <c r="J491" i="5"/>
  <c r="I491" i="5"/>
  <c r="H491" i="5"/>
  <c r="C143" i="7" s="1"/>
  <c r="D78" i="6"/>
  <c r="C78" i="6" s="1"/>
  <c r="C77" i="6" s="1"/>
  <c r="AA77" i="6"/>
  <c r="Z77" i="6"/>
  <c r="Y77" i="6"/>
  <c r="X77" i="6"/>
  <c r="W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Q84" i="5"/>
  <c r="P84" i="5"/>
  <c r="O84" i="5"/>
  <c r="N84" i="5"/>
  <c r="M84" i="5"/>
  <c r="L84" i="5"/>
  <c r="F30" i="7" s="1"/>
  <c r="K84" i="5"/>
  <c r="D30" i="7" s="1"/>
  <c r="J84" i="5"/>
  <c r="I84" i="5"/>
  <c r="H84" i="5"/>
  <c r="C30" i="7" s="1"/>
  <c r="L81" i="5"/>
  <c r="E792" i="6"/>
  <c r="F792" i="6"/>
  <c r="G792" i="6"/>
  <c r="H792" i="6"/>
  <c r="I792" i="6"/>
  <c r="J792" i="6"/>
  <c r="K792" i="6"/>
  <c r="L792" i="6"/>
  <c r="M792" i="6"/>
  <c r="N792" i="6"/>
  <c r="O792" i="6"/>
  <c r="P792" i="6"/>
  <c r="Q792" i="6"/>
  <c r="R792" i="6"/>
  <c r="S792" i="6"/>
  <c r="T792" i="6"/>
  <c r="U792" i="6"/>
  <c r="V792" i="6"/>
  <c r="W792" i="6"/>
  <c r="X792" i="6"/>
  <c r="Y792" i="6"/>
  <c r="Z792" i="6"/>
  <c r="AA792" i="6"/>
  <c r="E454" i="6"/>
  <c r="F454" i="6"/>
  <c r="G454" i="6"/>
  <c r="H454" i="6"/>
  <c r="I454" i="6"/>
  <c r="J454" i="6"/>
  <c r="K454" i="6"/>
  <c r="L454" i="6"/>
  <c r="M454" i="6"/>
  <c r="N454" i="6"/>
  <c r="O454" i="6"/>
  <c r="P454" i="6"/>
  <c r="Q454" i="6"/>
  <c r="R454" i="6"/>
  <c r="S454" i="6"/>
  <c r="T454" i="6"/>
  <c r="U454" i="6"/>
  <c r="V454" i="6"/>
  <c r="W454" i="6"/>
  <c r="X454" i="6"/>
  <c r="Y454" i="6"/>
  <c r="Z454" i="6"/>
  <c r="AA454" i="6"/>
  <c r="E389" i="6"/>
  <c r="F389" i="6"/>
  <c r="G389" i="6"/>
  <c r="H389" i="6"/>
  <c r="I389" i="6"/>
  <c r="J389" i="6"/>
  <c r="K389" i="6"/>
  <c r="L389" i="6"/>
  <c r="M389" i="6"/>
  <c r="N389" i="6"/>
  <c r="O389" i="6"/>
  <c r="P389" i="6"/>
  <c r="Q389" i="6"/>
  <c r="R389" i="6"/>
  <c r="S389" i="6"/>
  <c r="T389" i="6"/>
  <c r="U389" i="6"/>
  <c r="V389" i="6"/>
  <c r="W389" i="6"/>
  <c r="X389" i="6"/>
  <c r="Y389" i="6"/>
  <c r="Z389" i="6"/>
  <c r="AA389" i="6"/>
  <c r="E319" i="6"/>
  <c r="F319" i="6"/>
  <c r="G319" i="6"/>
  <c r="H319" i="6"/>
  <c r="I319" i="6"/>
  <c r="J319" i="6"/>
  <c r="K319" i="6"/>
  <c r="L319" i="6"/>
  <c r="M319" i="6"/>
  <c r="N319" i="6"/>
  <c r="O319" i="6"/>
  <c r="P319" i="6"/>
  <c r="Q319" i="6"/>
  <c r="R319" i="6"/>
  <c r="S319" i="6"/>
  <c r="T319" i="6"/>
  <c r="U319" i="6"/>
  <c r="V319" i="6"/>
  <c r="W319" i="6"/>
  <c r="X319" i="6"/>
  <c r="Y319" i="6"/>
  <c r="Z319" i="6"/>
  <c r="AA319" i="6"/>
  <c r="E263" i="6"/>
  <c r="F263" i="6"/>
  <c r="G263" i="6"/>
  <c r="H263" i="6"/>
  <c r="I263" i="6"/>
  <c r="J263" i="6"/>
  <c r="K263" i="6"/>
  <c r="L263" i="6"/>
  <c r="M263" i="6"/>
  <c r="N263" i="6"/>
  <c r="O263" i="6"/>
  <c r="P263" i="6"/>
  <c r="Q263" i="6"/>
  <c r="R263" i="6"/>
  <c r="S263" i="6"/>
  <c r="T263" i="6"/>
  <c r="U263" i="6"/>
  <c r="U201" i="6" s="1"/>
  <c r="V263" i="6"/>
  <c r="W263" i="6"/>
  <c r="X263" i="6"/>
  <c r="Y263" i="6"/>
  <c r="Z263" i="6"/>
  <c r="AA263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D198" i="7"/>
  <c r="F198" i="7"/>
  <c r="C198" i="7"/>
  <c r="D193" i="7"/>
  <c r="F193" i="7"/>
  <c r="C193" i="7"/>
  <c r="D174" i="7"/>
  <c r="F174" i="7"/>
  <c r="C174" i="7"/>
  <c r="I817" i="5"/>
  <c r="J817" i="5"/>
  <c r="K817" i="5"/>
  <c r="D161" i="7" s="1"/>
  <c r="L817" i="5"/>
  <c r="F161" i="7" s="1"/>
  <c r="M817" i="5"/>
  <c r="N817" i="5"/>
  <c r="O817" i="5"/>
  <c r="P817" i="5"/>
  <c r="Q817" i="5"/>
  <c r="H817" i="5"/>
  <c r="C161" i="7" s="1"/>
  <c r="I332" i="5"/>
  <c r="J332" i="5"/>
  <c r="K332" i="5"/>
  <c r="D91" i="7" s="1"/>
  <c r="L332" i="5"/>
  <c r="F91" i="7" s="1"/>
  <c r="M332" i="5"/>
  <c r="N332" i="5"/>
  <c r="O332" i="5"/>
  <c r="P332" i="5"/>
  <c r="Q332" i="5"/>
  <c r="H332" i="5"/>
  <c r="C91" i="7" s="1"/>
  <c r="I328" i="5"/>
  <c r="J328" i="5"/>
  <c r="K328" i="5"/>
  <c r="D92" i="7" s="1"/>
  <c r="L328" i="5"/>
  <c r="F92" i="7" s="1"/>
  <c r="M328" i="5"/>
  <c r="N328" i="5"/>
  <c r="O328" i="5"/>
  <c r="P328" i="5"/>
  <c r="Q328" i="5"/>
  <c r="H328" i="5"/>
  <c r="C92" i="7" s="1"/>
  <c r="D80" i="7"/>
  <c r="F80" i="7"/>
  <c r="C80" i="7"/>
  <c r="I275" i="5"/>
  <c r="J275" i="5"/>
  <c r="K275" i="5"/>
  <c r="D72" i="7" s="1"/>
  <c r="L275" i="5"/>
  <c r="F72" i="7" s="1"/>
  <c r="M275" i="5"/>
  <c r="N275" i="5"/>
  <c r="O275" i="5"/>
  <c r="P275" i="5"/>
  <c r="Q275" i="5"/>
  <c r="H275" i="5"/>
  <c r="C72" i="7" s="1"/>
  <c r="I175" i="5"/>
  <c r="J175" i="5"/>
  <c r="K175" i="5"/>
  <c r="D54" i="7" s="1"/>
  <c r="L175" i="5"/>
  <c r="F54" i="7" s="1"/>
  <c r="M175" i="5"/>
  <c r="N175" i="5"/>
  <c r="O175" i="5"/>
  <c r="P175" i="5"/>
  <c r="Q175" i="5"/>
  <c r="H175" i="5"/>
  <c r="C54" i="7" s="1"/>
  <c r="D53" i="7"/>
  <c r="D49" i="7"/>
  <c r="F49" i="7"/>
  <c r="C49" i="7"/>
  <c r="D36" i="7"/>
  <c r="F36" i="7"/>
  <c r="C36" i="7"/>
  <c r="I480" i="5"/>
  <c r="J480" i="5"/>
  <c r="K480" i="5"/>
  <c r="D139" i="7" s="1"/>
  <c r="L480" i="5"/>
  <c r="F139" i="7" s="1"/>
  <c r="M480" i="5"/>
  <c r="N480" i="5"/>
  <c r="P480" i="5"/>
  <c r="Q480" i="5"/>
  <c r="H480" i="5"/>
  <c r="C139" i="7" s="1"/>
  <c r="I471" i="5"/>
  <c r="J471" i="5"/>
  <c r="K471" i="5"/>
  <c r="D135" i="7" s="1"/>
  <c r="L471" i="5"/>
  <c r="F135" i="7" s="1"/>
  <c r="M471" i="5"/>
  <c r="N471" i="5"/>
  <c r="O471" i="5"/>
  <c r="P471" i="5"/>
  <c r="Q471" i="5"/>
  <c r="H471" i="5"/>
  <c r="C135" i="7" s="1"/>
  <c r="I408" i="5"/>
  <c r="J408" i="5"/>
  <c r="K408" i="5"/>
  <c r="D109" i="7" s="1"/>
  <c r="L408" i="5"/>
  <c r="F109" i="7" s="1"/>
  <c r="M408" i="5"/>
  <c r="N408" i="5"/>
  <c r="O408" i="5"/>
  <c r="P408" i="5"/>
  <c r="Q408" i="5"/>
  <c r="H408" i="5"/>
  <c r="C109" i="7" s="1"/>
  <c r="U10" i="6"/>
  <c r="V10" i="6"/>
  <c r="E921" i="6"/>
  <c r="F921" i="6"/>
  <c r="G921" i="6"/>
  <c r="H921" i="6"/>
  <c r="I921" i="6"/>
  <c r="J921" i="6"/>
  <c r="K921" i="6"/>
  <c r="L921" i="6"/>
  <c r="M921" i="6"/>
  <c r="N921" i="6"/>
  <c r="O921" i="6"/>
  <c r="P921" i="6"/>
  <c r="Q921" i="6"/>
  <c r="R921" i="6"/>
  <c r="S921" i="6"/>
  <c r="T921" i="6"/>
  <c r="W921" i="6"/>
  <c r="X921" i="6"/>
  <c r="Y921" i="6"/>
  <c r="Z921" i="6"/>
  <c r="AA921" i="6"/>
  <c r="E299" i="6"/>
  <c r="F299" i="6"/>
  <c r="G299" i="6"/>
  <c r="H299" i="6"/>
  <c r="I299" i="6"/>
  <c r="J299" i="6"/>
  <c r="K299" i="6"/>
  <c r="L299" i="6"/>
  <c r="M299" i="6"/>
  <c r="N299" i="6"/>
  <c r="O299" i="6"/>
  <c r="P299" i="6"/>
  <c r="Q299" i="6"/>
  <c r="R299" i="6"/>
  <c r="S299" i="6"/>
  <c r="T299" i="6"/>
  <c r="W299" i="6"/>
  <c r="X299" i="6"/>
  <c r="Y299" i="6"/>
  <c r="Z299" i="6"/>
  <c r="AA299" i="6"/>
  <c r="D304" i="6"/>
  <c r="C304" i="6" s="1"/>
  <c r="H129" i="6"/>
  <c r="K129" i="6"/>
  <c r="L129" i="6"/>
  <c r="M129" i="6"/>
  <c r="O129" i="6"/>
  <c r="P129" i="6"/>
  <c r="Q129" i="6"/>
  <c r="S129" i="6"/>
  <c r="W129" i="6"/>
  <c r="Y129" i="6"/>
  <c r="Z129" i="6"/>
  <c r="AA129" i="6"/>
  <c r="I946" i="5"/>
  <c r="J946" i="5"/>
  <c r="K946" i="5"/>
  <c r="D188" i="7" s="1"/>
  <c r="M946" i="5"/>
  <c r="N946" i="5"/>
  <c r="O946" i="5"/>
  <c r="Q946" i="5"/>
  <c r="H946" i="5"/>
  <c r="C188" i="7" s="1"/>
  <c r="H982" i="5"/>
  <c r="H1005" i="5"/>
  <c r="D131" i="7"/>
  <c r="F131" i="7"/>
  <c r="C131" i="7"/>
  <c r="I136" i="5"/>
  <c r="J136" i="5"/>
  <c r="K136" i="5"/>
  <c r="D45" i="7" s="1"/>
  <c r="L136" i="5"/>
  <c r="F45" i="7" s="1"/>
  <c r="M136" i="5"/>
  <c r="N136" i="5"/>
  <c r="Q136" i="5"/>
  <c r="H136" i="5"/>
  <c r="C45" i="7" s="1"/>
  <c r="E333" i="6"/>
  <c r="F333" i="6"/>
  <c r="G333" i="6"/>
  <c r="H333" i="6"/>
  <c r="I333" i="6"/>
  <c r="J333" i="6"/>
  <c r="K333" i="6"/>
  <c r="M333" i="6"/>
  <c r="N333" i="6"/>
  <c r="O333" i="6"/>
  <c r="P333" i="6"/>
  <c r="Q333" i="6"/>
  <c r="R333" i="6"/>
  <c r="S333" i="6"/>
  <c r="T333" i="6"/>
  <c r="W333" i="6"/>
  <c r="X333" i="6"/>
  <c r="Y333" i="6"/>
  <c r="Z333" i="6"/>
  <c r="AA333" i="6"/>
  <c r="E202" i="6"/>
  <c r="F202" i="6"/>
  <c r="G202" i="6"/>
  <c r="H202" i="6"/>
  <c r="I202" i="6"/>
  <c r="J202" i="6"/>
  <c r="K202" i="6"/>
  <c r="L202" i="6"/>
  <c r="M202" i="6"/>
  <c r="O202" i="6"/>
  <c r="P202" i="6"/>
  <c r="Q202" i="6"/>
  <c r="R202" i="6"/>
  <c r="S202" i="6"/>
  <c r="T202" i="6"/>
  <c r="W202" i="6"/>
  <c r="X202" i="6"/>
  <c r="Y202" i="6"/>
  <c r="Z202" i="6"/>
  <c r="AA202" i="6"/>
  <c r="I352" i="5"/>
  <c r="K352" i="5"/>
  <c r="L352" i="5"/>
  <c r="M352" i="5"/>
  <c r="N352" i="5"/>
  <c r="P352" i="5"/>
  <c r="Q352" i="5"/>
  <c r="H352" i="5"/>
  <c r="U332" i="6" l="1"/>
  <c r="U471" i="6"/>
  <c r="U9" i="6"/>
  <c r="D77" i="6"/>
  <c r="V9" i="6"/>
  <c r="V471" i="6"/>
  <c r="V332" i="6" s="1"/>
  <c r="AA1022" i="6"/>
  <c r="Y1022" i="6"/>
  <c r="W1022" i="6"/>
  <c r="U1022" i="6"/>
  <c r="U477" i="6" s="1"/>
  <c r="S1022" i="6"/>
  <c r="Q1022" i="6"/>
  <c r="O1022" i="6"/>
  <c r="M1022" i="6"/>
  <c r="K1022" i="6"/>
  <c r="I1022" i="6"/>
  <c r="G1022" i="6"/>
  <c r="E1022" i="6"/>
  <c r="Z1022" i="6"/>
  <c r="X1022" i="6"/>
  <c r="V1022" i="6"/>
  <c r="V477" i="6" s="1"/>
  <c r="T1022" i="6"/>
  <c r="R1022" i="6"/>
  <c r="P1022" i="6"/>
  <c r="N1022" i="6"/>
  <c r="L1022" i="6"/>
  <c r="J1022" i="6"/>
  <c r="H1022" i="6"/>
  <c r="F1022" i="6"/>
  <c r="H1046" i="5"/>
  <c r="M1046" i="5"/>
  <c r="K1046" i="5"/>
  <c r="I1046" i="5"/>
  <c r="N1046" i="5"/>
  <c r="L1046" i="5"/>
  <c r="J1046" i="5"/>
  <c r="V201" i="6"/>
  <c r="F96" i="7"/>
  <c r="C96" i="7"/>
  <c r="D96" i="7"/>
  <c r="D1027" i="6"/>
  <c r="D1022" i="6" s="1"/>
  <c r="C986" i="6"/>
  <c r="D986" i="6"/>
  <c r="C1028" i="6"/>
  <c r="C1027" i="6" s="1"/>
  <c r="D857" i="6"/>
  <c r="D856" i="6" s="1"/>
  <c r="D285" i="6"/>
  <c r="C857" i="6" l="1"/>
  <c r="C856" i="6" s="1"/>
  <c r="C285" i="6"/>
  <c r="D156" i="7"/>
  <c r="F156" i="7"/>
  <c r="C156" i="7"/>
  <c r="D105" i="7"/>
  <c r="F105" i="7"/>
  <c r="C105" i="7"/>
  <c r="D69" i="7"/>
  <c r="F69" i="7"/>
  <c r="C69" i="7"/>
  <c r="D18" i="7"/>
  <c r="F18" i="7"/>
  <c r="C18" i="7"/>
  <c r="D163" i="7"/>
  <c r="F163" i="7"/>
  <c r="C163" i="7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W189" i="6"/>
  <c r="X189" i="6"/>
  <c r="Y189" i="6"/>
  <c r="Z189" i="6"/>
  <c r="AA189" i="6"/>
  <c r="D196" i="7"/>
  <c r="F196" i="7"/>
  <c r="C196" i="7"/>
  <c r="I171" i="5"/>
  <c r="J171" i="5"/>
  <c r="K171" i="5"/>
  <c r="D52" i="7" s="1"/>
  <c r="L171" i="5"/>
  <c r="F52" i="7" s="1"/>
  <c r="M171" i="5"/>
  <c r="N171" i="5"/>
  <c r="O171" i="5"/>
  <c r="P171" i="5"/>
  <c r="Q171" i="5"/>
  <c r="H171" i="5"/>
  <c r="C52" i="7" s="1"/>
  <c r="E419" i="6"/>
  <c r="F419" i="6"/>
  <c r="G419" i="6"/>
  <c r="H419" i="6"/>
  <c r="I419" i="6"/>
  <c r="J419" i="6"/>
  <c r="K419" i="6"/>
  <c r="L419" i="6"/>
  <c r="M419" i="6"/>
  <c r="N419" i="6"/>
  <c r="O419" i="6"/>
  <c r="P419" i="6"/>
  <c r="Q419" i="6"/>
  <c r="R419" i="6"/>
  <c r="S419" i="6"/>
  <c r="T419" i="6"/>
  <c r="W419" i="6"/>
  <c r="X419" i="6"/>
  <c r="Y419" i="6"/>
  <c r="Y418" i="6" s="1"/>
  <c r="Z419" i="6"/>
  <c r="AA419" i="6"/>
  <c r="I438" i="5"/>
  <c r="K438" i="5"/>
  <c r="L438" i="5"/>
  <c r="M438" i="5"/>
  <c r="N438" i="5"/>
  <c r="P438" i="5"/>
  <c r="Q438" i="5"/>
  <c r="H438" i="5"/>
  <c r="E364" i="6" l="1"/>
  <c r="F364" i="6"/>
  <c r="G364" i="6"/>
  <c r="H364" i="6"/>
  <c r="I364" i="6"/>
  <c r="J364" i="6"/>
  <c r="K364" i="6"/>
  <c r="L364" i="6"/>
  <c r="M364" i="6"/>
  <c r="N364" i="6"/>
  <c r="O364" i="6"/>
  <c r="P364" i="6"/>
  <c r="Q364" i="6"/>
  <c r="R364" i="6"/>
  <c r="S364" i="6"/>
  <c r="T364" i="6"/>
  <c r="W364" i="6"/>
  <c r="X364" i="6"/>
  <c r="Y364" i="6"/>
  <c r="Z364" i="6"/>
  <c r="AA364" i="6"/>
  <c r="D365" i="6"/>
  <c r="D366" i="6"/>
  <c r="C366" i="6" s="1"/>
  <c r="D367" i="6"/>
  <c r="C367" i="6" s="1"/>
  <c r="I376" i="5"/>
  <c r="J376" i="5"/>
  <c r="K376" i="5"/>
  <c r="L376" i="5"/>
  <c r="M376" i="5"/>
  <c r="N376" i="5"/>
  <c r="O376" i="5"/>
  <c r="P376" i="5"/>
  <c r="Q376" i="5"/>
  <c r="H376" i="5"/>
  <c r="F98" i="7" l="1"/>
  <c r="D98" i="7"/>
  <c r="C98" i="7"/>
  <c r="C365" i="6"/>
  <c r="E712" i="6" l="1"/>
  <c r="F712" i="6"/>
  <c r="G712" i="6"/>
  <c r="H712" i="6"/>
  <c r="I712" i="6"/>
  <c r="J712" i="6"/>
  <c r="K712" i="6"/>
  <c r="L712" i="6"/>
  <c r="M712" i="6"/>
  <c r="N712" i="6"/>
  <c r="O712" i="6"/>
  <c r="P712" i="6"/>
  <c r="Q712" i="6"/>
  <c r="R712" i="6"/>
  <c r="S712" i="6"/>
  <c r="T712" i="6"/>
  <c r="W712" i="6"/>
  <c r="X712" i="6"/>
  <c r="Y712" i="6"/>
  <c r="AA712" i="6"/>
  <c r="I850" i="5" l="1"/>
  <c r="I849" i="5" s="1"/>
  <c r="J850" i="5"/>
  <c r="J849" i="5" s="1"/>
  <c r="K850" i="5"/>
  <c r="K849" i="5" s="1"/>
  <c r="L850" i="5"/>
  <c r="L849" i="5" s="1"/>
  <c r="M850" i="5"/>
  <c r="M849" i="5" s="1"/>
  <c r="N850" i="5"/>
  <c r="N849" i="5" s="1"/>
  <c r="O850" i="5"/>
  <c r="O849" i="5" s="1"/>
  <c r="P850" i="5"/>
  <c r="P849" i="5" s="1"/>
  <c r="Q850" i="5"/>
  <c r="Q849" i="5" s="1"/>
  <c r="H850" i="5"/>
  <c r="H849" i="5" s="1"/>
  <c r="I737" i="5"/>
  <c r="J737" i="5"/>
  <c r="K737" i="5"/>
  <c r="L737" i="5"/>
  <c r="M737" i="5"/>
  <c r="N737" i="5"/>
  <c r="P737" i="5"/>
  <c r="Q737" i="5"/>
  <c r="H737" i="5"/>
  <c r="I383" i="5" l="1"/>
  <c r="J383" i="5"/>
  <c r="K383" i="5"/>
  <c r="L383" i="5"/>
  <c r="M383" i="5"/>
  <c r="N383" i="5"/>
  <c r="P383" i="5"/>
  <c r="Q383" i="5"/>
  <c r="H383" i="5"/>
  <c r="D354" i="6" l="1"/>
  <c r="C354" i="6" s="1"/>
  <c r="D353" i="6"/>
  <c r="D352" i="6"/>
  <c r="I342" i="5"/>
  <c r="I341" i="5" s="1"/>
  <c r="J342" i="5"/>
  <c r="J341" i="5" s="1"/>
  <c r="K342" i="5"/>
  <c r="K341" i="5" s="1"/>
  <c r="L342" i="5"/>
  <c r="L341" i="5" s="1"/>
  <c r="M342" i="5"/>
  <c r="M341" i="5" s="1"/>
  <c r="N342" i="5"/>
  <c r="N341" i="5" s="1"/>
  <c r="O342" i="5"/>
  <c r="O341" i="5" s="1"/>
  <c r="P342" i="5"/>
  <c r="P341" i="5" s="1"/>
  <c r="Q342" i="5"/>
  <c r="Q341" i="5" s="1"/>
  <c r="H342" i="5"/>
  <c r="H341" i="5" s="1"/>
  <c r="E446" i="6"/>
  <c r="F446" i="6"/>
  <c r="G446" i="6"/>
  <c r="H446" i="6"/>
  <c r="I446" i="6"/>
  <c r="J446" i="6"/>
  <c r="K446" i="6"/>
  <c r="L446" i="6"/>
  <c r="M446" i="6"/>
  <c r="N446" i="6"/>
  <c r="O446" i="6"/>
  <c r="P446" i="6"/>
  <c r="Q446" i="6"/>
  <c r="R446" i="6"/>
  <c r="S446" i="6"/>
  <c r="T446" i="6"/>
  <c r="W446" i="6"/>
  <c r="X446" i="6"/>
  <c r="Y446" i="6"/>
  <c r="Z446" i="6"/>
  <c r="AA446" i="6"/>
  <c r="I497" i="5"/>
  <c r="J497" i="5"/>
  <c r="K497" i="5"/>
  <c r="M497" i="5"/>
  <c r="N497" i="5"/>
  <c r="O497" i="5"/>
  <c r="P497" i="5"/>
  <c r="Q497" i="5"/>
  <c r="H497" i="5"/>
  <c r="L498" i="5"/>
  <c r="L497" i="5" s="1"/>
  <c r="C353" i="6" l="1"/>
  <c r="O352" i="5"/>
  <c r="L333" i="6"/>
  <c r="C352" i="6"/>
  <c r="E371" i="6"/>
  <c r="F371" i="6"/>
  <c r="G371" i="6"/>
  <c r="H371" i="6"/>
  <c r="I371" i="6"/>
  <c r="J371" i="6"/>
  <c r="K371" i="6"/>
  <c r="L371" i="6"/>
  <c r="M371" i="6"/>
  <c r="N371" i="6"/>
  <c r="O371" i="6"/>
  <c r="P371" i="6"/>
  <c r="Q371" i="6"/>
  <c r="R371" i="6"/>
  <c r="S371" i="6"/>
  <c r="T371" i="6"/>
  <c r="W371" i="6"/>
  <c r="X371" i="6"/>
  <c r="Y371" i="6"/>
  <c r="Z371" i="6"/>
  <c r="AA371" i="6"/>
  <c r="D372" i="6"/>
  <c r="C372" i="6" s="1"/>
  <c r="C371" i="6" s="1"/>
  <c r="I390" i="5"/>
  <c r="J390" i="5"/>
  <c r="K390" i="5"/>
  <c r="D101" i="7" s="1"/>
  <c r="L390" i="5"/>
  <c r="F101" i="7" s="1"/>
  <c r="M390" i="5"/>
  <c r="N390" i="5"/>
  <c r="O390" i="5"/>
  <c r="P390" i="5"/>
  <c r="Q390" i="5"/>
  <c r="H390" i="5"/>
  <c r="C101" i="7" s="1"/>
  <c r="D371" i="6" l="1"/>
  <c r="D470" i="6"/>
  <c r="I482" i="5"/>
  <c r="J482" i="5"/>
  <c r="K482" i="5"/>
  <c r="L482" i="5"/>
  <c r="M482" i="5"/>
  <c r="N482" i="5"/>
  <c r="P482" i="5"/>
  <c r="Q482" i="5"/>
  <c r="H482" i="5"/>
  <c r="O484" i="5"/>
  <c r="O487" i="5"/>
  <c r="D462" i="6"/>
  <c r="O411" i="5"/>
  <c r="O410" i="5" s="1"/>
  <c r="C470" i="6" l="1"/>
  <c r="C462" i="6"/>
  <c r="D940" i="6"/>
  <c r="C940" i="6" s="1"/>
  <c r="D939" i="6"/>
  <c r="C939" i="6" s="1"/>
  <c r="D930" i="6"/>
  <c r="C930" i="6" s="1"/>
  <c r="D929" i="6"/>
  <c r="C929" i="6" s="1"/>
  <c r="D928" i="6"/>
  <c r="C928" i="6" s="1"/>
  <c r="D927" i="6"/>
  <c r="C927" i="6" s="1"/>
  <c r="D926" i="6"/>
  <c r="C926" i="6" s="1"/>
  <c r="D925" i="6"/>
  <c r="C925" i="6" s="1"/>
  <c r="D924" i="6"/>
  <c r="C924" i="6" s="1"/>
  <c r="D923" i="6"/>
  <c r="C923" i="6" s="1"/>
  <c r="D922" i="6"/>
  <c r="D827" i="6"/>
  <c r="C827" i="6" s="1"/>
  <c r="D826" i="6"/>
  <c r="D716" i="6"/>
  <c r="C716" i="6" s="1"/>
  <c r="D715" i="6"/>
  <c r="C715" i="6" s="1"/>
  <c r="D714" i="6"/>
  <c r="C714" i="6" s="1"/>
  <c r="D713" i="6"/>
  <c r="D439" i="6"/>
  <c r="D424" i="6"/>
  <c r="C424" i="6" s="1"/>
  <c r="D423" i="6"/>
  <c r="C423" i="6" s="1"/>
  <c r="D422" i="6"/>
  <c r="C422" i="6" s="1"/>
  <c r="D421" i="6"/>
  <c r="C421" i="6" s="1"/>
  <c r="D420" i="6"/>
  <c r="C420" i="6" s="1"/>
  <c r="D425" i="6"/>
  <c r="C425" i="6" s="1"/>
  <c r="C407" i="6"/>
  <c r="C406" i="6"/>
  <c r="C397" i="6"/>
  <c r="E377" i="6"/>
  <c r="E376" i="6" s="1"/>
  <c r="F377" i="6"/>
  <c r="F376" i="6" s="1"/>
  <c r="G377" i="6"/>
  <c r="G376" i="6" s="1"/>
  <c r="H377" i="6"/>
  <c r="H376" i="6" s="1"/>
  <c r="I377" i="6"/>
  <c r="I376" i="6" s="1"/>
  <c r="J377" i="6"/>
  <c r="J376" i="6" s="1"/>
  <c r="K377" i="6"/>
  <c r="K376" i="6" s="1"/>
  <c r="L377" i="6"/>
  <c r="L376" i="6" s="1"/>
  <c r="M377" i="6"/>
  <c r="M376" i="6" s="1"/>
  <c r="N377" i="6"/>
  <c r="N376" i="6" s="1"/>
  <c r="O377" i="6"/>
  <c r="O376" i="6" s="1"/>
  <c r="P377" i="6"/>
  <c r="P376" i="6" s="1"/>
  <c r="Q377" i="6"/>
  <c r="Q376" i="6" s="1"/>
  <c r="R377" i="6"/>
  <c r="R376" i="6" s="1"/>
  <c r="S377" i="6"/>
  <c r="S376" i="6" s="1"/>
  <c r="T377" i="6"/>
  <c r="T376" i="6" s="1"/>
  <c r="W377" i="6"/>
  <c r="W376" i="6" s="1"/>
  <c r="X377" i="6"/>
  <c r="X376" i="6" s="1"/>
  <c r="Y377" i="6"/>
  <c r="Y376" i="6" s="1"/>
  <c r="Z377" i="6"/>
  <c r="Z376" i="6" s="1"/>
  <c r="AA377" i="6"/>
  <c r="AA376" i="6" s="1"/>
  <c r="D379" i="6"/>
  <c r="C379" i="6" s="1"/>
  <c r="D378" i="6"/>
  <c r="C378" i="6" s="1"/>
  <c r="D370" i="6"/>
  <c r="D301" i="6"/>
  <c r="C301" i="6" s="1"/>
  <c r="D300" i="6"/>
  <c r="D286" i="6"/>
  <c r="D284" i="6" s="1"/>
  <c r="D246" i="6"/>
  <c r="C246" i="6" s="1"/>
  <c r="D245" i="6"/>
  <c r="C245" i="6" s="1"/>
  <c r="D132" i="6"/>
  <c r="C132" i="6" s="1"/>
  <c r="D131" i="6"/>
  <c r="C131" i="6" s="1"/>
  <c r="D130" i="6"/>
  <c r="C130" i="6" s="1"/>
  <c r="D72" i="6"/>
  <c r="D36" i="6"/>
  <c r="C36" i="6" s="1"/>
  <c r="D35" i="6"/>
  <c r="C35" i="6" s="1"/>
  <c r="D34" i="6"/>
  <c r="C34" i="6" s="1"/>
  <c r="P950" i="5"/>
  <c r="L950" i="5"/>
  <c r="P949" i="5"/>
  <c r="P948" i="5"/>
  <c r="O741" i="5"/>
  <c r="O740" i="5"/>
  <c r="O739" i="5"/>
  <c r="O738" i="5"/>
  <c r="O443" i="5"/>
  <c r="O442" i="5"/>
  <c r="O441" i="5"/>
  <c r="O440" i="5"/>
  <c r="O439" i="5"/>
  <c r="O444" i="5"/>
  <c r="O416" i="5"/>
  <c r="O258" i="5"/>
  <c r="O257" i="5"/>
  <c r="O137" i="5"/>
  <c r="C72" i="6" l="1"/>
  <c r="C71" i="6" s="1"/>
  <c r="D71" i="6"/>
  <c r="C370" i="6"/>
  <c r="C369" i="6" s="1"/>
  <c r="D369" i="6"/>
  <c r="C405" i="6"/>
  <c r="D825" i="6"/>
  <c r="C286" i="6"/>
  <c r="C284" i="6" s="1"/>
  <c r="O737" i="5"/>
  <c r="P946" i="5"/>
  <c r="C439" i="6"/>
  <c r="C922" i="6"/>
  <c r="C300" i="6"/>
  <c r="C419" i="6"/>
  <c r="D419" i="6"/>
  <c r="O438" i="5"/>
  <c r="C713" i="6"/>
  <c r="C712" i="6" s="1"/>
  <c r="D712" i="6"/>
  <c r="C826" i="6"/>
  <c r="C825" i="6" s="1"/>
  <c r="C377" i="6"/>
  <c r="C376" i="6" s="1"/>
  <c r="D377" i="6"/>
  <c r="D376" i="6" s="1"/>
  <c r="E73" i="6" l="1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W73" i="6"/>
  <c r="X73" i="6"/>
  <c r="Y73" i="6"/>
  <c r="Y64" i="6" s="1"/>
  <c r="Z73" i="6"/>
  <c r="AA73" i="6"/>
  <c r="I80" i="5"/>
  <c r="J80" i="5"/>
  <c r="K80" i="5"/>
  <c r="L80" i="5"/>
  <c r="M80" i="5"/>
  <c r="N80" i="5"/>
  <c r="O80" i="5"/>
  <c r="P80" i="5"/>
  <c r="Q80" i="5"/>
  <c r="H80" i="5"/>
  <c r="E253" i="6"/>
  <c r="F253" i="6"/>
  <c r="G253" i="6"/>
  <c r="H253" i="6"/>
  <c r="I253" i="6"/>
  <c r="J253" i="6"/>
  <c r="K253" i="6"/>
  <c r="L253" i="6"/>
  <c r="M253" i="6"/>
  <c r="N253" i="6"/>
  <c r="O253" i="6"/>
  <c r="P253" i="6"/>
  <c r="Q253" i="6"/>
  <c r="R253" i="6"/>
  <c r="S253" i="6"/>
  <c r="T253" i="6"/>
  <c r="W253" i="6"/>
  <c r="X253" i="6"/>
  <c r="Y253" i="6"/>
  <c r="Z253" i="6"/>
  <c r="AA253" i="6"/>
  <c r="O710" i="5"/>
  <c r="O711" i="5"/>
  <c r="O712" i="5"/>
  <c r="O713" i="5"/>
  <c r="O714" i="5"/>
  <c r="O715" i="5"/>
  <c r="O716" i="5"/>
  <c r="O717" i="5"/>
  <c r="O709" i="5"/>
  <c r="E383" i="6"/>
  <c r="F383" i="6"/>
  <c r="G383" i="6"/>
  <c r="H383" i="6"/>
  <c r="I383" i="6"/>
  <c r="J383" i="6"/>
  <c r="K383" i="6"/>
  <c r="L383" i="6"/>
  <c r="M383" i="6"/>
  <c r="N383" i="6"/>
  <c r="O383" i="6"/>
  <c r="P383" i="6"/>
  <c r="Q383" i="6"/>
  <c r="R383" i="6"/>
  <c r="S383" i="6"/>
  <c r="T383" i="6"/>
  <c r="W383" i="6"/>
  <c r="X383" i="6"/>
  <c r="Y383" i="6"/>
  <c r="Z383" i="6"/>
  <c r="AA383" i="6"/>
  <c r="I402" i="5"/>
  <c r="J402" i="5"/>
  <c r="K402" i="5"/>
  <c r="L402" i="5"/>
  <c r="M402" i="5"/>
  <c r="N402" i="5"/>
  <c r="P402" i="5"/>
  <c r="Q402" i="5"/>
  <c r="H402" i="5"/>
  <c r="E448" i="6"/>
  <c r="F448" i="6"/>
  <c r="G448" i="6"/>
  <c r="H448" i="6"/>
  <c r="I448" i="6"/>
  <c r="J448" i="6"/>
  <c r="K448" i="6"/>
  <c r="L448" i="6"/>
  <c r="M448" i="6"/>
  <c r="N448" i="6"/>
  <c r="O448" i="6"/>
  <c r="P448" i="6"/>
  <c r="Q448" i="6"/>
  <c r="R448" i="6"/>
  <c r="S448" i="6"/>
  <c r="T448" i="6"/>
  <c r="W448" i="6"/>
  <c r="X448" i="6"/>
  <c r="Y448" i="6"/>
  <c r="Z448" i="6"/>
  <c r="AA448" i="6"/>
  <c r="D453" i="6"/>
  <c r="C453" i="6" s="1"/>
  <c r="I465" i="5"/>
  <c r="J465" i="5"/>
  <c r="K465" i="5"/>
  <c r="L465" i="5"/>
  <c r="M465" i="5"/>
  <c r="N465" i="5"/>
  <c r="P465" i="5"/>
  <c r="Q465" i="5"/>
  <c r="H465" i="5"/>
  <c r="O466" i="5"/>
  <c r="E289" i="6"/>
  <c r="F289" i="6"/>
  <c r="G289" i="6"/>
  <c r="H289" i="6"/>
  <c r="I289" i="6"/>
  <c r="J289" i="6"/>
  <c r="K289" i="6"/>
  <c r="L289" i="6"/>
  <c r="M289" i="6"/>
  <c r="N289" i="6"/>
  <c r="O289" i="6"/>
  <c r="Q289" i="6"/>
  <c r="R289" i="6"/>
  <c r="S289" i="6"/>
  <c r="T289" i="6"/>
  <c r="W289" i="6"/>
  <c r="X289" i="6"/>
  <c r="Y289" i="6"/>
  <c r="AA289" i="6"/>
  <c r="O108" i="6"/>
  <c r="P108" i="6"/>
  <c r="Q108" i="6"/>
  <c r="R108" i="6"/>
  <c r="S108" i="6"/>
  <c r="T108" i="6"/>
  <c r="Y108" i="6"/>
  <c r="Y107" i="6" s="1"/>
  <c r="O465" i="5" l="1"/>
  <c r="D974" i="6"/>
  <c r="D973" i="6" s="1"/>
  <c r="D225" i="6"/>
  <c r="D226" i="6"/>
  <c r="C226" i="6" s="1"/>
  <c r="D227" i="6"/>
  <c r="C227" i="6" s="1"/>
  <c r="D228" i="6"/>
  <c r="C228" i="6" s="1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W10" i="6"/>
  <c r="X10" i="6"/>
  <c r="Y10" i="6"/>
  <c r="Z10" i="6"/>
  <c r="AA10" i="6"/>
  <c r="I214" i="5"/>
  <c r="K214" i="5"/>
  <c r="L214" i="5"/>
  <c r="M214" i="5"/>
  <c r="N214" i="5"/>
  <c r="P214" i="5"/>
  <c r="Q214" i="5"/>
  <c r="H214" i="5"/>
  <c r="D471" i="6"/>
  <c r="E471" i="6"/>
  <c r="F471" i="6"/>
  <c r="G471" i="6"/>
  <c r="H471" i="6"/>
  <c r="I471" i="6"/>
  <c r="J471" i="6"/>
  <c r="K471" i="6"/>
  <c r="L471" i="6"/>
  <c r="M471" i="6"/>
  <c r="N471" i="6"/>
  <c r="O471" i="6"/>
  <c r="P471" i="6"/>
  <c r="Q471" i="6"/>
  <c r="R471" i="6"/>
  <c r="S471" i="6"/>
  <c r="T471" i="6"/>
  <c r="W471" i="6"/>
  <c r="X471" i="6"/>
  <c r="Y471" i="6"/>
  <c r="Z471" i="6"/>
  <c r="AA471" i="6"/>
  <c r="I488" i="5"/>
  <c r="J488" i="5"/>
  <c r="K488" i="5"/>
  <c r="L488" i="5"/>
  <c r="M488" i="5"/>
  <c r="N488" i="5"/>
  <c r="O488" i="5"/>
  <c r="P488" i="5"/>
  <c r="Q488" i="5"/>
  <c r="H488" i="5"/>
  <c r="C60" i="7" l="1"/>
  <c r="D60" i="7"/>
  <c r="F60" i="7"/>
  <c r="C974" i="6"/>
  <c r="C973" i="6" s="1"/>
  <c r="N202" i="6"/>
  <c r="O214" i="5"/>
  <c r="C225" i="6"/>
  <c r="E295" i="6"/>
  <c r="E288" i="6" s="1"/>
  <c r="F295" i="6"/>
  <c r="F288" i="6" s="1"/>
  <c r="G295" i="6"/>
  <c r="G288" i="6" s="1"/>
  <c r="H295" i="6"/>
  <c r="H288" i="6" s="1"/>
  <c r="I295" i="6"/>
  <c r="I288" i="6" s="1"/>
  <c r="J295" i="6"/>
  <c r="J288" i="6" s="1"/>
  <c r="K295" i="6"/>
  <c r="K288" i="6" s="1"/>
  <c r="L295" i="6"/>
  <c r="L288" i="6" s="1"/>
  <c r="M295" i="6"/>
  <c r="M288" i="6" s="1"/>
  <c r="N295" i="6"/>
  <c r="N288" i="6" s="1"/>
  <c r="O295" i="6"/>
  <c r="O288" i="6" s="1"/>
  <c r="P295" i="6"/>
  <c r="Q295" i="6"/>
  <c r="Q288" i="6" s="1"/>
  <c r="R295" i="6"/>
  <c r="R288" i="6" s="1"/>
  <c r="S295" i="6"/>
  <c r="S288" i="6" s="1"/>
  <c r="T295" i="6"/>
  <c r="T288" i="6" s="1"/>
  <c r="W295" i="6"/>
  <c r="W288" i="6" s="1"/>
  <c r="X295" i="6"/>
  <c r="X288" i="6" s="1"/>
  <c r="Y295" i="6"/>
  <c r="Y288" i="6" s="1"/>
  <c r="Z295" i="6"/>
  <c r="AA295" i="6"/>
  <c r="AA288" i="6" s="1"/>
  <c r="D296" i="6"/>
  <c r="D295" i="6" s="1"/>
  <c r="E739" i="6"/>
  <c r="E738" i="6" s="1"/>
  <c r="F739" i="6"/>
  <c r="F738" i="6" s="1"/>
  <c r="G739" i="6"/>
  <c r="G738" i="6" s="1"/>
  <c r="H739" i="6"/>
  <c r="H738" i="6" s="1"/>
  <c r="I739" i="6"/>
  <c r="I738" i="6" s="1"/>
  <c r="J739" i="6"/>
  <c r="J738" i="6" s="1"/>
  <c r="K739" i="6"/>
  <c r="K738" i="6" s="1"/>
  <c r="L739" i="6"/>
  <c r="L738" i="6" s="1"/>
  <c r="M739" i="6"/>
  <c r="M738" i="6" s="1"/>
  <c r="N739" i="6"/>
  <c r="N738" i="6" s="1"/>
  <c r="O739" i="6"/>
  <c r="O738" i="6" s="1"/>
  <c r="P739" i="6"/>
  <c r="P738" i="6" s="1"/>
  <c r="Q739" i="6"/>
  <c r="Q738" i="6" s="1"/>
  <c r="R739" i="6"/>
  <c r="R738" i="6" s="1"/>
  <c r="S739" i="6"/>
  <c r="S738" i="6" s="1"/>
  <c r="T739" i="6"/>
  <c r="T738" i="6" s="1"/>
  <c r="W739" i="6"/>
  <c r="W738" i="6" s="1"/>
  <c r="X739" i="6"/>
  <c r="X738" i="6" s="1"/>
  <c r="Y739" i="6"/>
  <c r="Y738" i="6" s="1"/>
  <c r="Y477" i="6" s="1"/>
  <c r="Z739" i="6"/>
  <c r="Z738" i="6" s="1"/>
  <c r="AA739" i="6"/>
  <c r="AA738" i="6" s="1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W42" i="6"/>
  <c r="X42" i="6"/>
  <c r="Y42" i="6"/>
  <c r="Z42" i="6"/>
  <c r="AA42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W21" i="6"/>
  <c r="X21" i="6"/>
  <c r="Y21" i="6"/>
  <c r="Y9" i="6" s="1"/>
  <c r="Z21" i="6"/>
  <c r="AA21" i="6"/>
  <c r="I764" i="5"/>
  <c r="I763" i="5" s="1"/>
  <c r="K764" i="5"/>
  <c r="K763" i="5" s="1"/>
  <c r="L764" i="5"/>
  <c r="L763" i="5" s="1"/>
  <c r="M764" i="5"/>
  <c r="M763" i="5" s="1"/>
  <c r="N764" i="5"/>
  <c r="N763" i="5" s="1"/>
  <c r="O764" i="5"/>
  <c r="O763" i="5" s="1"/>
  <c r="P764" i="5"/>
  <c r="P763" i="5" s="1"/>
  <c r="Q764" i="5"/>
  <c r="Q763" i="5" s="1"/>
  <c r="H764" i="5"/>
  <c r="H763" i="5" s="1"/>
  <c r="I49" i="5"/>
  <c r="K49" i="5"/>
  <c r="L49" i="5"/>
  <c r="M49" i="5"/>
  <c r="N49" i="5"/>
  <c r="O49" i="5"/>
  <c r="P49" i="5"/>
  <c r="Q49" i="5"/>
  <c r="H49" i="5"/>
  <c r="I28" i="5"/>
  <c r="J28" i="5"/>
  <c r="K28" i="5"/>
  <c r="L28" i="5"/>
  <c r="F11" i="7" s="1"/>
  <c r="M28" i="5"/>
  <c r="N28" i="5"/>
  <c r="O28" i="5"/>
  <c r="Q28" i="5"/>
  <c r="H28" i="5"/>
  <c r="D967" i="6"/>
  <c r="C967" i="6" s="1"/>
  <c r="D968" i="6"/>
  <c r="D969" i="6"/>
  <c r="C969" i="6" s="1"/>
  <c r="D966" i="6"/>
  <c r="C966" i="6" s="1"/>
  <c r="I462" i="5"/>
  <c r="J462" i="5"/>
  <c r="K462" i="5"/>
  <c r="L462" i="5"/>
  <c r="M462" i="5"/>
  <c r="N462" i="5"/>
  <c r="O462" i="5"/>
  <c r="P462" i="5"/>
  <c r="Q462" i="5"/>
  <c r="H462" i="5"/>
  <c r="E443" i="6"/>
  <c r="F443" i="6"/>
  <c r="G443" i="6"/>
  <c r="H443" i="6"/>
  <c r="I443" i="6"/>
  <c r="J443" i="6"/>
  <c r="K443" i="6"/>
  <c r="L443" i="6"/>
  <c r="M443" i="6"/>
  <c r="N443" i="6"/>
  <c r="O443" i="6"/>
  <c r="P443" i="6"/>
  <c r="Q443" i="6"/>
  <c r="R443" i="6"/>
  <c r="S443" i="6"/>
  <c r="T443" i="6"/>
  <c r="W443" i="6"/>
  <c r="X443" i="6"/>
  <c r="Y443" i="6"/>
  <c r="Z443" i="6"/>
  <c r="AA443" i="6"/>
  <c r="D22" i="6"/>
  <c r="D23" i="6"/>
  <c r="C23" i="6" s="1"/>
  <c r="D24" i="6"/>
  <c r="C24" i="6" s="1"/>
  <c r="D25" i="6"/>
  <c r="C25" i="6" s="1"/>
  <c r="I307" i="5"/>
  <c r="I300" i="5" s="1"/>
  <c r="J307" i="5"/>
  <c r="J300" i="5" s="1"/>
  <c r="K307" i="5"/>
  <c r="K300" i="5" s="1"/>
  <c r="L307" i="5"/>
  <c r="L300" i="5" s="1"/>
  <c r="M307" i="5"/>
  <c r="M300" i="5" s="1"/>
  <c r="N307" i="5"/>
  <c r="N300" i="5" s="1"/>
  <c r="O307" i="5"/>
  <c r="O300" i="5" s="1"/>
  <c r="P307" i="5"/>
  <c r="P300" i="5" s="1"/>
  <c r="Q307" i="5"/>
  <c r="Q300" i="5" s="1"/>
  <c r="H307" i="5"/>
  <c r="H300" i="5" s="1"/>
  <c r="E400" i="6"/>
  <c r="F400" i="6"/>
  <c r="G400" i="6"/>
  <c r="H400" i="6"/>
  <c r="I400" i="6"/>
  <c r="J400" i="6"/>
  <c r="K400" i="6"/>
  <c r="K393" i="6" s="1"/>
  <c r="L400" i="6"/>
  <c r="L393" i="6" s="1"/>
  <c r="M400" i="6"/>
  <c r="M393" i="6" s="1"/>
  <c r="N400" i="6"/>
  <c r="O400" i="6"/>
  <c r="P400" i="6"/>
  <c r="Q400" i="6"/>
  <c r="R400" i="6"/>
  <c r="S400" i="6"/>
  <c r="T400" i="6"/>
  <c r="W400" i="6"/>
  <c r="X400" i="6"/>
  <c r="Y400" i="6"/>
  <c r="Y393" i="6" s="1"/>
  <c r="Z400" i="6"/>
  <c r="AA400" i="6"/>
  <c r="D401" i="6"/>
  <c r="C401" i="6" s="1"/>
  <c r="C400" i="6" s="1"/>
  <c r="I419" i="5"/>
  <c r="J419" i="5"/>
  <c r="K419" i="5"/>
  <c r="D116" i="7" s="1"/>
  <c r="L419" i="5"/>
  <c r="F116" i="7" s="1"/>
  <c r="M419" i="5"/>
  <c r="N419" i="5"/>
  <c r="O419" i="5"/>
  <c r="P419" i="5"/>
  <c r="P412" i="5" s="1"/>
  <c r="Q419" i="5"/>
  <c r="H419" i="5"/>
  <c r="C116" i="7" s="1"/>
  <c r="I496" i="5"/>
  <c r="J496" i="5"/>
  <c r="K496" i="5"/>
  <c r="F133" i="7"/>
  <c r="M496" i="5"/>
  <c r="N496" i="5"/>
  <c r="O496" i="5"/>
  <c r="P496" i="5"/>
  <c r="Q496" i="5"/>
  <c r="C133" i="7"/>
  <c r="D447" i="6"/>
  <c r="D446" i="6" s="1"/>
  <c r="E309" i="6"/>
  <c r="F309" i="6"/>
  <c r="G309" i="6"/>
  <c r="H309" i="6"/>
  <c r="I309" i="6"/>
  <c r="J309" i="6"/>
  <c r="K309" i="6"/>
  <c r="L309" i="6"/>
  <c r="M309" i="6"/>
  <c r="N309" i="6"/>
  <c r="O309" i="6"/>
  <c r="P309" i="6"/>
  <c r="Q309" i="6"/>
  <c r="R309" i="6"/>
  <c r="S309" i="6"/>
  <c r="T309" i="6"/>
  <c r="W309" i="6"/>
  <c r="X309" i="6"/>
  <c r="Y309" i="6"/>
  <c r="Z309" i="6"/>
  <c r="AA309" i="6"/>
  <c r="D311" i="6"/>
  <c r="C311" i="6" s="1"/>
  <c r="D310" i="6"/>
  <c r="C310" i="6" s="1"/>
  <c r="I346" i="5"/>
  <c r="I345" i="5" s="1"/>
  <c r="J346" i="5"/>
  <c r="J345" i="5" s="1"/>
  <c r="K346" i="5"/>
  <c r="K345" i="5" s="1"/>
  <c r="L346" i="5"/>
  <c r="L345" i="5" s="1"/>
  <c r="M346" i="5"/>
  <c r="M345" i="5" s="1"/>
  <c r="N346" i="5"/>
  <c r="N345" i="5" s="1"/>
  <c r="O346" i="5"/>
  <c r="O345" i="5" s="1"/>
  <c r="H346" i="5"/>
  <c r="H345" i="5" s="1"/>
  <c r="Y332" i="6" l="1"/>
  <c r="C968" i="6"/>
  <c r="D957" i="6"/>
  <c r="C957" i="6"/>
  <c r="C296" i="6"/>
  <c r="C295" i="6" s="1"/>
  <c r="C22" i="6"/>
  <c r="D400" i="6"/>
  <c r="C88" i="7"/>
  <c r="D133" i="7"/>
  <c r="F88" i="7"/>
  <c r="H496" i="5"/>
  <c r="L496" i="5"/>
  <c r="D88" i="7"/>
  <c r="C447" i="6"/>
  <c r="C446" i="6" s="1"/>
  <c r="C309" i="6"/>
  <c r="D309" i="6"/>
  <c r="E270" i="6"/>
  <c r="F270" i="6"/>
  <c r="G270" i="6"/>
  <c r="H270" i="6"/>
  <c r="I270" i="6"/>
  <c r="J270" i="6"/>
  <c r="K270" i="6"/>
  <c r="K267" i="6" s="1"/>
  <c r="L270" i="6"/>
  <c r="L267" i="6" s="1"/>
  <c r="M270" i="6"/>
  <c r="N270" i="6"/>
  <c r="O270" i="6"/>
  <c r="P270" i="6"/>
  <c r="Q270" i="6"/>
  <c r="R270" i="6"/>
  <c r="S270" i="6"/>
  <c r="T270" i="6"/>
  <c r="W270" i="6"/>
  <c r="X270" i="6"/>
  <c r="Y270" i="6"/>
  <c r="Y267" i="6" s="1"/>
  <c r="Y201" i="6" s="1"/>
  <c r="Z270" i="6"/>
  <c r="AA270" i="6"/>
  <c r="I282" i="5"/>
  <c r="J282" i="5"/>
  <c r="K282" i="5"/>
  <c r="D76" i="7" s="1"/>
  <c r="L282" i="5"/>
  <c r="M282" i="5"/>
  <c r="N282" i="5"/>
  <c r="O282" i="5"/>
  <c r="P282" i="5"/>
  <c r="Q282" i="5"/>
  <c r="H282" i="5"/>
  <c r="X122" i="6" l="1"/>
  <c r="D671" i="6" l="1"/>
  <c r="C671" i="6" s="1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W136" i="6"/>
  <c r="X136" i="6"/>
  <c r="Z136" i="6"/>
  <c r="AA136" i="6"/>
  <c r="D47" i="7"/>
  <c r="F47" i="7"/>
  <c r="C47" i="7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W241" i="6"/>
  <c r="X241" i="6"/>
  <c r="Z241" i="6"/>
  <c r="AA241" i="6"/>
  <c r="I253" i="5"/>
  <c r="J253" i="5"/>
  <c r="K253" i="5"/>
  <c r="L253" i="5"/>
  <c r="P253" i="5"/>
  <c r="Q253" i="5"/>
  <c r="H253" i="5"/>
  <c r="D22" i="7" l="1"/>
  <c r="F22" i="7"/>
  <c r="C22" i="7"/>
  <c r="D110" i="7"/>
  <c r="F110" i="7"/>
  <c r="C110" i="7"/>
  <c r="E980" i="6"/>
  <c r="F980" i="6"/>
  <c r="G980" i="6"/>
  <c r="H980" i="6"/>
  <c r="I980" i="6"/>
  <c r="J980" i="6"/>
  <c r="K980" i="6"/>
  <c r="L980" i="6"/>
  <c r="M980" i="6"/>
  <c r="N980" i="6"/>
  <c r="O980" i="6"/>
  <c r="P980" i="6"/>
  <c r="Q980" i="6"/>
  <c r="R980" i="6"/>
  <c r="S980" i="6"/>
  <c r="T980" i="6"/>
  <c r="W980" i="6"/>
  <c r="X980" i="6"/>
  <c r="Z980" i="6"/>
  <c r="AA980" i="6"/>
  <c r="E796" i="6"/>
  <c r="F796" i="6"/>
  <c r="G796" i="6"/>
  <c r="H796" i="6"/>
  <c r="I796" i="6"/>
  <c r="J796" i="6"/>
  <c r="K796" i="6"/>
  <c r="L796" i="6"/>
  <c r="M796" i="6"/>
  <c r="N796" i="6"/>
  <c r="O796" i="6"/>
  <c r="P796" i="6"/>
  <c r="Q796" i="6"/>
  <c r="R796" i="6"/>
  <c r="S796" i="6"/>
  <c r="T796" i="6"/>
  <c r="W796" i="6"/>
  <c r="X796" i="6"/>
  <c r="Z796" i="6"/>
  <c r="AA796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W183" i="6"/>
  <c r="X183" i="6"/>
  <c r="Z183" i="6"/>
  <c r="AA183" i="6"/>
  <c r="I1005" i="5"/>
  <c r="J1005" i="5"/>
  <c r="K1005" i="5"/>
  <c r="D195" i="7" s="1"/>
  <c r="M1005" i="5"/>
  <c r="N1005" i="5"/>
  <c r="Q1005" i="5"/>
  <c r="C195" i="7"/>
  <c r="I821" i="5"/>
  <c r="J821" i="5"/>
  <c r="K821" i="5"/>
  <c r="D162" i="7" s="1"/>
  <c r="L821" i="5"/>
  <c r="F162" i="7" s="1"/>
  <c r="M821" i="5"/>
  <c r="N821" i="5"/>
  <c r="P821" i="5"/>
  <c r="Q821" i="5"/>
  <c r="H821" i="5"/>
  <c r="C162" i="7" s="1"/>
  <c r="D137" i="7"/>
  <c r="F137" i="7"/>
  <c r="C137" i="7"/>
  <c r="I453" i="5"/>
  <c r="J453" i="5"/>
  <c r="K453" i="5"/>
  <c r="D128" i="7" s="1"/>
  <c r="L453" i="5"/>
  <c r="F128" i="7" s="1"/>
  <c r="M453" i="5"/>
  <c r="N453" i="5"/>
  <c r="O453" i="5"/>
  <c r="P453" i="5"/>
  <c r="Q453" i="5"/>
  <c r="H453" i="5"/>
  <c r="C128" i="7" s="1"/>
  <c r="D90" i="7"/>
  <c r="F90" i="7"/>
  <c r="C90" i="7"/>
  <c r="D73" i="7"/>
  <c r="F73" i="7"/>
  <c r="C73" i="7"/>
  <c r="I168" i="5"/>
  <c r="J168" i="5"/>
  <c r="K168" i="5"/>
  <c r="D51" i="7" s="1"/>
  <c r="L168" i="5"/>
  <c r="F51" i="7" s="1"/>
  <c r="M168" i="5"/>
  <c r="N168" i="5"/>
  <c r="O168" i="5"/>
  <c r="P168" i="5"/>
  <c r="Q168" i="5"/>
  <c r="H168" i="5"/>
  <c r="C51" i="7" s="1"/>
  <c r="D42" i="7"/>
  <c r="F42" i="7"/>
  <c r="C42" i="7"/>
  <c r="E432" i="6"/>
  <c r="F432" i="6"/>
  <c r="G432" i="6"/>
  <c r="H432" i="6"/>
  <c r="I432" i="6"/>
  <c r="J432" i="6"/>
  <c r="K432" i="6"/>
  <c r="L432" i="6"/>
  <c r="M432" i="6"/>
  <c r="N432" i="6"/>
  <c r="O432" i="6"/>
  <c r="P432" i="6"/>
  <c r="Q432" i="6"/>
  <c r="R432" i="6"/>
  <c r="S432" i="6"/>
  <c r="T432" i="6"/>
  <c r="W432" i="6"/>
  <c r="X432" i="6"/>
  <c r="Z432" i="6"/>
  <c r="AA432" i="6"/>
  <c r="D433" i="6"/>
  <c r="C433" i="6" s="1"/>
  <c r="C432" i="6" s="1"/>
  <c r="I451" i="5"/>
  <c r="J451" i="5"/>
  <c r="K451" i="5"/>
  <c r="D127" i="7" s="1"/>
  <c r="L451" i="5"/>
  <c r="F127" i="7" s="1"/>
  <c r="M451" i="5"/>
  <c r="N451" i="5"/>
  <c r="O451" i="5"/>
  <c r="P451" i="5"/>
  <c r="Q451" i="5"/>
  <c r="H451" i="5"/>
  <c r="C127" i="7" s="1"/>
  <c r="D702" i="6"/>
  <c r="C702" i="6" s="1"/>
  <c r="D703" i="6"/>
  <c r="C703" i="6" s="1"/>
  <c r="D704" i="6"/>
  <c r="C704" i="6" s="1"/>
  <c r="D705" i="6"/>
  <c r="C705" i="6" s="1"/>
  <c r="D706" i="6"/>
  <c r="C706" i="6" s="1"/>
  <c r="D707" i="6"/>
  <c r="C707" i="6" s="1"/>
  <c r="D708" i="6"/>
  <c r="C708" i="6" s="1"/>
  <c r="D710" i="6"/>
  <c r="C710" i="6" s="1"/>
  <c r="D711" i="6"/>
  <c r="C711" i="6" s="1"/>
  <c r="D709" i="6"/>
  <c r="C709" i="6" l="1"/>
  <c r="D701" i="6"/>
  <c r="D432" i="6"/>
  <c r="E729" i="6"/>
  <c r="F729" i="6"/>
  <c r="G729" i="6"/>
  <c r="H729" i="6"/>
  <c r="I729" i="6"/>
  <c r="J729" i="6"/>
  <c r="K729" i="6"/>
  <c r="L729" i="6"/>
  <c r="M729" i="6"/>
  <c r="N729" i="6"/>
  <c r="O729" i="6"/>
  <c r="P729" i="6"/>
  <c r="Q729" i="6"/>
  <c r="R729" i="6"/>
  <c r="S729" i="6"/>
  <c r="T729" i="6"/>
  <c r="W729" i="6"/>
  <c r="X729" i="6"/>
  <c r="Z729" i="6"/>
  <c r="AA729" i="6"/>
  <c r="E373" i="6"/>
  <c r="F373" i="6"/>
  <c r="G373" i="6"/>
  <c r="H373" i="6"/>
  <c r="I373" i="6"/>
  <c r="J373" i="6"/>
  <c r="K373" i="6"/>
  <c r="L373" i="6"/>
  <c r="M373" i="6"/>
  <c r="N373" i="6"/>
  <c r="O373" i="6"/>
  <c r="P373" i="6"/>
  <c r="Q373" i="6"/>
  <c r="R373" i="6"/>
  <c r="S373" i="6"/>
  <c r="T373" i="6"/>
  <c r="W373" i="6"/>
  <c r="X373" i="6"/>
  <c r="Z373" i="6"/>
  <c r="AA373" i="6"/>
  <c r="D152" i="7"/>
  <c r="F152" i="7"/>
  <c r="C152" i="7"/>
  <c r="I392" i="5"/>
  <c r="J392" i="5"/>
  <c r="K392" i="5"/>
  <c r="D102" i="7" s="1"/>
  <c r="L392" i="5"/>
  <c r="F102" i="7" s="1"/>
  <c r="M392" i="5"/>
  <c r="N392" i="5"/>
  <c r="P392" i="5"/>
  <c r="Q392" i="5"/>
  <c r="H392" i="5"/>
  <c r="C102" i="7" s="1"/>
  <c r="D66" i="7"/>
  <c r="F66" i="7"/>
  <c r="C66" i="7"/>
  <c r="D15" i="7"/>
  <c r="F15" i="7"/>
  <c r="C15" i="7"/>
  <c r="D951" i="6" l="1"/>
  <c r="C951" i="6" s="1"/>
  <c r="E430" i="6"/>
  <c r="E418" i="6" s="1"/>
  <c r="F430" i="6"/>
  <c r="F418" i="6" s="1"/>
  <c r="G430" i="6"/>
  <c r="G418" i="6" s="1"/>
  <c r="H430" i="6"/>
  <c r="H418" i="6" s="1"/>
  <c r="I430" i="6"/>
  <c r="I418" i="6" s="1"/>
  <c r="J430" i="6"/>
  <c r="J418" i="6" s="1"/>
  <c r="K430" i="6"/>
  <c r="K418" i="6" s="1"/>
  <c r="L430" i="6"/>
  <c r="L418" i="6" s="1"/>
  <c r="M430" i="6"/>
  <c r="M418" i="6" s="1"/>
  <c r="N430" i="6"/>
  <c r="N418" i="6" s="1"/>
  <c r="O430" i="6"/>
  <c r="O418" i="6" s="1"/>
  <c r="P430" i="6"/>
  <c r="P418" i="6" s="1"/>
  <c r="Q430" i="6"/>
  <c r="Q418" i="6" s="1"/>
  <c r="R430" i="6"/>
  <c r="R418" i="6" s="1"/>
  <c r="S430" i="6"/>
  <c r="S418" i="6" s="1"/>
  <c r="T430" i="6"/>
  <c r="T418" i="6" s="1"/>
  <c r="W430" i="6"/>
  <c r="W418" i="6" s="1"/>
  <c r="X430" i="6"/>
  <c r="X418" i="6" s="1"/>
  <c r="Z430" i="6"/>
  <c r="Z418" i="6" s="1"/>
  <c r="AA430" i="6"/>
  <c r="AA418" i="6" s="1"/>
  <c r="I449" i="5"/>
  <c r="I437" i="5" s="1"/>
  <c r="J449" i="5"/>
  <c r="K449" i="5"/>
  <c r="K437" i="5" s="1"/>
  <c r="L449" i="5"/>
  <c r="L437" i="5" s="1"/>
  <c r="M449" i="5"/>
  <c r="M437" i="5" s="1"/>
  <c r="N449" i="5"/>
  <c r="N437" i="5" s="1"/>
  <c r="P449" i="5"/>
  <c r="P437" i="5" s="1"/>
  <c r="Q449" i="5"/>
  <c r="Q437" i="5" s="1"/>
  <c r="H449" i="5"/>
  <c r="H437" i="5" s="1"/>
  <c r="C885" i="6" l="1"/>
  <c r="C884" i="6"/>
  <c r="D146" i="6" l="1"/>
  <c r="C146" i="6" s="1"/>
  <c r="D147" i="6"/>
  <c r="C147" i="6" s="1"/>
  <c r="D148" i="6"/>
  <c r="C148" i="6" s="1"/>
  <c r="D149" i="6"/>
  <c r="C149" i="6" s="1"/>
  <c r="D150" i="6"/>
  <c r="C150" i="6" s="1"/>
  <c r="D156" i="6"/>
  <c r="C156" i="6" s="1"/>
  <c r="D157" i="6"/>
  <c r="C157" i="6" s="1"/>
  <c r="D145" i="6"/>
  <c r="C145" i="6" s="1"/>
  <c r="D138" i="6"/>
  <c r="C138" i="6" s="1"/>
  <c r="D139" i="6"/>
  <c r="C139" i="6" s="1"/>
  <c r="D140" i="6"/>
  <c r="C140" i="6" s="1"/>
  <c r="D141" i="6"/>
  <c r="C141" i="6" s="1"/>
  <c r="D142" i="6"/>
  <c r="C142" i="6" s="1"/>
  <c r="D143" i="6"/>
  <c r="C143" i="6" s="1"/>
  <c r="D144" i="6"/>
  <c r="C144" i="6" s="1"/>
  <c r="D137" i="6"/>
  <c r="C137" i="6" l="1"/>
  <c r="C136" i="6" s="1"/>
  <c r="D136" i="6"/>
  <c r="D483" i="6"/>
  <c r="C483" i="6" s="1"/>
  <c r="D484" i="6"/>
  <c r="C484" i="6" s="1"/>
  <c r="D485" i="6"/>
  <c r="C485" i="6" s="1"/>
  <c r="D486" i="6"/>
  <c r="C486" i="6" s="1"/>
  <c r="D487" i="6"/>
  <c r="C487" i="6" s="1"/>
  <c r="D488" i="6"/>
  <c r="C488" i="6" s="1"/>
  <c r="D489" i="6"/>
  <c r="C489" i="6" s="1"/>
  <c r="D490" i="6"/>
  <c r="C490" i="6" s="1"/>
  <c r="D491" i="6"/>
  <c r="C491" i="6" s="1"/>
  <c r="D492" i="6"/>
  <c r="C492" i="6" s="1"/>
  <c r="D493" i="6"/>
  <c r="C493" i="6" s="1"/>
  <c r="D494" i="6"/>
  <c r="C494" i="6" s="1"/>
  <c r="D495" i="6"/>
  <c r="C495" i="6" s="1"/>
  <c r="D496" i="6"/>
  <c r="C496" i="6" s="1"/>
  <c r="D497" i="6"/>
  <c r="C497" i="6" s="1"/>
  <c r="D498" i="6"/>
  <c r="C498" i="6" s="1"/>
  <c r="D499" i="6"/>
  <c r="C499" i="6" s="1"/>
  <c r="D500" i="6"/>
  <c r="C500" i="6" s="1"/>
  <c r="D501" i="6"/>
  <c r="C501" i="6" s="1"/>
  <c r="D502" i="6"/>
  <c r="C502" i="6" s="1"/>
  <c r="D503" i="6"/>
  <c r="C503" i="6" s="1"/>
  <c r="D504" i="6"/>
  <c r="C504" i="6" s="1"/>
  <c r="D505" i="6"/>
  <c r="C505" i="6" s="1"/>
  <c r="D506" i="6"/>
  <c r="C506" i="6" s="1"/>
  <c r="D507" i="6"/>
  <c r="C507" i="6" s="1"/>
  <c r="D508" i="6"/>
  <c r="C508" i="6" s="1"/>
  <c r="D509" i="6"/>
  <c r="C509" i="6" s="1"/>
  <c r="D510" i="6"/>
  <c r="C510" i="6" s="1"/>
  <c r="D511" i="6"/>
  <c r="C511" i="6" s="1"/>
  <c r="D512" i="6"/>
  <c r="C512" i="6" s="1"/>
  <c r="D513" i="6"/>
  <c r="C513" i="6" s="1"/>
  <c r="D514" i="6"/>
  <c r="C514" i="6" s="1"/>
  <c r="D515" i="6"/>
  <c r="C515" i="6" s="1"/>
  <c r="D516" i="6"/>
  <c r="C516" i="6" s="1"/>
  <c r="D517" i="6"/>
  <c r="C517" i="6" s="1"/>
  <c r="D518" i="6"/>
  <c r="C518" i="6" s="1"/>
  <c r="D519" i="6"/>
  <c r="C519" i="6" s="1"/>
  <c r="D520" i="6"/>
  <c r="C520" i="6" s="1"/>
  <c r="D521" i="6"/>
  <c r="C521" i="6" s="1"/>
  <c r="D522" i="6"/>
  <c r="C522" i="6" s="1"/>
  <c r="D523" i="6"/>
  <c r="C523" i="6" s="1"/>
  <c r="D524" i="6"/>
  <c r="C524" i="6" s="1"/>
  <c r="D525" i="6"/>
  <c r="C525" i="6" s="1"/>
  <c r="D526" i="6"/>
  <c r="C526" i="6" s="1"/>
  <c r="D527" i="6"/>
  <c r="C527" i="6" s="1"/>
  <c r="D528" i="6"/>
  <c r="C528" i="6" s="1"/>
  <c r="D529" i="6"/>
  <c r="C529" i="6" s="1"/>
  <c r="D530" i="6"/>
  <c r="C530" i="6" s="1"/>
  <c r="D531" i="6"/>
  <c r="C531" i="6" s="1"/>
  <c r="D532" i="6"/>
  <c r="C532" i="6" s="1"/>
  <c r="D533" i="6"/>
  <c r="C533" i="6" s="1"/>
  <c r="D534" i="6"/>
  <c r="C534" i="6" s="1"/>
  <c r="D535" i="6"/>
  <c r="C535" i="6" s="1"/>
  <c r="D536" i="6"/>
  <c r="C536" i="6" s="1"/>
  <c r="D537" i="6"/>
  <c r="C537" i="6" s="1"/>
  <c r="D538" i="6"/>
  <c r="C538" i="6" s="1"/>
  <c r="D539" i="6"/>
  <c r="C539" i="6" s="1"/>
  <c r="D540" i="6"/>
  <c r="C540" i="6" s="1"/>
  <c r="D541" i="6"/>
  <c r="C541" i="6" s="1"/>
  <c r="D542" i="6"/>
  <c r="C542" i="6" s="1"/>
  <c r="D543" i="6"/>
  <c r="C543" i="6" s="1"/>
  <c r="D544" i="6"/>
  <c r="C544" i="6" s="1"/>
  <c r="D545" i="6"/>
  <c r="C545" i="6" s="1"/>
  <c r="D546" i="6"/>
  <c r="C546" i="6" s="1"/>
  <c r="D547" i="6"/>
  <c r="C547" i="6" s="1"/>
  <c r="D548" i="6"/>
  <c r="C548" i="6" s="1"/>
  <c r="D549" i="6"/>
  <c r="C549" i="6" s="1"/>
  <c r="D550" i="6"/>
  <c r="C550" i="6" s="1"/>
  <c r="D551" i="6"/>
  <c r="C551" i="6" s="1"/>
  <c r="D552" i="6"/>
  <c r="C552" i="6" s="1"/>
  <c r="D553" i="6"/>
  <c r="C553" i="6" s="1"/>
  <c r="D554" i="6"/>
  <c r="C554" i="6" s="1"/>
  <c r="D555" i="6"/>
  <c r="C555" i="6" s="1"/>
  <c r="D556" i="6"/>
  <c r="C556" i="6" s="1"/>
  <c r="D557" i="6"/>
  <c r="C557" i="6" s="1"/>
  <c r="D558" i="6"/>
  <c r="C558" i="6" s="1"/>
  <c r="D559" i="6"/>
  <c r="C559" i="6" s="1"/>
  <c r="D560" i="6"/>
  <c r="C560" i="6" s="1"/>
  <c r="D561" i="6"/>
  <c r="C561" i="6" s="1"/>
  <c r="D562" i="6"/>
  <c r="C562" i="6" s="1"/>
  <c r="D563" i="6"/>
  <c r="C563" i="6" s="1"/>
  <c r="D564" i="6"/>
  <c r="C564" i="6" s="1"/>
  <c r="D565" i="6"/>
  <c r="C565" i="6" s="1"/>
  <c r="D566" i="6"/>
  <c r="C566" i="6" s="1"/>
  <c r="D567" i="6"/>
  <c r="C567" i="6" s="1"/>
  <c r="D568" i="6"/>
  <c r="C568" i="6" s="1"/>
  <c r="D569" i="6"/>
  <c r="C569" i="6" s="1"/>
  <c r="D570" i="6"/>
  <c r="C570" i="6" s="1"/>
  <c r="D571" i="6"/>
  <c r="C571" i="6" s="1"/>
  <c r="D572" i="6"/>
  <c r="C572" i="6" s="1"/>
  <c r="D573" i="6"/>
  <c r="C573" i="6" s="1"/>
  <c r="D574" i="6"/>
  <c r="C574" i="6" s="1"/>
  <c r="D575" i="6"/>
  <c r="C575" i="6" s="1"/>
  <c r="D576" i="6"/>
  <c r="C576" i="6" s="1"/>
  <c r="D577" i="6"/>
  <c r="C577" i="6" s="1"/>
  <c r="D578" i="6"/>
  <c r="C578" i="6" s="1"/>
  <c r="D579" i="6"/>
  <c r="C579" i="6" s="1"/>
  <c r="D580" i="6"/>
  <c r="C580" i="6" s="1"/>
  <c r="D581" i="6"/>
  <c r="C581" i="6" s="1"/>
  <c r="D582" i="6"/>
  <c r="C582" i="6" s="1"/>
  <c r="D583" i="6"/>
  <c r="C583" i="6" s="1"/>
  <c r="D584" i="6"/>
  <c r="C584" i="6" s="1"/>
  <c r="D585" i="6"/>
  <c r="C585" i="6" s="1"/>
  <c r="D586" i="6"/>
  <c r="C586" i="6" s="1"/>
  <c r="D587" i="6"/>
  <c r="C587" i="6" s="1"/>
  <c r="D588" i="6"/>
  <c r="C588" i="6" s="1"/>
  <c r="D589" i="6"/>
  <c r="C589" i="6" s="1"/>
  <c r="D590" i="6"/>
  <c r="C590" i="6" s="1"/>
  <c r="D591" i="6"/>
  <c r="C591" i="6" s="1"/>
  <c r="D592" i="6"/>
  <c r="C592" i="6" s="1"/>
  <c r="D593" i="6"/>
  <c r="C593" i="6" s="1"/>
  <c r="D594" i="6"/>
  <c r="C594" i="6" s="1"/>
  <c r="D595" i="6"/>
  <c r="C595" i="6" s="1"/>
  <c r="D596" i="6"/>
  <c r="C596" i="6" s="1"/>
  <c r="D597" i="6"/>
  <c r="C597" i="6" s="1"/>
  <c r="D598" i="6"/>
  <c r="C598" i="6" s="1"/>
  <c r="D599" i="6"/>
  <c r="C599" i="6" s="1"/>
  <c r="D600" i="6"/>
  <c r="C600" i="6" s="1"/>
  <c r="D601" i="6"/>
  <c r="C601" i="6" s="1"/>
  <c r="D602" i="6"/>
  <c r="C602" i="6" s="1"/>
  <c r="D603" i="6"/>
  <c r="C603" i="6" s="1"/>
  <c r="D604" i="6"/>
  <c r="C604" i="6" s="1"/>
  <c r="D605" i="6"/>
  <c r="C605" i="6" s="1"/>
  <c r="D606" i="6"/>
  <c r="C606" i="6" s="1"/>
  <c r="D607" i="6"/>
  <c r="C607" i="6" s="1"/>
  <c r="D608" i="6"/>
  <c r="C608" i="6" s="1"/>
  <c r="D609" i="6"/>
  <c r="C609" i="6" s="1"/>
  <c r="D610" i="6"/>
  <c r="C610" i="6" s="1"/>
  <c r="D611" i="6"/>
  <c r="C611" i="6" s="1"/>
  <c r="D612" i="6"/>
  <c r="C612" i="6" s="1"/>
  <c r="D613" i="6"/>
  <c r="C613" i="6" s="1"/>
  <c r="D614" i="6"/>
  <c r="C614" i="6" s="1"/>
  <c r="D615" i="6"/>
  <c r="C615" i="6" s="1"/>
  <c r="D616" i="6"/>
  <c r="C616" i="6" s="1"/>
  <c r="D617" i="6"/>
  <c r="C617" i="6" s="1"/>
  <c r="D618" i="6"/>
  <c r="C618" i="6" s="1"/>
  <c r="D619" i="6"/>
  <c r="C619" i="6" s="1"/>
  <c r="D620" i="6"/>
  <c r="C620" i="6" s="1"/>
  <c r="D621" i="6"/>
  <c r="C621" i="6" s="1"/>
  <c r="D622" i="6"/>
  <c r="C622" i="6" s="1"/>
  <c r="D623" i="6"/>
  <c r="C623" i="6" s="1"/>
  <c r="D624" i="6"/>
  <c r="C624" i="6" s="1"/>
  <c r="D625" i="6"/>
  <c r="C625" i="6" s="1"/>
  <c r="D626" i="6"/>
  <c r="C626" i="6" s="1"/>
  <c r="D627" i="6"/>
  <c r="C627" i="6" s="1"/>
  <c r="D628" i="6"/>
  <c r="C628" i="6" s="1"/>
  <c r="D629" i="6"/>
  <c r="C629" i="6" s="1"/>
  <c r="D630" i="6"/>
  <c r="C630" i="6" s="1"/>
  <c r="D631" i="6"/>
  <c r="C631" i="6" s="1"/>
  <c r="D632" i="6"/>
  <c r="C632" i="6" s="1"/>
  <c r="D633" i="6"/>
  <c r="C633" i="6" s="1"/>
  <c r="D634" i="6"/>
  <c r="C634" i="6" s="1"/>
  <c r="D635" i="6"/>
  <c r="C635" i="6" s="1"/>
  <c r="D636" i="6"/>
  <c r="C636" i="6" s="1"/>
  <c r="D637" i="6"/>
  <c r="C637" i="6" s="1"/>
  <c r="D638" i="6"/>
  <c r="C638" i="6" s="1"/>
  <c r="D639" i="6"/>
  <c r="C639" i="6" s="1"/>
  <c r="D480" i="6"/>
  <c r="C480" i="6" s="1"/>
  <c r="D481" i="6"/>
  <c r="C481" i="6" s="1"/>
  <c r="D482" i="6"/>
  <c r="C482" i="6" s="1"/>
  <c r="D479" i="6"/>
  <c r="C479" i="6" s="1"/>
  <c r="E478" i="6"/>
  <c r="F478" i="6"/>
  <c r="G478" i="6"/>
  <c r="H478" i="6"/>
  <c r="I478" i="6"/>
  <c r="J478" i="6"/>
  <c r="K478" i="6"/>
  <c r="L478" i="6"/>
  <c r="M478" i="6"/>
  <c r="N478" i="6"/>
  <c r="O478" i="6"/>
  <c r="P478" i="6"/>
  <c r="Q478" i="6"/>
  <c r="R478" i="6"/>
  <c r="S478" i="6"/>
  <c r="T478" i="6"/>
  <c r="W478" i="6"/>
  <c r="X478" i="6"/>
  <c r="AA478" i="6"/>
  <c r="D335" i="6" l="1"/>
  <c r="C335" i="6" s="1"/>
  <c r="D336" i="6"/>
  <c r="C336" i="6" s="1"/>
  <c r="D337" i="6"/>
  <c r="C337" i="6" s="1"/>
  <c r="D338" i="6"/>
  <c r="C338" i="6" s="1"/>
  <c r="D339" i="6"/>
  <c r="C339" i="6" s="1"/>
  <c r="D340" i="6"/>
  <c r="C340" i="6" s="1"/>
  <c r="D341" i="6"/>
  <c r="C341" i="6" s="1"/>
  <c r="D342" i="6"/>
  <c r="C342" i="6" s="1"/>
  <c r="D343" i="6"/>
  <c r="C343" i="6" s="1"/>
  <c r="D344" i="6"/>
  <c r="C344" i="6" s="1"/>
  <c r="D345" i="6"/>
  <c r="C345" i="6" s="1"/>
  <c r="D346" i="6"/>
  <c r="C346" i="6" s="1"/>
  <c r="D347" i="6"/>
  <c r="C347" i="6" s="1"/>
  <c r="D348" i="6"/>
  <c r="C348" i="6" s="1"/>
  <c r="D349" i="6"/>
  <c r="C349" i="6" s="1"/>
  <c r="D350" i="6"/>
  <c r="C350" i="6" s="1"/>
  <c r="D204" i="6"/>
  <c r="C204" i="6" s="1"/>
  <c r="D205" i="6"/>
  <c r="C205" i="6" s="1"/>
  <c r="D206" i="6"/>
  <c r="C206" i="6" s="1"/>
  <c r="D207" i="6"/>
  <c r="C207" i="6" s="1"/>
  <c r="D208" i="6"/>
  <c r="C208" i="6" s="1"/>
  <c r="D209" i="6"/>
  <c r="C209" i="6" s="1"/>
  <c r="D210" i="6"/>
  <c r="C210" i="6" s="1"/>
  <c r="D211" i="6"/>
  <c r="C211" i="6" s="1"/>
  <c r="D212" i="6"/>
  <c r="C212" i="6" s="1"/>
  <c r="D213" i="6"/>
  <c r="C213" i="6" s="1"/>
  <c r="D214" i="6"/>
  <c r="C214" i="6" s="1"/>
  <c r="D215" i="6"/>
  <c r="C215" i="6" s="1"/>
  <c r="D216" i="6"/>
  <c r="C216" i="6" s="1"/>
  <c r="D217" i="6"/>
  <c r="C217" i="6" s="1"/>
  <c r="D218" i="6"/>
  <c r="C218" i="6" s="1"/>
  <c r="D219" i="6"/>
  <c r="C219" i="6" s="1"/>
  <c r="D220" i="6"/>
  <c r="C220" i="6" s="1"/>
  <c r="D221" i="6"/>
  <c r="C221" i="6" s="1"/>
  <c r="D222" i="6"/>
  <c r="C222" i="6" s="1"/>
  <c r="D223" i="6"/>
  <c r="C223" i="6" s="1"/>
  <c r="D334" i="6"/>
  <c r="C334" i="6" s="1"/>
  <c r="K503" i="5"/>
  <c r="L503" i="5"/>
  <c r="M503" i="5"/>
  <c r="N503" i="5"/>
  <c r="Q503" i="5"/>
  <c r="P509" i="5"/>
  <c r="O509" i="5"/>
  <c r="J509" i="5"/>
  <c r="P508" i="5"/>
  <c r="O508" i="5"/>
  <c r="J508" i="5"/>
  <c r="P507" i="5"/>
  <c r="O507" i="5"/>
  <c r="J507" i="5"/>
  <c r="P506" i="5"/>
  <c r="O506" i="5"/>
  <c r="J506" i="5"/>
  <c r="P505" i="5"/>
  <c r="O505" i="5"/>
  <c r="J505" i="5"/>
  <c r="P504" i="5"/>
  <c r="O504" i="5"/>
  <c r="J504" i="5"/>
  <c r="F146" i="7" l="1"/>
  <c r="D146" i="7"/>
  <c r="D202" i="6"/>
  <c r="P503" i="5"/>
  <c r="D333" i="6"/>
  <c r="C333" i="6"/>
  <c r="C202" i="6"/>
  <c r="Z478" i="6"/>
  <c r="D478" i="6"/>
  <c r="J503" i="5"/>
  <c r="O503" i="5"/>
  <c r="H503" i="5"/>
  <c r="I503" i="5"/>
  <c r="D12" i="6"/>
  <c r="C12" i="6" s="1"/>
  <c r="D13" i="6"/>
  <c r="C13" i="6" s="1"/>
  <c r="D14" i="6"/>
  <c r="C14" i="6" s="1"/>
  <c r="D15" i="6"/>
  <c r="C15" i="6" s="1"/>
  <c r="D16" i="6"/>
  <c r="C16" i="6" s="1"/>
  <c r="D17" i="6"/>
  <c r="C17" i="6" s="1"/>
  <c r="D18" i="6"/>
  <c r="C18" i="6" s="1"/>
  <c r="D19" i="6"/>
  <c r="C19" i="6" s="1"/>
  <c r="D20" i="6"/>
  <c r="C20" i="6" s="1"/>
  <c r="D11" i="6"/>
  <c r="C146" i="7" l="1"/>
  <c r="D10" i="6"/>
  <c r="C11" i="6"/>
  <c r="C10" i="6" s="1"/>
  <c r="C478" i="6"/>
  <c r="J352" i="5"/>
  <c r="H245" i="5"/>
  <c r="I245" i="5"/>
  <c r="J245" i="5"/>
  <c r="K245" i="5"/>
  <c r="L245" i="5"/>
  <c r="M245" i="5"/>
  <c r="N245" i="5"/>
  <c r="O245" i="5"/>
  <c r="P245" i="5"/>
  <c r="Q245" i="5"/>
  <c r="O254" i="5"/>
  <c r="O255" i="5"/>
  <c r="H256" i="5"/>
  <c r="I256" i="5"/>
  <c r="J256" i="5"/>
  <c r="K256" i="5"/>
  <c r="L256" i="5"/>
  <c r="M256" i="5"/>
  <c r="N256" i="5"/>
  <c r="P256" i="5"/>
  <c r="Q256" i="5"/>
  <c r="I17" i="5"/>
  <c r="K17" i="5"/>
  <c r="L17" i="5"/>
  <c r="M17" i="5"/>
  <c r="N17" i="5"/>
  <c r="O17" i="5"/>
  <c r="P17" i="5"/>
  <c r="Q17" i="5"/>
  <c r="H17" i="5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W158" i="6"/>
  <c r="X158" i="6"/>
  <c r="Z158" i="6"/>
  <c r="AA158" i="6"/>
  <c r="D166" i="6"/>
  <c r="C166" i="6" s="1"/>
  <c r="D167" i="6"/>
  <c r="C167" i="6" s="1"/>
  <c r="I143" i="5"/>
  <c r="J143" i="5"/>
  <c r="K143" i="5"/>
  <c r="L143" i="5"/>
  <c r="M143" i="5"/>
  <c r="N143" i="5"/>
  <c r="O143" i="5"/>
  <c r="P143" i="5"/>
  <c r="Q143" i="5"/>
  <c r="H143" i="5"/>
  <c r="E764" i="6"/>
  <c r="E763" i="6" s="1"/>
  <c r="F764" i="6"/>
  <c r="F763" i="6" s="1"/>
  <c r="G764" i="6"/>
  <c r="G763" i="6" s="1"/>
  <c r="H764" i="6"/>
  <c r="H763" i="6" s="1"/>
  <c r="I764" i="6"/>
  <c r="I763" i="6" s="1"/>
  <c r="J764" i="6"/>
  <c r="J763" i="6" s="1"/>
  <c r="K764" i="6"/>
  <c r="K763" i="6" s="1"/>
  <c r="L764" i="6"/>
  <c r="L763" i="6" s="1"/>
  <c r="M764" i="6"/>
  <c r="M763" i="6" s="1"/>
  <c r="N764" i="6"/>
  <c r="N763" i="6" s="1"/>
  <c r="O764" i="6"/>
  <c r="O763" i="6" s="1"/>
  <c r="P764" i="6"/>
  <c r="P763" i="6" s="1"/>
  <c r="Q764" i="6"/>
  <c r="Q763" i="6" s="1"/>
  <c r="R764" i="6"/>
  <c r="R763" i="6" s="1"/>
  <c r="S764" i="6"/>
  <c r="S763" i="6" s="1"/>
  <c r="T764" i="6"/>
  <c r="T763" i="6" s="1"/>
  <c r="W764" i="6"/>
  <c r="W763" i="6" s="1"/>
  <c r="X764" i="6"/>
  <c r="X763" i="6" s="1"/>
  <c r="Z764" i="6"/>
  <c r="Z763" i="6" s="1"/>
  <c r="AA764" i="6"/>
  <c r="AA763" i="6" s="1"/>
  <c r="D784" i="6"/>
  <c r="C784" i="6" s="1"/>
  <c r="D1012" i="6"/>
  <c r="D1011" i="6" s="1"/>
  <c r="D1010" i="6" s="1"/>
  <c r="C10" i="7" l="1"/>
  <c r="D10" i="7"/>
  <c r="F10" i="7"/>
  <c r="J214" i="5"/>
  <c r="C1012" i="6"/>
  <c r="C1011" i="6" s="1"/>
  <c r="C1010" i="6" s="1"/>
  <c r="O256" i="5"/>
  <c r="J17" i="5"/>
  <c r="D168" i="7" l="1"/>
  <c r="F168" i="7"/>
  <c r="C168" i="7"/>
  <c r="D700" i="6"/>
  <c r="C700" i="6" s="1"/>
  <c r="D697" i="6"/>
  <c r="C697" i="6" s="1"/>
  <c r="D685" i="6"/>
  <c r="C685" i="6" s="1"/>
  <c r="D686" i="6"/>
  <c r="C686" i="6" s="1"/>
  <c r="D687" i="6"/>
  <c r="C687" i="6" s="1"/>
  <c r="D688" i="6"/>
  <c r="C688" i="6" s="1"/>
  <c r="D689" i="6"/>
  <c r="C689" i="6" s="1"/>
  <c r="D690" i="6"/>
  <c r="C690" i="6" s="1"/>
  <c r="D691" i="6"/>
  <c r="C691" i="6" s="1"/>
  <c r="D692" i="6"/>
  <c r="C692" i="6" s="1"/>
  <c r="D693" i="6"/>
  <c r="C693" i="6" s="1"/>
  <c r="D694" i="6"/>
  <c r="C694" i="6" s="1"/>
  <c r="D695" i="6"/>
  <c r="C695" i="6" s="1"/>
  <c r="D696" i="6"/>
  <c r="C696" i="6" s="1"/>
  <c r="D698" i="6"/>
  <c r="C698" i="6" s="1"/>
  <c r="D699" i="6"/>
  <c r="C699" i="6" s="1"/>
  <c r="D684" i="6"/>
  <c r="C684" i="6" s="1"/>
  <c r="E683" i="6"/>
  <c r="F683" i="6"/>
  <c r="G683" i="6"/>
  <c r="H683" i="6"/>
  <c r="I683" i="6"/>
  <c r="J683" i="6"/>
  <c r="K683" i="6"/>
  <c r="L683" i="6"/>
  <c r="M683" i="6"/>
  <c r="N683" i="6"/>
  <c r="O683" i="6"/>
  <c r="P683" i="6"/>
  <c r="Q683" i="6"/>
  <c r="R683" i="6"/>
  <c r="S683" i="6"/>
  <c r="T683" i="6"/>
  <c r="W683" i="6"/>
  <c r="X683" i="6"/>
  <c r="Z683" i="6"/>
  <c r="AA683" i="6"/>
  <c r="D235" i="6"/>
  <c r="C235" i="6" s="1"/>
  <c r="D236" i="6"/>
  <c r="C236" i="6" s="1"/>
  <c r="D237" i="6"/>
  <c r="C237" i="6" s="1"/>
  <c r="D238" i="6"/>
  <c r="C238" i="6" s="1"/>
  <c r="D239" i="6"/>
  <c r="C239" i="6" s="1"/>
  <c r="D240" i="6"/>
  <c r="C240" i="6" s="1"/>
  <c r="E233" i="6"/>
  <c r="F233" i="6"/>
  <c r="G233" i="6"/>
  <c r="H233" i="6"/>
  <c r="I233" i="6"/>
  <c r="J233" i="6"/>
  <c r="K233" i="6"/>
  <c r="L233" i="6"/>
  <c r="M233" i="6"/>
  <c r="N233" i="6"/>
  <c r="O233" i="6"/>
  <c r="P233" i="6"/>
  <c r="Q233" i="6"/>
  <c r="R233" i="6"/>
  <c r="S233" i="6"/>
  <c r="T233" i="6"/>
  <c r="W233" i="6"/>
  <c r="X233" i="6"/>
  <c r="Z233" i="6"/>
  <c r="AA233" i="6"/>
  <c r="D179" i="6"/>
  <c r="C179" i="6" s="1"/>
  <c r="D180" i="6"/>
  <c r="C180" i="6" s="1"/>
  <c r="M708" i="5"/>
  <c r="N708" i="5"/>
  <c r="P708" i="5"/>
  <c r="H708" i="5"/>
  <c r="O708" i="5"/>
  <c r="K708" i="5"/>
  <c r="I708" i="5"/>
  <c r="D661" i="6"/>
  <c r="C661" i="6" s="1"/>
  <c r="D662" i="6"/>
  <c r="C662" i="6" s="1"/>
  <c r="D663" i="6"/>
  <c r="C663" i="6" s="1"/>
  <c r="D664" i="6"/>
  <c r="C664" i="6" s="1"/>
  <c r="D665" i="6"/>
  <c r="C665" i="6" s="1"/>
  <c r="D666" i="6"/>
  <c r="C666" i="6" s="1"/>
  <c r="D667" i="6"/>
  <c r="C667" i="6" s="1"/>
  <c r="D668" i="6"/>
  <c r="C668" i="6" s="1"/>
  <c r="D669" i="6"/>
  <c r="C669" i="6" s="1"/>
  <c r="D670" i="6"/>
  <c r="C670" i="6" s="1"/>
  <c r="D645" i="6"/>
  <c r="C645" i="6" s="1"/>
  <c r="D646" i="6"/>
  <c r="C646" i="6" s="1"/>
  <c r="D647" i="6"/>
  <c r="C647" i="6" s="1"/>
  <c r="C233" i="6" l="1"/>
  <c r="D168" i="6"/>
  <c r="D148" i="7"/>
  <c r="C148" i="7"/>
  <c r="D683" i="6"/>
  <c r="C683" i="6"/>
  <c r="D233" i="6"/>
  <c r="J708" i="5"/>
  <c r="Q708" i="5"/>
  <c r="L708" i="5"/>
  <c r="D832" i="6"/>
  <c r="C832" i="6" s="1"/>
  <c r="D833" i="6"/>
  <c r="C833" i="6" s="1"/>
  <c r="F148" i="7" l="1"/>
  <c r="D839" i="6"/>
  <c r="C839" i="6" s="1"/>
  <c r="D804" i="6"/>
  <c r="C804" i="6" l="1"/>
  <c r="D728" i="6"/>
  <c r="D727" i="6" s="1"/>
  <c r="O753" i="5"/>
  <c r="O752" i="5" s="1"/>
  <c r="D151" i="7"/>
  <c r="C151" i="7"/>
  <c r="D202" i="7"/>
  <c r="D201" i="7" s="1"/>
  <c r="F202" i="7"/>
  <c r="F201" i="7" s="1"/>
  <c r="C202" i="7"/>
  <c r="C201" i="7" s="1"/>
  <c r="D173" i="7"/>
  <c r="C173" i="7"/>
  <c r="C728" i="6" l="1"/>
  <c r="C727" i="6" s="1"/>
  <c r="F151" i="7"/>
  <c r="C882" i="6" l="1"/>
  <c r="C880" i="6"/>
  <c r="E883" i="6"/>
  <c r="F883" i="6"/>
  <c r="G883" i="6"/>
  <c r="H883" i="6"/>
  <c r="I883" i="6"/>
  <c r="J883" i="6"/>
  <c r="K883" i="6"/>
  <c r="L883" i="6"/>
  <c r="M883" i="6"/>
  <c r="N883" i="6"/>
  <c r="O883" i="6"/>
  <c r="P883" i="6"/>
  <c r="Q883" i="6"/>
  <c r="R883" i="6"/>
  <c r="S883" i="6"/>
  <c r="T883" i="6"/>
  <c r="W883" i="6"/>
  <c r="X883" i="6"/>
  <c r="Z883" i="6"/>
  <c r="AA883" i="6"/>
  <c r="I908" i="5"/>
  <c r="J908" i="5"/>
  <c r="K908" i="5"/>
  <c r="L908" i="5"/>
  <c r="M908" i="5"/>
  <c r="N908" i="5"/>
  <c r="O908" i="5"/>
  <c r="P908" i="5"/>
  <c r="Q908" i="5"/>
  <c r="H908" i="5"/>
  <c r="D883" i="6" l="1"/>
  <c r="C883" i="6"/>
  <c r="O985" i="5"/>
  <c r="D805" i="6"/>
  <c r="D803" i="6" s="1"/>
  <c r="C805" i="6" l="1"/>
  <c r="C803" i="6" s="1"/>
  <c r="I982" i="5"/>
  <c r="J982" i="5"/>
  <c r="K982" i="5"/>
  <c r="L982" i="5"/>
  <c r="M982" i="5"/>
  <c r="N982" i="5"/>
  <c r="Q982" i="5"/>
  <c r="D794" i="6" l="1"/>
  <c r="C794" i="6" s="1"/>
  <c r="D795" i="6"/>
  <c r="C795" i="6" s="1"/>
  <c r="D793" i="6"/>
  <c r="C793" i="6" l="1"/>
  <c r="C792" i="6" s="1"/>
  <c r="D792" i="6"/>
  <c r="K726" i="5"/>
  <c r="M726" i="5"/>
  <c r="N726" i="5"/>
  <c r="Q726" i="5"/>
  <c r="O736" i="5"/>
  <c r="E788" i="6" l="1"/>
  <c r="F788" i="6"/>
  <c r="G788" i="6"/>
  <c r="H788" i="6"/>
  <c r="I788" i="6"/>
  <c r="J788" i="6"/>
  <c r="K788" i="6"/>
  <c r="L788" i="6"/>
  <c r="M788" i="6"/>
  <c r="N788" i="6"/>
  <c r="O788" i="6"/>
  <c r="P788" i="6"/>
  <c r="Q788" i="6"/>
  <c r="R788" i="6"/>
  <c r="S788" i="6"/>
  <c r="T788" i="6"/>
  <c r="W788" i="6"/>
  <c r="X788" i="6"/>
  <c r="Z788" i="6"/>
  <c r="AA788" i="6"/>
  <c r="D791" i="6"/>
  <c r="C791" i="6" s="1"/>
  <c r="D789" i="6"/>
  <c r="I813" i="5"/>
  <c r="J813" i="5"/>
  <c r="K813" i="5"/>
  <c r="D160" i="7" s="1"/>
  <c r="L813" i="5"/>
  <c r="F160" i="7" s="1"/>
  <c r="M813" i="5"/>
  <c r="N813" i="5"/>
  <c r="O813" i="5"/>
  <c r="Q813" i="5"/>
  <c r="H813" i="5"/>
  <c r="D108" i="7"/>
  <c r="C108" i="7"/>
  <c r="D21" i="7"/>
  <c r="C21" i="7"/>
  <c r="E37" i="7"/>
  <c r="D950" i="6"/>
  <c r="C950" i="6" s="1"/>
  <c r="D952" i="6"/>
  <c r="C952" i="6" s="1"/>
  <c r="D955" i="6"/>
  <c r="C955" i="6" s="1"/>
  <c r="D956" i="6"/>
  <c r="C956" i="6" s="1"/>
  <c r="D949" i="6"/>
  <c r="C949" i="6" s="1"/>
  <c r="E948" i="6"/>
  <c r="F948" i="6"/>
  <c r="G948" i="6"/>
  <c r="H948" i="6"/>
  <c r="I948" i="6"/>
  <c r="J948" i="6"/>
  <c r="K948" i="6"/>
  <c r="L948" i="6"/>
  <c r="M948" i="6"/>
  <c r="N948" i="6"/>
  <c r="O948" i="6"/>
  <c r="P948" i="6"/>
  <c r="Q948" i="6"/>
  <c r="R948" i="6"/>
  <c r="S948" i="6"/>
  <c r="T948" i="6"/>
  <c r="W948" i="6"/>
  <c r="X948" i="6"/>
  <c r="Z948" i="6"/>
  <c r="AA948" i="6"/>
  <c r="D308" i="6"/>
  <c r="D190" i="7"/>
  <c r="C190" i="7"/>
  <c r="O320" i="5"/>
  <c r="O319" i="5" s="1"/>
  <c r="D87" i="7"/>
  <c r="F87" i="7"/>
  <c r="C87" i="7"/>
  <c r="O142" i="5"/>
  <c r="O141" i="5"/>
  <c r="C160" i="7" l="1"/>
  <c r="C308" i="6"/>
  <c r="C307" i="6" s="1"/>
  <c r="D307" i="6"/>
  <c r="O140" i="5"/>
  <c r="C789" i="6"/>
  <c r="D948" i="6"/>
  <c r="C948" i="6"/>
  <c r="D381" i="6" l="1"/>
  <c r="D380" i="6" s="1"/>
  <c r="D259" i="6"/>
  <c r="D257" i="6" s="1"/>
  <c r="D49" i="6"/>
  <c r="C49" i="6" s="1"/>
  <c r="D48" i="6"/>
  <c r="D47" i="6" l="1"/>
  <c r="C381" i="6"/>
  <c r="C380" i="6" s="1"/>
  <c r="C48" i="6"/>
  <c r="C47" i="6" s="1"/>
  <c r="C259" i="6"/>
  <c r="C257" i="6" s="1"/>
  <c r="K824" i="6" l="1"/>
  <c r="L824" i="6"/>
  <c r="D431" i="6" l="1"/>
  <c r="E122" i="6"/>
  <c r="F122" i="6"/>
  <c r="G122" i="6"/>
  <c r="H122" i="6"/>
  <c r="I122" i="6"/>
  <c r="J122" i="6"/>
  <c r="K122" i="6"/>
  <c r="K116" i="6" s="1"/>
  <c r="K115" i="6" s="1"/>
  <c r="K114" i="6" s="1"/>
  <c r="K113" i="6" s="1"/>
  <c r="K112" i="6" s="1"/>
  <c r="K111" i="6" s="1"/>
  <c r="K110" i="6" s="1"/>
  <c r="K109" i="6" s="1"/>
  <c r="K108" i="6" s="1"/>
  <c r="K107" i="6" s="1"/>
  <c r="L122" i="6"/>
  <c r="L116" i="6" s="1"/>
  <c r="L115" i="6" s="1"/>
  <c r="L114" i="6" s="1"/>
  <c r="L113" i="6" s="1"/>
  <c r="L112" i="6" s="1"/>
  <c r="L111" i="6" s="1"/>
  <c r="L110" i="6" s="1"/>
  <c r="L109" i="6" s="1"/>
  <c r="L108" i="6" s="1"/>
  <c r="L107" i="6" s="1"/>
  <c r="M122" i="6"/>
  <c r="N122" i="6"/>
  <c r="O122" i="6"/>
  <c r="O107" i="6" s="1"/>
  <c r="P122" i="6"/>
  <c r="P107" i="6" s="1"/>
  <c r="Q122" i="6"/>
  <c r="Q107" i="6" s="1"/>
  <c r="R122" i="6"/>
  <c r="R107" i="6" s="1"/>
  <c r="S122" i="6"/>
  <c r="S107" i="6" s="1"/>
  <c r="T122" i="6"/>
  <c r="T107" i="6" s="1"/>
  <c r="W122" i="6"/>
  <c r="Z122" i="6"/>
  <c r="AA122" i="6"/>
  <c r="D123" i="6"/>
  <c r="C123" i="6" s="1"/>
  <c r="C122" i="6" s="1"/>
  <c r="D126" i="7"/>
  <c r="F126" i="7"/>
  <c r="C126" i="7"/>
  <c r="I129" i="5"/>
  <c r="I114" i="5" s="1"/>
  <c r="J129" i="5"/>
  <c r="J114" i="5" s="1"/>
  <c r="K129" i="5"/>
  <c r="K114" i="5" s="1"/>
  <c r="L129" i="5"/>
  <c r="L114" i="5" s="1"/>
  <c r="M129" i="5"/>
  <c r="M114" i="5" s="1"/>
  <c r="N129" i="5"/>
  <c r="N114" i="5" s="1"/>
  <c r="O129" i="5"/>
  <c r="O114" i="5" s="1"/>
  <c r="P129" i="5"/>
  <c r="P114" i="5" s="1"/>
  <c r="Q129" i="5"/>
  <c r="Q114" i="5" s="1"/>
  <c r="H129" i="5"/>
  <c r="H114" i="5" s="1"/>
  <c r="D203" i="7"/>
  <c r="D1015" i="6"/>
  <c r="D467" i="6"/>
  <c r="C467" i="6" s="1"/>
  <c r="D468" i="6"/>
  <c r="C468" i="6" s="1"/>
  <c r="D469" i="6"/>
  <c r="C469" i="6" s="1"/>
  <c r="D466" i="6"/>
  <c r="D327" i="6"/>
  <c r="C327" i="6" s="1"/>
  <c r="D328" i="6"/>
  <c r="C328" i="6" s="1"/>
  <c r="D330" i="6"/>
  <c r="C330" i="6" s="1"/>
  <c r="D32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W196" i="6"/>
  <c r="X196" i="6"/>
  <c r="Z196" i="6"/>
  <c r="AA196" i="6"/>
  <c r="D198" i="6"/>
  <c r="C198" i="6" s="1"/>
  <c r="D199" i="6"/>
  <c r="C199" i="6" s="1"/>
  <c r="D197" i="6"/>
  <c r="C197" i="6" s="1"/>
  <c r="F203" i="7"/>
  <c r="C203" i="7"/>
  <c r="D140" i="7"/>
  <c r="F140" i="7"/>
  <c r="C140" i="7"/>
  <c r="O486" i="5"/>
  <c r="O483" i="5"/>
  <c r="D93" i="7"/>
  <c r="F93" i="7"/>
  <c r="C93" i="7"/>
  <c r="O339" i="5"/>
  <c r="O338" i="5"/>
  <c r="O335" i="5"/>
  <c r="D57" i="7"/>
  <c r="F57" i="7"/>
  <c r="C57" i="7"/>
  <c r="O183" i="5"/>
  <c r="O181" i="5" s="1"/>
  <c r="D465" i="6" l="1"/>
  <c r="C41" i="7"/>
  <c r="F41" i="7"/>
  <c r="D41" i="7"/>
  <c r="O334" i="5"/>
  <c r="C1015" i="6"/>
  <c r="C1014" i="6" s="1"/>
  <c r="D1014" i="6"/>
  <c r="C326" i="6"/>
  <c r="C325" i="6" s="1"/>
  <c r="D325" i="6"/>
  <c r="O482" i="5"/>
  <c r="C466" i="6"/>
  <c r="C465" i="6" s="1"/>
  <c r="C431" i="6"/>
  <c r="C430" i="6" s="1"/>
  <c r="C418" i="6" s="1"/>
  <c r="D430" i="6"/>
  <c r="D418" i="6" s="1"/>
  <c r="D122" i="6"/>
  <c r="C196" i="6"/>
  <c r="D196" i="6"/>
  <c r="E65" i="6" l="1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W65" i="6"/>
  <c r="X65" i="6"/>
  <c r="Z65" i="6"/>
  <c r="AA65" i="6"/>
  <c r="D66" i="6"/>
  <c r="C66" i="6" s="1"/>
  <c r="C65" i="6" s="1"/>
  <c r="I72" i="5"/>
  <c r="J72" i="5"/>
  <c r="K72" i="5"/>
  <c r="D25" i="7" s="1"/>
  <c r="L72" i="5"/>
  <c r="F25" i="7" s="1"/>
  <c r="M72" i="5"/>
  <c r="N72" i="5"/>
  <c r="O72" i="5"/>
  <c r="P72" i="5"/>
  <c r="Q72" i="5"/>
  <c r="H72" i="5"/>
  <c r="C25" i="7" s="1"/>
  <c r="D991" i="6"/>
  <c r="D989" i="6" s="1"/>
  <c r="D190" i="6"/>
  <c r="D298" i="6"/>
  <c r="D297" i="6" s="1"/>
  <c r="D84" i="7"/>
  <c r="F84" i="7"/>
  <c r="C84" i="7"/>
  <c r="E106" i="7"/>
  <c r="E70" i="7"/>
  <c r="D766" i="6"/>
  <c r="C766" i="6" s="1"/>
  <c r="D767" i="6"/>
  <c r="C767" i="6" s="1"/>
  <c r="D768" i="6"/>
  <c r="C768" i="6" s="1"/>
  <c r="D769" i="6"/>
  <c r="C769" i="6" s="1"/>
  <c r="D770" i="6"/>
  <c r="C770" i="6" s="1"/>
  <c r="D771" i="6"/>
  <c r="C771" i="6" s="1"/>
  <c r="D772" i="6"/>
  <c r="C772" i="6" s="1"/>
  <c r="D773" i="6"/>
  <c r="C773" i="6" s="1"/>
  <c r="D774" i="6"/>
  <c r="C774" i="6" s="1"/>
  <c r="D775" i="6"/>
  <c r="C775" i="6" s="1"/>
  <c r="D776" i="6"/>
  <c r="C776" i="6" s="1"/>
  <c r="D777" i="6"/>
  <c r="C777" i="6" s="1"/>
  <c r="D778" i="6"/>
  <c r="C778" i="6" s="1"/>
  <c r="D779" i="6"/>
  <c r="C779" i="6" s="1"/>
  <c r="D765" i="6"/>
  <c r="K382" i="6"/>
  <c r="K332" i="6" s="1"/>
  <c r="L382" i="6"/>
  <c r="L332" i="6" s="1"/>
  <c r="M382" i="6"/>
  <c r="M332" i="6" s="1"/>
  <c r="N382" i="6"/>
  <c r="O382" i="6"/>
  <c r="Q382" i="6"/>
  <c r="R382" i="6"/>
  <c r="S382" i="6"/>
  <c r="W382" i="6"/>
  <c r="X382" i="6"/>
  <c r="Z382" i="6"/>
  <c r="AA382" i="6"/>
  <c r="E261" i="6"/>
  <c r="F261" i="6"/>
  <c r="F260" i="6" s="1"/>
  <c r="G261" i="6"/>
  <c r="G260" i="6" s="1"/>
  <c r="H261" i="6"/>
  <c r="H260" i="6" s="1"/>
  <c r="I261" i="6"/>
  <c r="I260" i="6" s="1"/>
  <c r="J261" i="6"/>
  <c r="J260" i="6" s="1"/>
  <c r="K261" i="6"/>
  <c r="K260" i="6" s="1"/>
  <c r="L261" i="6"/>
  <c r="L260" i="6" s="1"/>
  <c r="M261" i="6"/>
  <c r="M260" i="6" s="1"/>
  <c r="N261" i="6"/>
  <c r="N260" i="6" s="1"/>
  <c r="O261" i="6"/>
  <c r="O260" i="6" s="1"/>
  <c r="P261" i="6"/>
  <c r="P260" i="6" s="1"/>
  <c r="Q261" i="6"/>
  <c r="Q260" i="6" s="1"/>
  <c r="R261" i="6"/>
  <c r="R260" i="6" s="1"/>
  <c r="S261" i="6"/>
  <c r="S260" i="6" s="1"/>
  <c r="T261" i="6"/>
  <c r="T260" i="6" s="1"/>
  <c r="W261" i="6"/>
  <c r="W260" i="6" s="1"/>
  <c r="X261" i="6"/>
  <c r="X260" i="6" s="1"/>
  <c r="Z261" i="6"/>
  <c r="Z260" i="6" s="1"/>
  <c r="AA261" i="6"/>
  <c r="AA260" i="6" s="1"/>
  <c r="D262" i="6"/>
  <c r="C262" i="6" s="1"/>
  <c r="E51" i="6"/>
  <c r="E50" i="6" s="1"/>
  <c r="F51" i="6"/>
  <c r="F50" i="6" s="1"/>
  <c r="G51" i="6"/>
  <c r="G50" i="6" s="1"/>
  <c r="H51" i="6"/>
  <c r="H50" i="6" s="1"/>
  <c r="I51" i="6"/>
  <c r="I50" i="6" s="1"/>
  <c r="J51" i="6"/>
  <c r="J50" i="6" s="1"/>
  <c r="K51" i="6"/>
  <c r="K50" i="6" s="1"/>
  <c r="L51" i="6"/>
  <c r="L50" i="6" s="1"/>
  <c r="M51" i="6"/>
  <c r="M50" i="6" s="1"/>
  <c r="N51" i="6"/>
  <c r="N50" i="6" s="1"/>
  <c r="O51" i="6"/>
  <c r="O50" i="6" s="1"/>
  <c r="P51" i="6"/>
  <c r="P50" i="6" s="1"/>
  <c r="Q51" i="6"/>
  <c r="Q50" i="6" s="1"/>
  <c r="R51" i="6"/>
  <c r="R50" i="6" s="1"/>
  <c r="S51" i="6"/>
  <c r="S50" i="6" s="1"/>
  <c r="T51" i="6"/>
  <c r="T50" i="6" s="1"/>
  <c r="W51" i="6"/>
  <c r="W50" i="6" s="1"/>
  <c r="X51" i="6"/>
  <c r="X50" i="6" s="1"/>
  <c r="Z51" i="6"/>
  <c r="Z50" i="6" s="1"/>
  <c r="AA51" i="6"/>
  <c r="AA50" i="6" s="1"/>
  <c r="D53" i="6"/>
  <c r="C53" i="6" s="1"/>
  <c r="D54" i="6"/>
  <c r="C54" i="6" s="1"/>
  <c r="D55" i="6"/>
  <c r="C55" i="6" s="1"/>
  <c r="D52" i="6"/>
  <c r="D158" i="7"/>
  <c r="D157" i="7" s="1"/>
  <c r="O792" i="5"/>
  <c r="O794" i="5"/>
  <c r="O795" i="5"/>
  <c r="J401" i="5"/>
  <c r="K401" i="5"/>
  <c r="L401" i="5"/>
  <c r="M401" i="5"/>
  <c r="N401" i="5"/>
  <c r="P401" i="5"/>
  <c r="Q401" i="5"/>
  <c r="H401" i="5"/>
  <c r="O403" i="5"/>
  <c r="O405" i="5"/>
  <c r="O274" i="5"/>
  <c r="I273" i="5"/>
  <c r="J273" i="5"/>
  <c r="K273" i="5"/>
  <c r="D71" i="7" s="1"/>
  <c r="D70" i="7" s="1"/>
  <c r="L273" i="5"/>
  <c r="F71" i="7" s="1"/>
  <c r="F70" i="7" s="1"/>
  <c r="M273" i="5"/>
  <c r="M272" i="5" s="1"/>
  <c r="N273" i="5"/>
  <c r="N272" i="5" s="1"/>
  <c r="P273" i="5"/>
  <c r="P272" i="5" s="1"/>
  <c r="Q273" i="5"/>
  <c r="Q272" i="5" s="1"/>
  <c r="I272" i="5"/>
  <c r="J272" i="5"/>
  <c r="K272" i="5"/>
  <c r="H273" i="5"/>
  <c r="H272" i="5" s="1"/>
  <c r="O60" i="5"/>
  <c r="O61" i="5"/>
  <c r="O62" i="5"/>
  <c r="O59" i="5"/>
  <c r="I58" i="5"/>
  <c r="I57" i="5" s="1"/>
  <c r="J58" i="5"/>
  <c r="J57" i="5" s="1"/>
  <c r="K58" i="5"/>
  <c r="K57" i="5" s="1"/>
  <c r="M58" i="5"/>
  <c r="M57" i="5" s="1"/>
  <c r="N58" i="5"/>
  <c r="N57" i="5" s="1"/>
  <c r="P58" i="5"/>
  <c r="P57" i="5" s="1"/>
  <c r="Q58" i="5"/>
  <c r="Q57" i="5" s="1"/>
  <c r="H58" i="5"/>
  <c r="H57" i="5" s="1"/>
  <c r="D731" i="6"/>
  <c r="C731" i="6" s="1"/>
  <c r="D732" i="6"/>
  <c r="C732" i="6" s="1"/>
  <c r="D733" i="6"/>
  <c r="C733" i="6" s="1"/>
  <c r="D734" i="6"/>
  <c r="C734" i="6" s="1"/>
  <c r="D735" i="6"/>
  <c r="C735" i="6" s="1"/>
  <c r="D736" i="6"/>
  <c r="C736" i="6" s="1"/>
  <c r="D737" i="6"/>
  <c r="C737" i="6" s="1"/>
  <c r="D730" i="6"/>
  <c r="D375" i="6"/>
  <c r="C375" i="6" s="1"/>
  <c r="D374" i="6"/>
  <c r="D251" i="6"/>
  <c r="D250" i="6" s="1"/>
  <c r="D40" i="6"/>
  <c r="D39" i="6" s="1"/>
  <c r="Z244" i="6"/>
  <c r="E244" i="6"/>
  <c r="F244" i="6"/>
  <c r="G244" i="6"/>
  <c r="H244" i="6"/>
  <c r="I244" i="6"/>
  <c r="J244" i="6"/>
  <c r="K244" i="6"/>
  <c r="L244" i="6"/>
  <c r="M244" i="6"/>
  <c r="N244" i="6"/>
  <c r="O244" i="6"/>
  <c r="P244" i="6"/>
  <c r="Q244" i="6"/>
  <c r="R244" i="6"/>
  <c r="S244" i="6"/>
  <c r="T244" i="6"/>
  <c r="W244" i="6"/>
  <c r="X244" i="6"/>
  <c r="AA244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W33" i="6"/>
  <c r="X33" i="6"/>
  <c r="Z33" i="6"/>
  <c r="AA33" i="6"/>
  <c r="D150" i="7"/>
  <c r="F150" i="7"/>
  <c r="C150" i="7"/>
  <c r="I388" i="5"/>
  <c r="J388" i="5"/>
  <c r="K388" i="5"/>
  <c r="M388" i="5"/>
  <c r="N388" i="5"/>
  <c r="P388" i="5"/>
  <c r="P351" i="5" s="1"/>
  <c r="Q388" i="5"/>
  <c r="H388" i="5"/>
  <c r="D64" i="7"/>
  <c r="F64" i="7"/>
  <c r="C64" i="7"/>
  <c r="C991" i="6" l="1"/>
  <c r="C989" i="6" s="1"/>
  <c r="C190" i="6"/>
  <c r="C189" i="6" s="1"/>
  <c r="D189" i="6"/>
  <c r="O402" i="5"/>
  <c r="O401" i="5" s="1"/>
  <c r="C298" i="6"/>
  <c r="C297" i="6" s="1"/>
  <c r="C100" i="7"/>
  <c r="D100" i="7"/>
  <c r="D729" i="6"/>
  <c r="C374" i="6"/>
  <c r="C373" i="6" s="1"/>
  <c r="D373" i="6"/>
  <c r="C251" i="6"/>
  <c r="C250" i="6" s="1"/>
  <c r="C40" i="6"/>
  <c r="C39" i="6" s="1"/>
  <c r="P382" i="6"/>
  <c r="E260" i="6"/>
  <c r="I401" i="5"/>
  <c r="C730" i="6"/>
  <c r="C729" i="6" s="1"/>
  <c r="C765" i="6"/>
  <c r="C764" i="6" s="1"/>
  <c r="C763" i="6" s="1"/>
  <c r="D764" i="6"/>
  <c r="D763" i="6" s="1"/>
  <c r="F158" i="7"/>
  <c r="F157" i="7" s="1"/>
  <c r="C158" i="7"/>
  <c r="C157" i="7" s="1"/>
  <c r="C244" i="6"/>
  <c r="D65" i="6"/>
  <c r="J382" i="6"/>
  <c r="H382" i="6"/>
  <c r="F382" i="6"/>
  <c r="T382" i="6"/>
  <c r="I382" i="6"/>
  <c r="G382" i="6"/>
  <c r="E382" i="6"/>
  <c r="C20" i="7"/>
  <c r="C19" i="7" s="1"/>
  <c r="C71" i="7"/>
  <c r="C70" i="7" s="1"/>
  <c r="F107" i="7"/>
  <c r="F106" i="7" s="1"/>
  <c r="D20" i="7"/>
  <c r="D19" i="7" s="1"/>
  <c r="D386" i="6"/>
  <c r="C386" i="6" s="1"/>
  <c r="D384" i="6"/>
  <c r="C384" i="6" s="1"/>
  <c r="D51" i="6"/>
  <c r="D50" i="6" s="1"/>
  <c r="C261" i="6"/>
  <c r="C260" i="6" s="1"/>
  <c r="D261" i="6"/>
  <c r="D260" i="6" s="1"/>
  <c r="C52" i="6"/>
  <c r="C51" i="6" s="1"/>
  <c r="C50" i="6" s="1"/>
  <c r="O273" i="5"/>
  <c r="O272" i="5" s="1"/>
  <c r="L272" i="5"/>
  <c r="L58" i="5"/>
  <c r="L57" i="5" s="1"/>
  <c r="O58" i="5"/>
  <c r="O57" i="5" s="1"/>
  <c r="D244" i="6"/>
  <c r="C33" i="6"/>
  <c r="D33" i="6"/>
  <c r="O388" i="5"/>
  <c r="L388" i="5"/>
  <c r="C383" i="6" l="1"/>
  <c r="C382" i="6" s="1"/>
  <c r="D383" i="6"/>
  <c r="D382" i="6" s="1"/>
  <c r="F100" i="7"/>
  <c r="F20" i="7"/>
  <c r="F19" i="7" s="1"/>
  <c r="I40" i="5" l="1"/>
  <c r="J40" i="5"/>
  <c r="K40" i="5"/>
  <c r="L40" i="5"/>
  <c r="M40" i="5"/>
  <c r="N40" i="5"/>
  <c r="O40" i="5"/>
  <c r="P40" i="5"/>
  <c r="Q40" i="5"/>
  <c r="H40" i="5"/>
  <c r="C13" i="7" s="1"/>
  <c r="D13" i="7" l="1"/>
  <c r="F13" i="7"/>
  <c r="E186" i="7"/>
  <c r="E145" i="7" s="1"/>
  <c r="E43" i="7"/>
  <c r="E912" i="6"/>
  <c r="F912" i="6"/>
  <c r="G912" i="6"/>
  <c r="H912" i="6"/>
  <c r="I912" i="6"/>
  <c r="J912" i="6"/>
  <c r="K912" i="6"/>
  <c r="L912" i="6"/>
  <c r="M912" i="6"/>
  <c r="N912" i="6"/>
  <c r="O912" i="6"/>
  <c r="P912" i="6"/>
  <c r="Q912" i="6"/>
  <c r="R912" i="6"/>
  <c r="S912" i="6"/>
  <c r="T912" i="6"/>
  <c r="W912" i="6"/>
  <c r="X912" i="6"/>
  <c r="Z912" i="6"/>
  <c r="AA912" i="6"/>
  <c r="D914" i="6"/>
  <c r="C914" i="6" s="1"/>
  <c r="D915" i="6"/>
  <c r="C915" i="6" s="1"/>
  <c r="D916" i="6"/>
  <c r="C916" i="6" s="1"/>
  <c r="D920" i="6"/>
  <c r="C920" i="6" s="1"/>
  <c r="D913" i="6"/>
  <c r="C913" i="6" s="1"/>
  <c r="D438" i="6"/>
  <c r="C438" i="6" s="1"/>
  <c r="C437" i="6" s="1"/>
  <c r="E127" i="6"/>
  <c r="E126" i="6" s="1"/>
  <c r="F127" i="6"/>
  <c r="F126" i="6" s="1"/>
  <c r="G127" i="6"/>
  <c r="G126" i="6" s="1"/>
  <c r="H127" i="6"/>
  <c r="H126" i="6" s="1"/>
  <c r="I127" i="6"/>
  <c r="I126" i="6" s="1"/>
  <c r="J127" i="6"/>
  <c r="J126" i="6" s="1"/>
  <c r="K127" i="6"/>
  <c r="K126" i="6" s="1"/>
  <c r="L127" i="6"/>
  <c r="L126" i="6" s="1"/>
  <c r="M127" i="6"/>
  <c r="M126" i="6" s="1"/>
  <c r="N127" i="6"/>
  <c r="N126" i="6" s="1"/>
  <c r="O127" i="6"/>
  <c r="O126" i="6" s="1"/>
  <c r="P127" i="6"/>
  <c r="Q127" i="6"/>
  <c r="Q126" i="6" s="1"/>
  <c r="R127" i="6"/>
  <c r="R126" i="6" s="1"/>
  <c r="S127" i="6"/>
  <c r="S126" i="6" s="1"/>
  <c r="T127" i="6"/>
  <c r="T126" i="6" s="1"/>
  <c r="W127" i="6"/>
  <c r="W126" i="6" s="1"/>
  <c r="X127" i="6"/>
  <c r="X126" i="6" s="1"/>
  <c r="Z127" i="6"/>
  <c r="Z126" i="6" s="1"/>
  <c r="AA127" i="6"/>
  <c r="AA126" i="6" s="1"/>
  <c r="D128" i="6"/>
  <c r="C128" i="6" s="1"/>
  <c r="C127" i="6" s="1"/>
  <c r="C126" i="6" s="1"/>
  <c r="D187" i="7"/>
  <c r="D186" i="7" s="1"/>
  <c r="F187" i="7"/>
  <c r="F186" i="7" s="1"/>
  <c r="C187" i="7"/>
  <c r="C186" i="7" s="1"/>
  <c r="D130" i="7"/>
  <c r="F130" i="7"/>
  <c r="C130" i="7"/>
  <c r="I134" i="5"/>
  <c r="J134" i="5"/>
  <c r="J133" i="5" s="1"/>
  <c r="K134" i="5"/>
  <c r="K133" i="5" s="1"/>
  <c r="L134" i="5"/>
  <c r="L133" i="5" s="1"/>
  <c r="M134" i="5"/>
  <c r="M133" i="5" s="1"/>
  <c r="N134" i="5"/>
  <c r="N133" i="5" s="1"/>
  <c r="O134" i="5"/>
  <c r="O133" i="5" s="1"/>
  <c r="P134" i="5"/>
  <c r="P133" i="5" s="1"/>
  <c r="Q134" i="5"/>
  <c r="Q133" i="5" s="1"/>
  <c r="H134" i="5"/>
  <c r="H133" i="5" s="1"/>
  <c r="D27" i="7"/>
  <c r="F27" i="7"/>
  <c r="C27" i="7"/>
  <c r="D879" i="6"/>
  <c r="E879" i="6"/>
  <c r="F879" i="6"/>
  <c r="G879" i="6"/>
  <c r="H879" i="6"/>
  <c r="I879" i="6"/>
  <c r="J879" i="6"/>
  <c r="K879" i="6"/>
  <c r="L879" i="6"/>
  <c r="M879" i="6"/>
  <c r="N879" i="6"/>
  <c r="O879" i="6"/>
  <c r="P879" i="6"/>
  <c r="Q879" i="6"/>
  <c r="R879" i="6"/>
  <c r="S879" i="6"/>
  <c r="T879" i="6"/>
  <c r="W879" i="6"/>
  <c r="X879" i="6"/>
  <c r="Z879" i="6"/>
  <c r="AA879" i="6"/>
  <c r="C881" i="6"/>
  <c r="D121" i="6"/>
  <c r="D178" i="7"/>
  <c r="F178" i="7"/>
  <c r="C178" i="7"/>
  <c r="D83" i="7"/>
  <c r="D81" i="7" s="1"/>
  <c r="F83" i="7"/>
  <c r="F81" i="7" s="1"/>
  <c r="C83" i="7"/>
  <c r="C81" i="7" s="1"/>
  <c r="D40" i="7"/>
  <c r="F40" i="7"/>
  <c r="C40" i="7"/>
  <c r="D642" i="6"/>
  <c r="C642" i="6" s="1"/>
  <c r="D643" i="6"/>
  <c r="D644" i="6"/>
  <c r="C644" i="6" s="1"/>
  <c r="D648" i="6"/>
  <c r="C648" i="6" s="1"/>
  <c r="D649" i="6"/>
  <c r="C649" i="6" s="1"/>
  <c r="D650" i="6"/>
  <c r="C650" i="6" s="1"/>
  <c r="D651" i="6"/>
  <c r="C651" i="6" s="1"/>
  <c r="D652" i="6"/>
  <c r="C652" i="6" s="1"/>
  <c r="D653" i="6"/>
  <c r="C653" i="6" s="1"/>
  <c r="D654" i="6"/>
  <c r="C654" i="6" s="1"/>
  <c r="D655" i="6"/>
  <c r="C655" i="6" s="1"/>
  <c r="D656" i="6"/>
  <c r="C656" i="6" s="1"/>
  <c r="D657" i="6"/>
  <c r="C657" i="6" s="1"/>
  <c r="D658" i="6"/>
  <c r="C658" i="6" s="1"/>
  <c r="D659" i="6"/>
  <c r="C659" i="6" s="1"/>
  <c r="D660" i="6"/>
  <c r="C660" i="6" s="1"/>
  <c r="D641" i="6"/>
  <c r="D355" i="6"/>
  <c r="D356" i="6"/>
  <c r="C356" i="6" s="1"/>
  <c r="D229" i="6"/>
  <c r="D230" i="6"/>
  <c r="C230" i="6" s="1"/>
  <c r="D231" i="6"/>
  <c r="C231" i="6" s="1"/>
  <c r="D232" i="6"/>
  <c r="C232" i="6" s="1"/>
  <c r="D26" i="6"/>
  <c r="D27" i="6"/>
  <c r="C27" i="6" s="1"/>
  <c r="D28" i="6"/>
  <c r="C28" i="6" s="1"/>
  <c r="D29" i="6"/>
  <c r="C29" i="6" s="1"/>
  <c r="D30" i="6"/>
  <c r="C30" i="6" s="1"/>
  <c r="D147" i="7"/>
  <c r="F147" i="7"/>
  <c r="C147" i="7"/>
  <c r="F97" i="7"/>
  <c r="D61" i="7"/>
  <c r="F61" i="7"/>
  <c r="C61" i="7"/>
  <c r="D11" i="7"/>
  <c r="C11" i="7"/>
  <c r="D640" i="6" l="1"/>
  <c r="D351" i="6"/>
  <c r="D224" i="6"/>
  <c r="C121" i="6"/>
  <c r="C120" i="6" s="1"/>
  <c r="D120" i="6"/>
  <c r="C355" i="6"/>
  <c r="C351" i="6" s="1"/>
  <c r="P28" i="5"/>
  <c r="C229" i="6"/>
  <c r="C224" i="6" s="1"/>
  <c r="D21" i="6"/>
  <c r="C26" i="6"/>
  <c r="C21" i="6" s="1"/>
  <c r="P126" i="6"/>
  <c r="I133" i="5"/>
  <c r="C641" i="6"/>
  <c r="C912" i="6"/>
  <c r="C879" i="6"/>
  <c r="D912" i="6"/>
  <c r="C44" i="7"/>
  <c r="C43" i="7" s="1"/>
  <c r="F44" i="7"/>
  <c r="F43" i="7" s="1"/>
  <c r="D44" i="7"/>
  <c r="D43" i="7" s="1"/>
  <c r="D127" i="6"/>
  <c r="D126" i="6" s="1"/>
  <c r="D866" i="6" l="1"/>
  <c r="C866" i="6" s="1"/>
  <c r="D867" i="6"/>
  <c r="C867" i="6" s="1"/>
  <c r="D868" i="6"/>
  <c r="C868" i="6" s="1"/>
  <c r="D869" i="6"/>
  <c r="C869" i="6" s="1"/>
  <c r="D870" i="6"/>
  <c r="C870" i="6" s="1"/>
  <c r="D871" i="6"/>
  <c r="C871" i="6" s="1"/>
  <c r="D872" i="6"/>
  <c r="C872" i="6" s="1"/>
  <c r="D873" i="6"/>
  <c r="C873" i="6" s="1"/>
  <c r="D874" i="6"/>
  <c r="C874" i="6" s="1"/>
  <c r="D875" i="6"/>
  <c r="D876" i="6"/>
  <c r="C876" i="6" s="1"/>
  <c r="D865" i="6"/>
  <c r="E864" i="6"/>
  <c r="E863" i="6" s="1"/>
  <c r="F864" i="6"/>
  <c r="F863" i="6" s="1"/>
  <c r="G864" i="6"/>
  <c r="G863" i="6" s="1"/>
  <c r="H864" i="6"/>
  <c r="H863" i="6" s="1"/>
  <c r="I864" i="6"/>
  <c r="I863" i="6" s="1"/>
  <c r="J864" i="6"/>
  <c r="J863" i="6" s="1"/>
  <c r="K864" i="6"/>
  <c r="K863" i="6" s="1"/>
  <c r="K477" i="6" s="1"/>
  <c r="L864" i="6"/>
  <c r="L863" i="6" s="1"/>
  <c r="L477" i="6" s="1"/>
  <c r="M864" i="6"/>
  <c r="M863" i="6" s="1"/>
  <c r="N864" i="6"/>
  <c r="N863" i="6" s="1"/>
  <c r="O864" i="6"/>
  <c r="O863" i="6" s="1"/>
  <c r="P864" i="6"/>
  <c r="P863" i="6" s="1"/>
  <c r="Q864" i="6"/>
  <c r="Q863" i="6" s="1"/>
  <c r="R864" i="6"/>
  <c r="R863" i="6" s="1"/>
  <c r="S864" i="6"/>
  <c r="S863" i="6" s="1"/>
  <c r="T864" i="6"/>
  <c r="T863" i="6" s="1"/>
  <c r="W864" i="6"/>
  <c r="W863" i="6" s="1"/>
  <c r="X864" i="6"/>
  <c r="X863" i="6" s="1"/>
  <c r="AA864" i="6"/>
  <c r="AA863" i="6" s="1"/>
  <c r="Z289" i="6"/>
  <c r="Z288" i="6" s="1"/>
  <c r="P289" i="6"/>
  <c r="P288" i="6" s="1"/>
  <c r="Z108" i="6"/>
  <c r="Z107" i="6" s="1"/>
  <c r="D289" i="6" l="1"/>
  <c r="D288" i="6" s="1"/>
  <c r="Z864" i="6"/>
  <c r="Z863" i="6" s="1"/>
  <c r="D864" i="6"/>
  <c r="D863" i="6" s="1"/>
  <c r="C875" i="6"/>
  <c r="C865" i="6"/>
  <c r="C289" i="6" l="1"/>
  <c r="C288" i="6" s="1"/>
  <c r="C864" i="6"/>
  <c r="C863" i="6" s="1"/>
  <c r="O890" i="5" l="1"/>
  <c r="O892" i="5"/>
  <c r="O893" i="5"/>
  <c r="O894" i="5"/>
  <c r="O895" i="5"/>
  <c r="O896" i="5"/>
  <c r="O898" i="5"/>
  <c r="O897" i="5"/>
  <c r="O901" i="5"/>
  <c r="O891" i="5"/>
  <c r="I889" i="5"/>
  <c r="I888" i="5" s="1"/>
  <c r="K889" i="5"/>
  <c r="K888" i="5" s="1"/>
  <c r="M889" i="5"/>
  <c r="M888" i="5" s="1"/>
  <c r="N889" i="5"/>
  <c r="N888" i="5" s="1"/>
  <c r="P889" i="5"/>
  <c r="Q889" i="5"/>
  <c r="Q888" i="5" s="1"/>
  <c r="H889" i="5"/>
  <c r="H888" i="5" s="1"/>
  <c r="E79" i="6"/>
  <c r="E64" i="6" s="1"/>
  <c r="F79" i="6"/>
  <c r="F64" i="6" s="1"/>
  <c r="G79" i="6"/>
  <c r="G64" i="6" s="1"/>
  <c r="H79" i="6"/>
  <c r="H64" i="6" s="1"/>
  <c r="I79" i="6"/>
  <c r="I64" i="6" s="1"/>
  <c r="J79" i="6"/>
  <c r="J64" i="6" s="1"/>
  <c r="K79" i="6"/>
  <c r="K64" i="6" s="1"/>
  <c r="L79" i="6"/>
  <c r="L64" i="6" s="1"/>
  <c r="M79" i="6"/>
  <c r="M64" i="6" s="1"/>
  <c r="N79" i="6"/>
  <c r="N64" i="6" s="1"/>
  <c r="O79" i="6"/>
  <c r="O64" i="6" s="1"/>
  <c r="P79" i="6"/>
  <c r="P64" i="6" s="1"/>
  <c r="Q79" i="6"/>
  <c r="Q64" i="6" s="1"/>
  <c r="R79" i="6"/>
  <c r="R64" i="6" s="1"/>
  <c r="S79" i="6"/>
  <c r="S64" i="6" s="1"/>
  <c r="T79" i="6"/>
  <c r="T64" i="6" s="1"/>
  <c r="W79" i="6"/>
  <c r="W64" i="6" s="1"/>
  <c r="X79" i="6"/>
  <c r="X64" i="6" s="1"/>
  <c r="Z79" i="6"/>
  <c r="Z64" i="6" s="1"/>
  <c r="AA79" i="6"/>
  <c r="AA64" i="6" s="1"/>
  <c r="D81" i="6"/>
  <c r="C81" i="6" s="1"/>
  <c r="D80" i="6"/>
  <c r="C80" i="6" s="1"/>
  <c r="I86" i="5"/>
  <c r="I71" i="5" s="1"/>
  <c r="J86" i="5"/>
  <c r="J71" i="5" s="1"/>
  <c r="K86" i="5"/>
  <c r="L86" i="5"/>
  <c r="M86" i="5"/>
  <c r="M71" i="5" s="1"/>
  <c r="N86" i="5"/>
  <c r="N71" i="5" s="1"/>
  <c r="O86" i="5"/>
  <c r="O71" i="5" s="1"/>
  <c r="P86" i="5"/>
  <c r="P71" i="5" s="1"/>
  <c r="Q86" i="5"/>
  <c r="Q71" i="5" s="1"/>
  <c r="H86" i="5"/>
  <c r="D31" i="7" l="1"/>
  <c r="K71" i="5"/>
  <c r="C31" i="7"/>
  <c r="H71" i="5"/>
  <c r="F31" i="7"/>
  <c r="L71" i="5"/>
  <c r="J889" i="5"/>
  <c r="J888" i="5" s="1"/>
  <c r="J438" i="5"/>
  <c r="J437" i="5" s="1"/>
  <c r="C123" i="7"/>
  <c r="C122" i="7" s="1"/>
  <c r="D176" i="7"/>
  <c r="D123" i="7"/>
  <c r="D122" i="7" s="1"/>
  <c r="C176" i="7"/>
  <c r="O889" i="5"/>
  <c r="O888" i="5" s="1"/>
  <c r="L889" i="5"/>
  <c r="L888" i="5" s="1"/>
  <c r="C79" i="6"/>
  <c r="D79" i="6"/>
  <c r="F123" i="7" l="1"/>
  <c r="F122" i="7" s="1"/>
  <c r="F176" i="7"/>
  <c r="D368" i="6"/>
  <c r="D243" i="6"/>
  <c r="C243" i="6" s="1"/>
  <c r="D242" i="6"/>
  <c r="D32" i="6"/>
  <c r="C32" i="6" s="1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W31" i="6"/>
  <c r="X31" i="6"/>
  <c r="Z31" i="6"/>
  <c r="AA31" i="6"/>
  <c r="O735" i="5"/>
  <c r="O732" i="5"/>
  <c r="O731" i="5"/>
  <c r="O730" i="5"/>
  <c r="O729" i="5"/>
  <c r="O386" i="5"/>
  <c r="O385" i="5"/>
  <c r="I38" i="5"/>
  <c r="J38" i="5"/>
  <c r="K38" i="5"/>
  <c r="L38" i="5"/>
  <c r="P38" i="5"/>
  <c r="Q38" i="5"/>
  <c r="H38" i="5"/>
  <c r="C12" i="7" l="1"/>
  <c r="D12" i="7"/>
  <c r="F12" i="7"/>
  <c r="C368" i="6"/>
  <c r="C364" i="6" s="1"/>
  <c r="D364" i="6"/>
  <c r="C242" i="6"/>
  <c r="D241" i="6"/>
  <c r="I726" i="5"/>
  <c r="C99" i="7"/>
  <c r="D99" i="7"/>
  <c r="F99" i="7"/>
  <c r="C701" i="6"/>
  <c r="J726" i="5"/>
  <c r="D149" i="7"/>
  <c r="C149" i="7"/>
  <c r="D31" i="6"/>
  <c r="C31" i="6"/>
  <c r="O733" i="5"/>
  <c r="O387" i="5"/>
  <c r="O384" i="5"/>
  <c r="O253" i="5"/>
  <c r="O383" i="5" l="1"/>
  <c r="C241" i="6"/>
  <c r="O38" i="5"/>
  <c r="D450" i="6" l="1"/>
  <c r="C450" i="6" s="1"/>
  <c r="D451" i="6"/>
  <c r="D452" i="6"/>
  <c r="C452" i="6" s="1"/>
  <c r="D449" i="6"/>
  <c r="C449" i="6" s="1"/>
  <c r="E312" i="6"/>
  <c r="F312" i="6"/>
  <c r="G312" i="6"/>
  <c r="H312" i="6"/>
  <c r="I312" i="6"/>
  <c r="J312" i="6"/>
  <c r="K312" i="6"/>
  <c r="L312" i="6"/>
  <c r="M312" i="6"/>
  <c r="N312" i="6"/>
  <c r="O312" i="6"/>
  <c r="P312" i="6"/>
  <c r="Q312" i="6"/>
  <c r="R312" i="6"/>
  <c r="S312" i="6"/>
  <c r="T312" i="6"/>
  <c r="W312" i="6"/>
  <c r="X312" i="6"/>
  <c r="Z312" i="6"/>
  <c r="AA312" i="6"/>
  <c r="D314" i="6"/>
  <c r="C314" i="6" s="1"/>
  <c r="D315" i="6"/>
  <c r="C315" i="6" s="1"/>
  <c r="D316" i="6"/>
  <c r="C316" i="6" s="1"/>
  <c r="D313" i="6"/>
  <c r="D160" i="6"/>
  <c r="C160" i="6" s="1"/>
  <c r="D161" i="6"/>
  <c r="C161" i="6" s="1"/>
  <c r="D162" i="6"/>
  <c r="C162" i="6" s="1"/>
  <c r="D163" i="6"/>
  <c r="C163" i="6" s="1"/>
  <c r="D164" i="6"/>
  <c r="C164" i="6" s="1"/>
  <c r="D159" i="6"/>
  <c r="F134" i="7"/>
  <c r="I321" i="5"/>
  <c r="J321" i="5"/>
  <c r="K321" i="5"/>
  <c r="D89" i="7" s="1"/>
  <c r="L321" i="5"/>
  <c r="F89" i="7" s="1"/>
  <c r="M321" i="5"/>
  <c r="N321" i="5"/>
  <c r="O321" i="5"/>
  <c r="P321" i="5"/>
  <c r="Q321" i="5"/>
  <c r="H321" i="5"/>
  <c r="C89" i="7" s="1"/>
  <c r="D48" i="7"/>
  <c r="F48" i="7"/>
  <c r="C48" i="7"/>
  <c r="C451" i="6" l="1"/>
  <c r="C448" i="6" s="1"/>
  <c r="D448" i="6"/>
  <c r="C159" i="6"/>
  <c r="C158" i="6" s="1"/>
  <c r="D158" i="6"/>
  <c r="D312" i="6"/>
  <c r="C313" i="6"/>
  <c r="C312" i="6" s="1"/>
  <c r="D324" i="6" l="1"/>
  <c r="C324" i="6" s="1"/>
  <c r="D205" i="7"/>
  <c r="F205" i="7"/>
  <c r="C205" i="7"/>
  <c r="K273" i="6"/>
  <c r="L273" i="6"/>
  <c r="M273" i="6"/>
  <c r="N273" i="6"/>
  <c r="O273" i="6"/>
  <c r="P273" i="6"/>
  <c r="Q273" i="6"/>
  <c r="R273" i="6"/>
  <c r="S273" i="6"/>
  <c r="T273" i="6"/>
  <c r="W273" i="6"/>
  <c r="X273" i="6"/>
  <c r="Z273" i="6"/>
  <c r="AA273" i="6"/>
  <c r="D274" i="6"/>
  <c r="D276" i="6"/>
  <c r="C276" i="6" s="1"/>
  <c r="D275" i="6"/>
  <c r="C275" i="6" s="1"/>
  <c r="K83" i="6"/>
  <c r="L83" i="6"/>
  <c r="M83" i="6"/>
  <c r="O83" i="6"/>
  <c r="P83" i="6"/>
  <c r="Q83" i="6"/>
  <c r="R83" i="6"/>
  <c r="S83" i="6"/>
  <c r="T83" i="6"/>
  <c r="W83" i="6"/>
  <c r="X83" i="6"/>
  <c r="Z83" i="6"/>
  <c r="AA83" i="6"/>
  <c r="I424" i="5"/>
  <c r="J424" i="5"/>
  <c r="K424" i="5"/>
  <c r="D119" i="7" s="1"/>
  <c r="L424" i="5"/>
  <c r="F119" i="7" s="1"/>
  <c r="M424" i="5"/>
  <c r="N424" i="5"/>
  <c r="O424" i="5"/>
  <c r="P424" i="5"/>
  <c r="Q424" i="5"/>
  <c r="H424" i="5"/>
  <c r="C119" i="7" s="1"/>
  <c r="I285" i="5"/>
  <c r="J285" i="5"/>
  <c r="K285" i="5"/>
  <c r="L285" i="5"/>
  <c r="M285" i="5"/>
  <c r="N285" i="5"/>
  <c r="O285" i="5"/>
  <c r="P285" i="5"/>
  <c r="Q285" i="5"/>
  <c r="H285" i="5"/>
  <c r="D945" i="6"/>
  <c r="C945" i="6" s="1"/>
  <c r="D942" i="6"/>
  <c r="C942" i="6" s="1"/>
  <c r="D943" i="6"/>
  <c r="C943" i="6" s="1"/>
  <c r="D944" i="6"/>
  <c r="C944" i="6" s="1"/>
  <c r="D941" i="6"/>
  <c r="C1024" i="6"/>
  <c r="C1026" i="6"/>
  <c r="Q1047" i="5"/>
  <c r="Q1046" i="5" s="1"/>
  <c r="D1000" i="6"/>
  <c r="C1000" i="6" s="1"/>
  <c r="D1001" i="6"/>
  <c r="C1001" i="6" s="1"/>
  <c r="D999" i="6"/>
  <c r="D464" i="6"/>
  <c r="D463" i="6" s="1"/>
  <c r="D322" i="6"/>
  <c r="D323" i="6"/>
  <c r="C323" i="6" s="1"/>
  <c r="O314" i="5"/>
  <c r="O311" i="5" s="1"/>
  <c r="D830" i="6"/>
  <c r="C830" i="6" s="1"/>
  <c r="D831" i="6"/>
  <c r="C831" i="6" s="1"/>
  <c r="D834" i="6"/>
  <c r="C834" i="6" s="1"/>
  <c r="D835" i="6"/>
  <c r="C835" i="6" s="1"/>
  <c r="D836" i="6"/>
  <c r="C836" i="6" s="1"/>
  <c r="D837" i="6"/>
  <c r="C837" i="6" s="1"/>
  <c r="D838" i="6"/>
  <c r="C838" i="6" s="1"/>
  <c r="D829" i="6"/>
  <c r="D410" i="6"/>
  <c r="D411" i="6"/>
  <c r="C411" i="6" s="1"/>
  <c r="D412" i="6"/>
  <c r="C412" i="6" s="1"/>
  <c r="D409" i="6"/>
  <c r="C409" i="6" s="1"/>
  <c r="D279" i="6"/>
  <c r="C279" i="6" s="1"/>
  <c r="D280" i="6"/>
  <c r="C280" i="6" s="1"/>
  <c r="D281" i="6"/>
  <c r="D282" i="6"/>
  <c r="C282" i="6" s="1"/>
  <c r="D283" i="6"/>
  <c r="C283" i="6" s="1"/>
  <c r="E90" i="6"/>
  <c r="F90" i="6"/>
  <c r="G90" i="6"/>
  <c r="H90" i="6"/>
  <c r="I90" i="6"/>
  <c r="J90" i="6"/>
  <c r="K90" i="6"/>
  <c r="K9" i="6" s="1"/>
  <c r="L90" i="6"/>
  <c r="L9" i="6" s="1"/>
  <c r="M90" i="6"/>
  <c r="N90" i="6"/>
  <c r="O90" i="6"/>
  <c r="P90" i="6"/>
  <c r="Q90" i="6"/>
  <c r="R90" i="6"/>
  <c r="S90" i="6"/>
  <c r="T90" i="6"/>
  <c r="W90" i="6"/>
  <c r="X90" i="6"/>
  <c r="Z90" i="6"/>
  <c r="AA90" i="6"/>
  <c r="D91" i="6"/>
  <c r="C91" i="6" s="1"/>
  <c r="D92" i="6"/>
  <c r="C92" i="6" s="1"/>
  <c r="D93" i="6"/>
  <c r="C93" i="6" s="1"/>
  <c r="D94" i="6"/>
  <c r="C94" i="6" s="1"/>
  <c r="D95" i="6"/>
  <c r="C95" i="6" s="1"/>
  <c r="D96" i="6"/>
  <c r="C96" i="6" s="1"/>
  <c r="D97" i="6"/>
  <c r="C97" i="6" s="1"/>
  <c r="F173" i="7"/>
  <c r="I97" i="5"/>
  <c r="J97" i="5"/>
  <c r="K97" i="5"/>
  <c r="D34" i="7" s="1"/>
  <c r="L97" i="5"/>
  <c r="F34" i="7" s="1"/>
  <c r="M97" i="5"/>
  <c r="N97" i="5"/>
  <c r="O97" i="5"/>
  <c r="P97" i="5"/>
  <c r="Q97" i="5"/>
  <c r="H97" i="5"/>
  <c r="C34" i="7" s="1"/>
  <c r="D992" i="6" l="1"/>
  <c r="C1023" i="6"/>
  <c r="C1022" i="6" s="1"/>
  <c r="D828" i="6"/>
  <c r="C410" i="6"/>
  <c r="C408" i="6" s="1"/>
  <c r="D408" i="6"/>
  <c r="C281" i="6"/>
  <c r="D278" i="6"/>
  <c r="C278" i="6"/>
  <c r="D321" i="6"/>
  <c r="C322" i="6"/>
  <c r="C321" i="6" s="1"/>
  <c r="C999" i="6"/>
  <c r="C992" i="6" s="1"/>
  <c r="C941" i="6"/>
  <c r="C921" i="6" s="1"/>
  <c r="D921" i="6"/>
  <c r="C464" i="6"/>
  <c r="C463" i="6" s="1"/>
  <c r="C829" i="6"/>
  <c r="C828" i="6" s="1"/>
  <c r="C142" i="7"/>
  <c r="C141" i="7" s="1"/>
  <c r="F142" i="7"/>
  <c r="F141" i="7" s="1"/>
  <c r="D142" i="7"/>
  <c r="D141" i="7" s="1"/>
  <c r="D172" i="7"/>
  <c r="D171" i="7" s="1"/>
  <c r="C172" i="7"/>
  <c r="C171" i="7" s="1"/>
  <c r="F172" i="7"/>
  <c r="F171" i="7" s="1"/>
  <c r="C206" i="7"/>
  <c r="C204" i="7" s="1"/>
  <c r="F206" i="7"/>
  <c r="F204" i="7" s="1"/>
  <c r="D206" i="7"/>
  <c r="D204" i="7" s="1"/>
  <c r="C274" i="6"/>
  <c r="C90" i="6"/>
  <c r="D90" i="6"/>
  <c r="D68" i="6" l="1"/>
  <c r="D70" i="6"/>
  <c r="C70" i="6" s="1"/>
  <c r="D26" i="7"/>
  <c r="D24" i="7" s="1"/>
  <c r="F26" i="7"/>
  <c r="C26" i="7"/>
  <c r="D125" i="6"/>
  <c r="D124" i="6" s="1"/>
  <c r="C68" i="6" l="1"/>
  <c r="C67" i="6" s="1"/>
  <c r="D67" i="6"/>
  <c r="C125" i="6"/>
  <c r="C124" i="6" s="1"/>
  <c r="D102" i="6" l="1"/>
  <c r="C102" i="6" s="1"/>
  <c r="D103" i="6"/>
  <c r="C103" i="6" s="1"/>
  <c r="D104" i="6"/>
  <c r="C104" i="6" s="1"/>
  <c r="D105" i="6"/>
  <c r="C105" i="6" s="1"/>
  <c r="D101" i="6"/>
  <c r="D100" i="6" l="1"/>
  <c r="C101" i="6"/>
  <c r="C100" i="6" s="1"/>
  <c r="D59" i="6"/>
  <c r="C59" i="6" s="1"/>
  <c r="D57" i="6"/>
  <c r="F21" i="7"/>
  <c r="D320" i="6"/>
  <c r="D192" i="6"/>
  <c r="D191" i="6" s="1"/>
  <c r="D56" i="6" l="1"/>
  <c r="C320" i="6"/>
  <c r="C319" i="6" s="1"/>
  <c r="D319" i="6"/>
  <c r="C192" i="6"/>
  <c r="C191" i="6" s="1"/>
  <c r="F108" i="7"/>
  <c r="C788" i="6"/>
  <c r="D788" i="6"/>
  <c r="C57" i="6"/>
  <c r="C56" i="6" s="1"/>
  <c r="D303" i="6"/>
  <c r="D390" i="6"/>
  <c r="D264" i="6"/>
  <c r="D797" i="6"/>
  <c r="C797" i="6" s="1"/>
  <c r="D798" i="6"/>
  <c r="C798" i="6" s="1"/>
  <c r="D799" i="6"/>
  <c r="C799" i="6" s="1"/>
  <c r="D801" i="6"/>
  <c r="C801" i="6" s="1"/>
  <c r="D802" i="6"/>
  <c r="C802" i="6" s="1"/>
  <c r="D266" i="6"/>
  <c r="D392" i="6"/>
  <c r="D391" i="6" s="1"/>
  <c r="D61" i="6"/>
  <c r="D60" i="6" s="1"/>
  <c r="O824" i="5"/>
  <c r="C266" i="6" l="1"/>
  <c r="C265" i="6" s="1"/>
  <c r="D265" i="6"/>
  <c r="C390" i="6"/>
  <c r="C389" i="6" s="1"/>
  <c r="D389" i="6"/>
  <c r="C264" i="6"/>
  <c r="C263" i="6" s="1"/>
  <c r="D263" i="6"/>
  <c r="C303" i="6"/>
  <c r="C392" i="6"/>
  <c r="C391" i="6" s="1"/>
  <c r="C796" i="6"/>
  <c r="D796" i="6"/>
  <c r="C61" i="6"/>
  <c r="C60" i="6" s="1"/>
  <c r="O821" i="5"/>
  <c r="E67" i="7"/>
  <c r="E16" i="7"/>
  <c r="D741" i="6"/>
  <c r="C741" i="6" s="1"/>
  <c r="D740" i="6"/>
  <c r="D255" i="6"/>
  <c r="C255" i="6" s="1"/>
  <c r="D256" i="6"/>
  <c r="D254" i="6"/>
  <c r="C256" i="6"/>
  <c r="F252" i="6"/>
  <c r="G252" i="6"/>
  <c r="H252" i="6"/>
  <c r="I252" i="6"/>
  <c r="J252" i="6"/>
  <c r="K252" i="6"/>
  <c r="K201" i="6" s="1"/>
  <c r="L252" i="6"/>
  <c r="L201" i="6" s="1"/>
  <c r="M252" i="6"/>
  <c r="N252" i="6"/>
  <c r="O252" i="6"/>
  <c r="Q252" i="6"/>
  <c r="R252" i="6"/>
  <c r="S252" i="6"/>
  <c r="W252" i="6"/>
  <c r="X252" i="6"/>
  <c r="Z252" i="6"/>
  <c r="AA252" i="6"/>
  <c r="C43" i="6"/>
  <c r="D44" i="6"/>
  <c r="C44" i="6" s="1"/>
  <c r="C45" i="6"/>
  <c r="D46" i="6"/>
  <c r="C46" i="6" s="1"/>
  <c r="D154" i="7"/>
  <c r="D153" i="7" s="1"/>
  <c r="F154" i="7"/>
  <c r="F153" i="7" s="1"/>
  <c r="C154" i="7"/>
  <c r="C153" i="7" s="1"/>
  <c r="D104" i="7"/>
  <c r="D103" i="7" s="1"/>
  <c r="F104" i="7"/>
  <c r="F103" i="7" s="1"/>
  <c r="C104" i="7"/>
  <c r="C103" i="7" s="1"/>
  <c r="J264" i="5"/>
  <c r="K264" i="5"/>
  <c r="L264" i="5"/>
  <c r="M264" i="5"/>
  <c r="M253" i="5" s="1"/>
  <c r="N264" i="5"/>
  <c r="N253" i="5" s="1"/>
  <c r="O264" i="5"/>
  <c r="P264" i="5"/>
  <c r="Q264" i="5"/>
  <c r="H264" i="5"/>
  <c r="I48" i="5"/>
  <c r="K48" i="5"/>
  <c r="L48" i="5"/>
  <c r="M48" i="5"/>
  <c r="M38" i="5" s="1"/>
  <c r="N48" i="5"/>
  <c r="N38" i="5" s="1"/>
  <c r="O48" i="5"/>
  <c r="P48" i="5"/>
  <c r="Q48" i="5"/>
  <c r="H48" i="5"/>
  <c r="C982" i="6"/>
  <c r="C983" i="6"/>
  <c r="C984" i="6"/>
  <c r="C985" i="6"/>
  <c r="C981" i="6"/>
  <c r="C459" i="6"/>
  <c r="C458" i="6" s="1"/>
  <c r="C318" i="6"/>
  <c r="C317" i="6" s="1"/>
  <c r="D185" i="6"/>
  <c r="C185" i="6" s="1"/>
  <c r="D184" i="6"/>
  <c r="J764" i="5" l="1"/>
  <c r="J763" i="5" s="1"/>
  <c r="D253" i="6"/>
  <c r="D252" i="6" s="1"/>
  <c r="C740" i="6"/>
  <c r="C739" i="6" s="1"/>
  <c r="C738" i="6" s="1"/>
  <c r="D739" i="6"/>
  <c r="D738" i="6" s="1"/>
  <c r="C42" i="6"/>
  <c r="D42" i="6"/>
  <c r="J49" i="5"/>
  <c r="J48" i="5" s="1"/>
  <c r="C254" i="6"/>
  <c r="D980" i="6"/>
  <c r="C980" i="6"/>
  <c r="C184" i="6"/>
  <c r="C183" i="6" s="1"/>
  <c r="D183" i="6"/>
  <c r="E252" i="6"/>
  <c r="T252" i="6"/>
  <c r="P252" i="6"/>
  <c r="I264" i="5"/>
  <c r="F17" i="7"/>
  <c r="C17" i="7"/>
  <c r="C16" i="7" s="1"/>
  <c r="C68" i="7"/>
  <c r="C67" i="7" s="1"/>
  <c r="F68" i="7"/>
  <c r="F67" i="7" s="1"/>
  <c r="D17" i="7"/>
  <c r="D16" i="7" s="1"/>
  <c r="D68" i="7"/>
  <c r="D67" i="7" s="1"/>
  <c r="F16" i="7" l="1"/>
  <c r="C253" i="6"/>
  <c r="C252" i="6" s="1"/>
  <c r="D74" i="6" l="1"/>
  <c r="C74" i="6" l="1"/>
  <c r="C73" i="6" s="1"/>
  <c r="C64" i="6" s="1"/>
  <c r="D73" i="6"/>
  <c r="D64" i="6" s="1"/>
  <c r="C28" i="7"/>
  <c r="C24" i="7" s="1"/>
  <c r="F28" i="7"/>
  <c r="F24" i="7" s="1"/>
  <c r="Q824" i="6"/>
  <c r="Q911" i="6"/>
  <c r="Q396" i="6"/>
  <c r="Q393" i="6" s="1"/>
  <c r="Q404" i="6"/>
  <c r="Q437" i="6"/>
  <c r="Q436" i="6" s="1"/>
  <c r="Q268" i="6"/>
  <c r="Q267" i="6" s="1"/>
  <c r="Q272" i="6"/>
  <c r="Q41" i="6"/>
  <c r="Q82" i="6"/>
  <c r="Q193" i="6"/>
  <c r="Q477" i="6" l="1"/>
  <c r="Q9" i="6"/>
  <c r="Q332" i="6"/>
  <c r="Q201" i="6"/>
  <c r="D911" i="6" l="1"/>
  <c r="E911" i="6"/>
  <c r="F911" i="6"/>
  <c r="G911" i="6"/>
  <c r="H911" i="6"/>
  <c r="I911" i="6"/>
  <c r="J911" i="6"/>
  <c r="M911" i="6"/>
  <c r="N911" i="6"/>
  <c r="O911" i="6"/>
  <c r="P911" i="6"/>
  <c r="R911" i="6"/>
  <c r="S911" i="6"/>
  <c r="T911" i="6"/>
  <c r="W911" i="6"/>
  <c r="X911" i="6"/>
  <c r="Z911" i="6"/>
  <c r="AA911" i="6"/>
  <c r="C911" i="6"/>
  <c r="D824" i="6"/>
  <c r="D477" i="6" s="1"/>
  <c r="F824" i="6"/>
  <c r="F477" i="6" s="1"/>
  <c r="G824" i="6"/>
  <c r="H824" i="6"/>
  <c r="H477" i="6" s="1"/>
  <c r="I824" i="6"/>
  <c r="I477" i="6" s="1"/>
  <c r="J824" i="6"/>
  <c r="J477" i="6" s="1"/>
  <c r="M824" i="6"/>
  <c r="N824" i="6"/>
  <c r="N477" i="6" s="1"/>
  <c r="O824" i="6"/>
  <c r="O477" i="6" s="1"/>
  <c r="R824" i="6"/>
  <c r="S824" i="6"/>
  <c r="S477" i="6" s="1"/>
  <c r="T824" i="6"/>
  <c r="T477" i="6" s="1"/>
  <c r="W824" i="6"/>
  <c r="W477" i="6" s="1"/>
  <c r="X824" i="6"/>
  <c r="Z824" i="6"/>
  <c r="Z477" i="6" s="1"/>
  <c r="AA824" i="6"/>
  <c r="AA477" i="6" s="1"/>
  <c r="C824" i="6"/>
  <c r="M477" i="6" l="1"/>
  <c r="G477" i="6"/>
  <c r="X477" i="6"/>
  <c r="R477" i="6"/>
  <c r="E824" i="6"/>
  <c r="E477" i="6" s="1"/>
  <c r="P824" i="6"/>
  <c r="P477" i="6" s="1"/>
  <c r="P1050" i="5" l="1"/>
  <c r="O1050" i="5"/>
  <c r="O1020" i="5"/>
  <c r="O1019" i="5"/>
  <c r="P1018" i="5"/>
  <c r="P1017" i="5" s="1"/>
  <c r="O1018" i="5"/>
  <c r="P1013" i="5"/>
  <c r="P1011" i="5" s="1"/>
  <c r="O1008" i="5"/>
  <c r="P1007" i="5"/>
  <c r="P1006" i="5"/>
  <c r="P984" i="5"/>
  <c r="O984" i="5"/>
  <c r="P983" i="5"/>
  <c r="O983" i="5"/>
  <c r="F191" i="7"/>
  <c r="D191" i="7"/>
  <c r="C191" i="7"/>
  <c r="L946" i="5"/>
  <c r="F188" i="7" s="1"/>
  <c r="P941" i="5"/>
  <c r="O941" i="5"/>
  <c r="P940" i="5"/>
  <c r="P937" i="5" s="1"/>
  <c r="Q936" i="5"/>
  <c r="P936" i="5" s="1"/>
  <c r="N936" i="5"/>
  <c r="M936" i="5"/>
  <c r="L936" i="5"/>
  <c r="K936" i="5"/>
  <c r="J936" i="5"/>
  <c r="I936" i="5"/>
  <c r="H936" i="5"/>
  <c r="P931" i="5"/>
  <c r="P930" i="5"/>
  <c r="P905" i="5"/>
  <c r="O834" i="5"/>
  <c r="O833" i="5" s="1"/>
  <c r="O832" i="5" s="1"/>
  <c r="Q833" i="5"/>
  <c r="P833" i="5"/>
  <c r="P832" i="5" s="1"/>
  <c r="N833" i="5"/>
  <c r="M833" i="5"/>
  <c r="L833" i="5"/>
  <c r="L832" i="5" s="1"/>
  <c r="K833" i="5"/>
  <c r="J833" i="5"/>
  <c r="I833" i="5"/>
  <c r="H833" i="5"/>
  <c r="H832" i="5" s="1"/>
  <c r="H502" i="5" s="1"/>
  <c r="O790" i="5"/>
  <c r="P785" i="5"/>
  <c r="P777" i="5" s="1"/>
  <c r="O755" i="5"/>
  <c r="O756" i="5"/>
  <c r="O758" i="5"/>
  <c r="P757" i="5"/>
  <c r="P754" i="5" s="1"/>
  <c r="O728" i="5"/>
  <c r="O727" i="5"/>
  <c r="P734" i="5"/>
  <c r="P726" i="5" s="1"/>
  <c r="L726" i="5"/>
  <c r="P929" i="5" l="1"/>
  <c r="I832" i="5"/>
  <c r="I502" i="5" s="1"/>
  <c r="K832" i="5"/>
  <c r="K502" i="5" s="1"/>
  <c r="M832" i="5"/>
  <c r="M502" i="5" s="1"/>
  <c r="J832" i="5"/>
  <c r="J502" i="5" s="1"/>
  <c r="N832" i="5"/>
  <c r="N502" i="5" s="1"/>
  <c r="Q832" i="5"/>
  <c r="Q502" i="5" s="1"/>
  <c r="O1017" i="5"/>
  <c r="O937" i="5"/>
  <c r="O936" i="5" s="1"/>
  <c r="O754" i="5"/>
  <c r="P904" i="5"/>
  <c r="P888" i="5" s="1"/>
  <c r="P1047" i="5"/>
  <c r="P1046" i="5" s="1"/>
  <c r="O1047" i="5"/>
  <c r="O1046" i="5" s="1"/>
  <c r="O726" i="5"/>
  <c r="P813" i="5"/>
  <c r="O1005" i="5"/>
  <c r="P1005" i="5"/>
  <c r="L1005" i="5"/>
  <c r="F195" i="7" s="1"/>
  <c r="O982" i="5"/>
  <c r="P982" i="5"/>
  <c r="F149" i="7"/>
  <c r="F190" i="7"/>
  <c r="C165" i="7"/>
  <c r="C164" i="7" s="1"/>
  <c r="F165" i="7"/>
  <c r="F164" i="7" s="1"/>
  <c r="D165" i="7"/>
  <c r="D164" i="7" s="1"/>
  <c r="D179" i="7"/>
  <c r="D175" i="7" s="1"/>
  <c r="C179" i="7"/>
  <c r="C175" i="7" s="1"/>
  <c r="F179" i="7"/>
  <c r="F175" i="7" s="1"/>
  <c r="E77" i="7"/>
  <c r="E59" i="7" s="1"/>
  <c r="E55" i="7"/>
  <c r="P284" i="5"/>
  <c r="I280" i="5"/>
  <c r="I279" i="5" s="1"/>
  <c r="J280" i="5"/>
  <c r="J279" i="5" s="1"/>
  <c r="K280" i="5"/>
  <c r="K279" i="5" s="1"/>
  <c r="L280" i="5"/>
  <c r="L279" i="5" s="1"/>
  <c r="M280" i="5"/>
  <c r="M279" i="5" s="1"/>
  <c r="N280" i="5"/>
  <c r="N279" i="5" s="1"/>
  <c r="P280" i="5"/>
  <c r="P279" i="5" s="1"/>
  <c r="Q280" i="5"/>
  <c r="Q279" i="5" s="1"/>
  <c r="H280" i="5"/>
  <c r="H279" i="5" s="1"/>
  <c r="P502" i="5" l="1"/>
  <c r="L502" i="5"/>
  <c r="D145" i="7"/>
  <c r="C145" i="7"/>
  <c r="F145" i="7"/>
  <c r="H500" i="5"/>
  <c r="K500" i="5"/>
  <c r="J500" i="5"/>
  <c r="N500" i="5"/>
  <c r="M500" i="5"/>
  <c r="F75" i="7"/>
  <c r="F74" i="7" s="1"/>
  <c r="C75" i="7"/>
  <c r="C74" i="7" s="1"/>
  <c r="D75" i="7"/>
  <c r="D74" i="7" s="1"/>
  <c r="Z41" i="6"/>
  <c r="X41" i="6"/>
  <c r="W41" i="6"/>
  <c r="T41" i="6"/>
  <c r="S41" i="6"/>
  <c r="R41" i="6"/>
  <c r="P41" i="6"/>
  <c r="O41" i="6"/>
  <c r="N41" i="6"/>
  <c r="M41" i="6"/>
  <c r="J41" i="6"/>
  <c r="I41" i="6"/>
  <c r="H41" i="6"/>
  <c r="G41" i="6"/>
  <c r="F41" i="6"/>
  <c r="E41" i="6"/>
  <c r="I500" i="5" l="1"/>
  <c r="C41" i="6"/>
  <c r="D41" i="6" l="1"/>
  <c r="I178" i="5" l="1"/>
  <c r="J178" i="5"/>
  <c r="M178" i="5"/>
  <c r="N178" i="5"/>
  <c r="N16" i="5" s="1"/>
  <c r="O178" i="5"/>
  <c r="Q178" i="5"/>
  <c r="Q16" i="5" s="1"/>
  <c r="M272" i="6"/>
  <c r="N272" i="6"/>
  <c r="O272" i="6"/>
  <c r="R272" i="6"/>
  <c r="S272" i="6"/>
  <c r="T272" i="6"/>
  <c r="W272" i="6"/>
  <c r="X272" i="6"/>
  <c r="Z272" i="6"/>
  <c r="AA272" i="6"/>
  <c r="M268" i="6"/>
  <c r="M267" i="6" s="1"/>
  <c r="M201" i="6" s="1"/>
  <c r="N268" i="6"/>
  <c r="N267" i="6" s="1"/>
  <c r="N201" i="6" s="1"/>
  <c r="O268" i="6"/>
  <c r="O267" i="6" s="1"/>
  <c r="O201" i="6" s="1"/>
  <c r="R268" i="6"/>
  <c r="R267" i="6" s="1"/>
  <c r="R201" i="6" s="1"/>
  <c r="S268" i="6"/>
  <c r="S267" i="6" s="1"/>
  <c r="S201" i="6" s="1"/>
  <c r="T268" i="6"/>
  <c r="T267" i="6" s="1"/>
  <c r="T201" i="6" s="1"/>
  <c r="W268" i="6"/>
  <c r="W267" i="6" s="1"/>
  <c r="W201" i="6" s="1"/>
  <c r="X268" i="6"/>
  <c r="X267" i="6" s="1"/>
  <c r="X201" i="6" s="1"/>
  <c r="Z268" i="6"/>
  <c r="Z267" i="6" s="1"/>
  <c r="Z201" i="6" s="1"/>
  <c r="AA268" i="6"/>
  <c r="AA267" i="6" s="1"/>
  <c r="AA201" i="6" s="1"/>
  <c r="C37" i="7" l="1"/>
  <c r="D37" i="7"/>
  <c r="Q500" i="5"/>
  <c r="L178" i="5"/>
  <c r="F56" i="7"/>
  <c r="F55" i="7" s="1"/>
  <c r="H178" i="5"/>
  <c r="C56" i="7"/>
  <c r="C55" i="7" s="1"/>
  <c r="K178" i="5"/>
  <c r="D56" i="7"/>
  <c r="D55" i="7" s="1"/>
  <c r="P500" i="5" l="1"/>
  <c r="O193" i="6"/>
  <c r="S193" i="6"/>
  <c r="W193" i="6"/>
  <c r="Z193" i="6"/>
  <c r="AA193" i="6"/>
  <c r="M116" i="6" l="1"/>
  <c r="M115" i="6" s="1"/>
  <c r="M114" i="6" s="1"/>
  <c r="M113" i="6" s="1"/>
  <c r="M112" i="6" s="1"/>
  <c r="M111" i="6" s="1"/>
  <c r="M110" i="6" s="1"/>
  <c r="M109" i="6" s="1"/>
  <c r="M108" i="6" s="1"/>
  <c r="M107" i="6" s="1"/>
  <c r="AA108" i="6"/>
  <c r="AA107" i="6" s="1"/>
  <c r="AA9" i="6" s="1"/>
  <c r="C168" i="6" l="1"/>
  <c r="T135" i="6" l="1"/>
  <c r="R135" i="6"/>
  <c r="N135" i="6"/>
  <c r="T134" i="6"/>
  <c r="R134" i="6"/>
  <c r="N134" i="6"/>
  <c r="T129" i="6"/>
  <c r="R129" i="6"/>
  <c r="N129" i="6"/>
  <c r="J135" i="6"/>
  <c r="I135" i="6"/>
  <c r="H135" i="6"/>
  <c r="G135" i="6"/>
  <c r="F135" i="6"/>
  <c r="E135" i="6"/>
  <c r="J134" i="6"/>
  <c r="I134" i="6"/>
  <c r="H134" i="6"/>
  <c r="G134" i="6"/>
  <c r="F134" i="6"/>
  <c r="E134" i="6"/>
  <c r="J129" i="6"/>
  <c r="I129" i="6"/>
  <c r="G129" i="6"/>
  <c r="F129" i="6"/>
  <c r="E129" i="6"/>
  <c r="J89" i="6"/>
  <c r="I89" i="6"/>
  <c r="H89" i="6"/>
  <c r="G89" i="6"/>
  <c r="F89" i="6"/>
  <c r="E89" i="6"/>
  <c r="J88" i="6"/>
  <c r="I88" i="6"/>
  <c r="H88" i="6"/>
  <c r="G88" i="6"/>
  <c r="F88" i="6"/>
  <c r="E88" i="6"/>
  <c r="J87" i="6"/>
  <c r="I87" i="6"/>
  <c r="H87" i="6"/>
  <c r="G87" i="6"/>
  <c r="F87" i="6"/>
  <c r="E87" i="6"/>
  <c r="J86" i="6"/>
  <c r="I86" i="6"/>
  <c r="H86" i="6"/>
  <c r="G86" i="6"/>
  <c r="F86" i="6"/>
  <c r="E86" i="6"/>
  <c r="J85" i="6"/>
  <c r="I85" i="6"/>
  <c r="H85" i="6"/>
  <c r="G85" i="6"/>
  <c r="F85" i="6"/>
  <c r="E85" i="6"/>
  <c r="J84" i="6"/>
  <c r="I84" i="6"/>
  <c r="H84" i="6"/>
  <c r="G84" i="6"/>
  <c r="F84" i="6"/>
  <c r="E84" i="6"/>
  <c r="N89" i="6"/>
  <c r="N88" i="6"/>
  <c r="N87" i="6"/>
  <c r="N86" i="6"/>
  <c r="N85" i="6"/>
  <c r="N84" i="6"/>
  <c r="X135" i="6"/>
  <c r="X134" i="6"/>
  <c r="X129" i="6"/>
  <c r="G83" i="6" l="1"/>
  <c r="G82" i="6" s="1"/>
  <c r="F133" i="6"/>
  <c r="H83" i="6"/>
  <c r="H82" i="6" s="1"/>
  <c r="G133" i="6"/>
  <c r="J83" i="6"/>
  <c r="J82" i="6" s="1"/>
  <c r="E133" i="6"/>
  <c r="H133" i="6"/>
  <c r="I133" i="6"/>
  <c r="J133" i="6"/>
  <c r="F83" i="6"/>
  <c r="F82" i="6" s="1"/>
  <c r="N133" i="6"/>
  <c r="T133" i="6"/>
  <c r="R133" i="6"/>
  <c r="X133" i="6"/>
  <c r="F116" i="6"/>
  <c r="F115" i="6" s="1"/>
  <c r="F114" i="6" s="1"/>
  <c r="F113" i="6" s="1"/>
  <c r="F112" i="6" s="1"/>
  <c r="F111" i="6" s="1"/>
  <c r="F110" i="6" s="1"/>
  <c r="F109" i="6" s="1"/>
  <c r="F108" i="6" s="1"/>
  <c r="F107" i="6" s="1"/>
  <c r="H116" i="6"/>
  <c r="H115" i="6" s="1"/>
  <c r="H114" i="6" s="1"/>
  <c r="H113" i="6" s="1"/>
  <c r="H112" i="6" s="1"/>
  <c r="H111" i="6" s="1"/>
  <c r="H110" i="6" s="1"/>
  <c r="H109" i="6" s="1"/>
  <c r="H108" i="6" s="1"/>
  <c r="H107" i="6" s="1"/>
  <c r="J116" i="6"/>
  <c r="J115" i="6" s="1"/>
  <c r="J114" i="6" s="1"/>
  <c r="J113" i="6" s="1"/>
  <c r="J112" i="6" s="1"/>
  <c r="J111" i="6" s="1"/>
  <c r="J110" i="6" s="1"/>
  <c r="J109" i="6" s="1"/>
  <c r="J108" i="6" s="1"/>
  <c r="J107" i="6" s="1"/>
  <c r="G116" i="6"/>
  <c r="G115" i="6" s="1"/>
  <c r="G114" i="6" s="1"/>
  <c r="G113" i="6" s="1"/>
  <c r="G112" i="6" s="1"/>
  <c r="G111" i="6" s="1"/>
  <c r="G110" i="6" s="1"/>
  <c r="G109" i="6" s="1"/>
  <c r="G108" i="6" s="1"/>
  <c r="G107" i="6" s="1"/>
  <c r="I116" i="6"/>
  <c r="I115" i="6" s="1"/>
  <c r="I114" i="6" s="1"/>
  <c r="I113" i="6" s="1"/>
  <c r="I112" i="6" s="1"/>
  <c r="I111" i="6" s="1"/>
  <c r="I110" i="6" s="1"/>
  <c r="I109" i="6" s="1"/>
  <c r="I108" i="6" s="1"/>
  <c r="I107" i="6" s="1"/>
  <c r="N116" i="6"/>
  <c r="N115" i="6" s="1"/>
  <c r="N114" i="6" s="1"/>
  <c r="N113" i="6" s="1"/>
  <c r="N112" i="6" s="1"/>
  <c r="N111" i="6" s="1"/>
  <c r="N110" i="6" s="1"/>
  <c r="N109" i="6" s="1"/>
  <c r="N108" i="6" s="1"/>
  <c r="N107" i="6" s="1"/>
  <c r="E83" i="6"/>
  <c r="D135" i="6"/>
  <c r="C135" i="6" s="1"/>
  <c r="D134" i="6"/>
  <c r="I83" i="6"/>
  <c r="I82" i="6" s="1"/>
  <c r="N83" i="6"/>
  <c r="N82" i="6" s="1"/>
  <c r="R82" i="6"/>
  <c r="X82" i="6"/>
  <c r="P82" i="6"/>
  <c r="T82" i="6"/>
  <c r="D129" i="6"/>
  <c r="D89" i="6"/>
  <c r="D88" i="6"/>
  <c r="C88" i="6" s="1"/>
  <c r="D87" i="6"/>
  <c r="D86" i="6"/>
  <c r="C86" i="6" s="1"/>
  <c r="D85" i="6"/>
  <c r="D84" i="6"/>
  <c r="S82" i="6"/>
  <c r="S9" i="6" s="1"/>
  <c r="O82" i="6"/>
  <c r="O9" i="6" s="1"/>
  <c r="M82" i="6"/>
  <c r="M9" i="6" s="1"/>
  <c r="W82" i="6"/>
  <c r="D133" i="6" l="1"/>
  <c r="E116" i="6"/>
  <c r="W108" i="6"/>
  <c r="W107" i="6" s="1"/>
  <c r="W9" i="6" s="1"/>
  <c r="C134" i="6"/>
  <c r="C133" i="6" s="1"/>
  <c r="D83" i="6"/>
  <c r="D82" i="6" s="1"/>
  <c r="C84" i="6"/>
  <c r="E82" i="6"/>
  <c r="C87" i="6"/>
  <c r="C89" i="6"/>
  <c r="C129" i="6"/>
  <c r="C85" i="6"/>
  <c r="E115" i="6" l="1"/>
  <c r="D116" i="6"/>
  <c r="C116" i="6" s="1"/>
  <c r="C83" i="6"/>
  <c r="C82" i="6" s="1"/>
  <c r="D115" i="6" l="1"/>
  <c r="C115" i="6" s="1"/>
  <c r="E114" i="6"/>
  <c r="D120" i="7"/>
  <c r="C120" i="7"/>
  <c r="D79" i="7"/>
  <c r="C79" i="7"/>
  <c r="E113" i="6" l="1"/>
  <c r="D114" i="6"/>
  <c r="C114" i="6" s="1"/>
  <c r="O461" i="5"/>
  <c r="O458" i="5" s="1"/>
  <c r="P136" i="5"/>
  <c r="O136" i="5"/>
  <c r="D113" i="6" l="1"/>
  <c r="C113" i="6" s="1"/>
  <c r="E112" i="6"/>
  <c r="X108" i="6"/>
  <c r="X107" i="6" s="1"/>
  <c r="E111" i="6" l="1"/>
  <c r="D112" i="6"/>
  <c r="C112" i="6" s="1"/>
  <c r="D132" i="7"/>
  <c r="C132" i="7"/>
  <c r="D46" i="7"/>
  <c r="C46" i="7"/>
  <c r="D111" i="6" l="1"/>
  <c r="C111" i="6" s="1"/>
  <c r="E110" i="6"/>
  <c r="D129" i="7"/>
  <c r="E129" i="7"/>
  <c r="F129" i="7"/>
  <c r="D437" i="6"/>
  <c r="D436" i="6" s="1"/>
  <c r="E437" i="6"/>
  <c r="F437" i="6"/>
  <c r="F436" i="6" s="1"/>
  <c r="G437" i="6"/>
  <c r="G436" i="6" s="1"/>
  <c r="H437" i="6"/>
  <c r="H436" i="6" s="1"/>
  <c r="I437" i="6"/>
  <c r="I436" i="6" s="1"/>
  <c r="J437" i="6"/>
  <c r="J436" i="6" s="1"/>
  <c r="N437" i="6"/>
  <c r="N436" i="6" s="1"/>
  <c r="O437" i="6"/>
  <c r="O436" i="6" s="1"/>
  <c r="P437" i="6"/>
  <c r="P436" i="6" s="1"/>
  <c r="R437" i="6"/>
  <c r="R436" i="6" s="1"/>
  <c r="S437" i="6"/>
  <c r="S436" i="6" s="1"/>
  <c r="T437" i="6"/>
  <c r="W437" i="6"/>
  <c r="W436" i="6" s="1"/>
  <c r="X437" i="6"/>
  <c r="X436" i="6" s="1"/>
  <c r="Z437" i="6"/>
  <c r="Z436" i="6" s="1"/>
  <c r="AA437" i="6"/>
  <c r="AA436" i="6" s="1"/>
  <c r="E109" i="6" l="1"/>
  <c r="D110" i="6"/>
  <c r="C110" i="6" s="1"/>
  <c r="E436" i="6"/>
  <c r="T436" i="6"/>
  <c r="D118" i="7"/>
  <c r="E118" i="7"/>
  <c r="E95" i="7" s="1"/>
  <c r="F118" i="7"/>
  <c r="E404" i="6"/>
  <c r="G404" i="6"/>
  <c r="H404" i="6"/>
  <c r="I404" i="6"/>
  <c r="J404" i="6"/>
  <c r="N404" i="6"/>
  <c r="O404" i="6"/>
  <c r="P404" i="6"/>
  <c r="R404" i="6"/>
  <c r="S404" i="6"/>
  <c r="T404" i="6"/>
  <c r="W404" i="6"/>
  <c r="X404" i="6"/>
  <c r="Z404" i="6"/>
  <c r="AA404" i="6"/>
  <c r="D404" i="6"/>
  <c r="F404" i="6"/>
  <c r="D109" i="6" l="1"/>
  <c r="E108" i="6"/>
  <c r="E107" i="6" s="1"/>
  <c r="C109" i="6" l="1"/>
  <c r="C108" i="6" s="1"/>
  <c r="C107" i="6" s="1"/>
  <c r="D108" i="6"/>
  <c r="D107" i="6" s="1"/>
  <c r="O400" i="5"/>
  <c r="O399" i="5" s="1"/>
  <c r="D396" i="6" l="1"/>
  <c r="D393" i="6" s="1"/>
  <c r="E396" i="6"/>
  <c r="E393" i="6" s="1"/>
  <c r="E332" i="6" s="1"/>
  <c r="F396" i="6"/>
  <c r="F393" i="6" s="1"/>
  <c r="F332" i="6" s="1"/>
  <c r="G396" i="6"/>
  <c r="G393" i="6" s="1"/>
  <c r="G332" i="6" s="1"/>
  <c r="H396" i="6"/>
  <c r="H393" i="6" s="1"/>
  <c r="H332" i="6" s="1"/>
  <c r="I396" i="6"/>
  <c r="I393" i="6" s="1"/>
  <c r="I332" i="6" s="1"/>
  <c r="J396" i="6"/>
  <c r="J393" i="6" s="1"/>
  <c r="J332" i="6" s="1"/>
  <c r="N396" i="6"/>
  <c r="N393" i="6" s="1"/>
  <c r="N332" i="6" s="1"/>
  <c r="O396" i="6"/>
  <c r="O393" i="6" s="1"/>
  <c r="O332" i="6" s="1"/>
  <c r="P396" i="6"/>
  <c r="P393" i="6" s="1"/>
  <c r="P332" i="6" s="1"/>
  <c r="R396" i="6"/>
  <c r="R393" i="6" s="1"/>
  <c r="R332" i="6" s="1"/>
  <c r="S396" i="6"/>
  <c r="S393" i="6" s="1"/>
  <c r="S332" i="6" s="1"/>
  <c r="T396" i="6"/>
  <c r="T393" i="6" s="1"/>
  <c r="T332" i="6" s="1"/>
  <c r="W396" i="6"/>
  <c r="W393" i="6" s="1"/>
  <c r="W332" i="6" s="1"/>
  <c r="X396" i="6"/>
  <c r="X393" i="6" s="1"/>
  <c r="X332" i="6" s="1"/>
  <c r="Z396" i="6"/>
  <c r="Z393" i="6" s="1"/>
  <c r="Z332" i="6" s="1"/>
  <c r="AA396" i="6"/>
  <c r="AA393" i="6" s="1"/>
  <c r="AA332" i="6" s="1"/>
  <c r="P348" i="5" l="1"/>
  <c r="P347" i="5" s="1"/>
  <c r="P346" i="5" s="1"/>
  <c r="P345" i="5" s="1"/>
  <c r="P213" i="5" s="1"/>
  <c r="S455" i="5" l="1"/>
  <c r="E32" i="7" l="1"/>
  <c r="E9" i="7" s="1"/>
  <c r="E7" i="7" l="1"/>
  <c r="P272" i="6" l="1"/>
  <c r="P268" i="6"/>
  <c r="P267" i="6" s="1"/>
  <c r="P201" i="6" l="1"/>
  <c r="D445" i="6"/>
  <c r="C445" i="6" s="1"/>
  <c r="D444" i="6"/>
  <c r="D455" i="6"/>
  <c r="D454" i="6" s="1"/>
  <c r="D461" i="6"/>
  <c r="D460" i="6" s="1"/>
  <c r="J268" i="6"/>
  <c r="J267" i="6" s="1"/>
  <c r="I268" i="6"/>
  <c r="I267" i="6" s="1"/>
  <c r="H268" i="6"/>
  <c r="H267" i="6" s="1"/>
  <c r="G268" i="6"/>
  <c r="G267" i="6" s="1"/>
  <c r="F268" i="6"/>
  <c r="F267" i="6" s="1"/>
  <c r="E268" i="6"/>
  <c r="E267" i="6" s="1"/>
  <c r="P193" i="6"/>
  <c r="P9" i="6" s="1"/>
  <c r="Z82" i="6"/>
  <c r="Z9" i="6" s="1"/>
  <c r="C436" i="6"/>
  <c r="C396" i="6"/>
  <c r="C444" i="6" l="1"/>
  <c r="C443" i="6" s="1"/>
  <c r="D443" i="6"/>
  <c r="D332" i="6" s="1"/>
  <c r="F273" i="6"/>
  <c r="F272" i="6" s="1"/>
  <c r="F201" i="6" s="1"/>
  <c r="H273" i="6"/>
  <c r="H272" i="6" s="1"/>
  <c r="H201" i="6" s="1"/>
  <c r="J273" i="6"/>
  <c r="J272" i="6" s="1"/>
  <c r="J201" i="6" s="1"/>
  <c r="E273" i="6"/>
  <c r="G273" i="6"/>
  <c r="G272" i="6" s="1"/>
  <c r="G201" i="6" s="1"/>
  <c r="I273" i="6"/>
  <c r="I272" i="6" s="1"/>
  <c r="I201" i="6" s="1"/>
  <c r="D188" i="6"/>
  <c r="C188" i="6" s="1"/>
  <c r="D187" i="6"/>
  <c r="C187" i="6" s="1"/>
  <c r="C461" i="6"/>
  <c r="C460" i="6" s="1"/>
  <c r="F193" i="6"/>
  <c r="F9" i="6" s="1"/>
  <c r="H193" i="6"/>
  <c r="H9" i="6" s="1"/>
  <c r="J193" i="6"/>
  <c r="J9" i="6" s="1"/>
  <c r="T193" i="6"/>
  <c r="T9" i="6" s="1"/>
  <c r="N193" i="6"/>
  <c r="N9" i="6" s="1"/>
  <c r="G193" i="6"/>
  <c r="G9" i="6" s="1"/>
  <c r="I193" i="6"/>
  <c r="I9" i="6" s="1"/>
  <c r="R193" i="6"/>
  <c r="R9" i="6" s="1"/>
  <c r="X193" i="6"/>
  <c r="X9" i="6" s="1"/>
  <c r="C455" i="6"/>
  <c r="C454" i="6" s="1"/>
  <c r="C399" i="6"/>
  <c r="C473" i="6"/>
  <c r="C472" i="6" s="1"/>
  <c r="D302" i="6"/>
  <c r="D299" i="6" s="1"/>
  <c r="D195" i="6"/>
  <c r="D194" i="6" s="1"/>
  <c r="D269" i="6"/>
  <c r="D277" i="6"/>
  <c r="D273" i="6" s="1"/>
  <c r="C388" i="6"/>
  <c r="C387" i="6" s="1"/>
  <c r="C398" i="6" l="1"/>
  <c r="C393" i="6" s="1"/>
  <c r="D186" i="6"/>
  <c r="C471" i="6"/>
  <c r="E272" i="6"/>
  <c r="E201" i="6" s="1"/>
  <c r="E193" i="6"/>
  <c r="E9" i="6" s="1"/>
  <c r="C404" i="6"/>
  <c r="C186" i="6"/>
  <c r="D193" i="6"/>
  <c r="C302" i="6"/>
  <c r="C299" i="6" s="1"/>
  <c r="C277" i="6"/>
  <c r="D272" i="6"/>
  <c r="C269" i="6"/>
  <c r="C268" i="6" s="1"/>
  <c r="C267" i="6" s="1"/>
  <c r="D268" i="6"/>
  <c r="D267" i="6" s="1"/>
  <c r="D201" i="6" s="1"/>
  <c r="C332" i="6" l="1"/>
  <c r="D9" i="6"/>
  <c r="C273" i="6"/>
  <c r="C272" i="6" s="1"/>
  <c r="C201" i="6" s="1"/>
  <c r="C195" i="6" l="1"/>
  <c r="C194" i="6" s="1"/>
  <c r="C193" i="6" l="1"/>
  <c r="C9" i="6" s="1"/>
  <c r="R455" i="5"/>
  <c r="F63" i="7" l="1"/>
  <c r="F78" i="7"/>
  <c r="F77" i="7" s="1"/>
  <c r="C63" i="7" l="1"/>
  <c r="D63" i="7"/>
  <c r="D114" i="7" l="1"/>
  <c r="C114" i="7"/>
  <c r="F114" i="7"/>
  <c r="O281" i="5"/>
  <c r="O280" i="5" s="1"/>
  <c r="O279" i="5" s="1"/>
  <c r="P180" i="5" l="1"/>
  <c r="P179" i="5" s="1"/>
  <c r="P178" i="5" l="1"/>
  <c r="P16" i="5" s="1"/>
  <c r="D62" i="7" l="1"/>
  <c r="C62" i="7"/>
  <c r="F132" i="7" l="1"/>
  <c r="F46" i="7"/>
  <c r="C107" i="7" l="1"/>
  <c r="C106" i="7" s="1"/>
  <c r="D107" i="7"/>
  <c r="D106" i="7" s="1"/>
  <c r="C129" i="7" l="1"/>
  <c r="I415" i="5"/>
  <c r="I412" i="5" s="1"/>
  <c r="J415" i="5"/>
  <c r="J412" i="5" s="1"/>
  <c r="K415" i="5"/>
  <c r="K412" i="5" s="1"/>
  <c r="L415" i="5"/>
  <c r="L412" i="5" s="1"/>
  <c r="M415" i="5"/>
  <c r="M412" i="5" s="1"/>
  <c r="N415" i="5"/>
  <c r="N412" i="5" s="1"/>
  <c r="Q415" i="5"/>
  <c r="Q412" i="5" s="1"/>
  <c r="H415" i="5"/>
  <c r="H412" i="5" s="1"/>
  <c r="C504" i="2"/>
  <c r="C505" i="2"/>
  <c r="C503" i="2"/>
  <c r="C113" i="7" l="1"/>
  <c r="C111" i="7" s="1"/>
  <c r="F113" i="7"/>
  <c r="F111" i="7" s="1"/>
  <c r="D113" i="7"/>
  <c r="D111" i="7" s="1"/>
  <c r="O481" i="5" l="1"/>
  <c r="D134" i="7"/>
  <c r="C134" i="7"/>
  <c r="Q455" i="5"/>
  <c r="O455" i="5"/>
  <c r="N455" i="5"/>
  <c r="M455" i="5"/>
  <c r="K455" i="5"/>
  <c r="J455" i="5"/>
  <c r="I455" i="5"/>
  <c r="H455" i="5"/>
  <c r="O450" i="5"/>
  <c r="K423" i="5"/>
  <c r="J423" i="5"/>
  <c r="J351" i="5" s="1"/>
  <c r="I423" i="5"/>
  <c r="H423" i="5"/>
  <c r="H351" i="5" s="1"/>
  <c r="O415" i="5"/>
  <c r="O412" i="5" s="1"/>
  <c r="O394" i="5"/>
  <c r="O392" i="5" s="1"/>
  <c r="L284" i="5"/>
  <c r="L213" i="5" s="1"/>
  <c r="J284" i="5"/>
  <c r="J213" i="5" s="1"/>
  <c r="I284" i="5"/>
  <c r="I213" i="5" s="1"/>
  <c r="D33" i="7"/>
  <c r="J89" i="5"/>
  <c r="J16" i="5" s="1"/>
  <c r="I89" i="5"/>
  <c r="I16" i="5" s="1"/>
  <c r="C33" i="7"/>
  <c r="I351" i="5" l="1"/>
  <c r="K351" i="5"/>
  <c r="O480" i="5"/>
  <c r="O449" i="5"/>
  <c r="O437" i="5" s="1"/>
  <c r="K284" i="5"/>
  <c r="K213" i="5" s="1"/>
  <c r="D78" i="7"/>
  <c r="D77" i="7" s="1"/>
  <c r="D59" i="7" s="1"/>
  <c r="H284" i="5"/>
  <c r="H213" i="5" s="1"/>
  <c r="C78" i="7"/>
  <c r="C77" i="7" s="1"/>
  <c r="C59" i="7" s="1"/>
  <c r="F79" i="7"/>
  <c r="F120" i="7"/>
  <c r="F95" i="7" s="1"/>
  <c r="F33" i="7"/>
  <c r="F37" i="7"/>
  <c r="K89" i="5"/>
  <c r="K16" i="5" s="1"/>
  <c r="H89" i="5"/>
  <c r="H16" i="5" s="1"/>
  <c r="L89" i="5"/>
  <c r="L16" i="5" s="1"/>
  <c r="L423" i="5"/>
  <c r="L351" i="5" s="1"/>
  <c r="L455" i="5"/>
  <c r="O423" i="5"/>
  <c r="O351" i="5" s="1"/>
  <c r="O89" i="5"/>
  <c r="O16" i="5" s="1"/>
  <c r="D97" i="7"/>
  <c r="D95" i="7" s="1"/>
  <c r="C97" i="7"/>
  <c r="O284" i="5"/>
  <c r="O213" i="5" s="1"/>
  <c r="F32" i="7" l="1"/>
  <c r="F9" i="7" s="1"/>
  <c r="K14" i="5"/>
  <c r="J14" i="5"/>
  <c r="N14" i="5"/>
  <c r="O14" i="5"/>
  <c r="I14" i="5"/>
  <c r="H14" i="5"/>
  <c r="L14" i="5" l="1"/>
  <c r="E207" i="3" l="1"/>
  <c r="F207" i="3"/>
  <c r="G207" i="3"/>
  <c r="H207" i="3"/>
  <c r="J207" i="3"/>
  <c r="K207" i="3"/>
  <c r="L207" i="3"/>
  <c r="E114" i="3"/>
  <c r="F114" i="3"/>
  <c r="G114" i="3"/>
  <c r="H114" i="3"/>
  <c r="J114" i="3"/>
  <c r="K114" i="3"/>
  <c r="L114" i="3"/>
  <c r="Y813" i="2"/>
  <c r="Q14" i="5" l="1"/>
  <c r="I235" i="3"/>
  <c r="D354" i="2"/>
  <c r="E354" i="2"/>
  <c r="F354" i="2"/>
  <c r="G354" i="2"/>
  <c r="H354" i="2"/>
  <c r="I354" i="2"/>
  <c r="J354" i="2"/>
  <c r="K354" i="2"/>
  <c r="L354" i="2"/>
  <c r="M354" i="2"/>
  <c r="N354" i="2"/>
  <c r="P354" i="2"/>
  <c r="Q354" i="2"/>
  <c r="R354" i="2"/>
  <c r="S354" i="2"/>
  <c r="T354" i="2"/>
  <c r="U354" i="2"/>
  <c r="D892" i="2"/>
  <c r="E892" i="2"/>
  <c r="F892" i="2"/>
  <c r="G892" i="2"/>
  <c r="H892" i="2"/>
  <c r="I892" i="2"/>
  <c r="J892" i="2"/>
  <c r="K892" i="2"/>
  <c r="L892" i="2"/>
  <c r="M892" i="2"/>
  <c r="N892" i="2"/>
  <c r="P892" i="2"/>
  <c r="Q892" i="2"/>
  <c r="R892" i="2"/>
  <c r="S892" i="2"/>
  <c r="T892" i="2"/>
  <c r="U892" i="2"/>
  <c r="D1383" i="2"/>
  <c r="E1383" i="2"/>
  <c r="F1383" i="2"/>
  <c r="G1383" i="2"/>
  <c r="H1383" i="2"/>
  <c r="I1383" i="2"/>
  <c r="J1383" i="2"/>
  <c r="K1383" i="2"/>
  <c r="L1383" i="2"/>
  <c r="M1383" i="2"/>
  <c r="N1383" i="2"/>
  <c r="P1383" i="2"/>
  <c r="Q1383" i="2"/>
  <c r="R1383" i="2"/>
  <c r="S1383" i="2"/>
  <c r="T1383" i="2"/>
  <c r="U1383" i="2"/>
  <c r="L1417" i="1"/>
  <c r="O1385" i="2" s="1"/>
  <c r="W1385" i="2" s="1"/>
  <c r="L1418" i="1"/>
  <c r="O1386" i="2" s="1"/>
  <c r="W1386" i="2" s="1"/>
  <c r="L1419" i="1"/>
  <c r="O1387" i="2" s="1"/>
  <c r="W1387" i="2" s="1"/>
  <c r="L1420" i="1"/>
  <c r="O1388" i="2" s="1"/>
  <c r="W1388" i="2" s="1"/>
  <c r="L1421" i="1"/>
  <c r="O1389" i="2" s="1"/>
  <c r="W1389" i="2" s="1"/>
  <c r="L1422" i="1"/>
  <c r="O1390" i="2" s="1"/>
  <c r="W1390" i="2" s="1"/>
  <c r="L1416" i="1"/>
  <c r="O1384" i="2" s="1"/>
  <c r="L919" i="1"/>
  <c r="O894" i="2" s="1"/>
  <c r="W894" i="2" s="1"/>
  <c r="L920" i="1"/>
  <c r="O895" i="2" s="1"/>
  <c r="W895" i="2" s="1"/>
  <c r="L921" i="1"/>
  <c r="O896" i="2" s="1"/>
  <c r="W896" i="2" s="1"/>
  <c r="L922" i="1"/>
  <c r="O897" i="2" s="1"/>
  <c r="W897" i="2" s="1"/>
  <c r="L923" i="1"/>
  <c r="O898" i="2" s="1"/>
  <c r="W898" i="2" s="1"/>
  <c r="L924" i="1"/>
  <c r="O899" i="2" s="1"/>
  <c r="W899" i="2" s="1"/>
  <c r="L925" i="1"/>
  <c r="O900" i="2" s="1"/>
  <c r="W900" i="2" s="1"/>
  <c r="L918" i="1"/>
  <c r="O893" i="2" s="1"/>
  <c r="L366" i="1"/>
  <c r="L367" i="1"/>
  <c r="L368" i="1"/>
  <c r="L369" i="1"/>
  <c r="L370" i="1"/>
  <c r="L371" i="1"/>
  <c r="L372" i="1"/>
  <c r="L365" i="1"/>
  <c r="P14" i="5" l="1"/>
  <c r="O362" i="2"/>
  <c r="W362" i="2" s="1"/>
  <c r="O355" i="2"/>
  <c r="W355" i="2" s="1"/>
  <c r="O361" i="2"/>
  <c r="W361" i="2" s="1"/>
  <c r="O359" i="2"/>
  <c r="W359" i="2" s="1"/>
  <c r="O357" i="2"/>
  <c r="W357" i="2" s="1"/>
  <c r="O360" i="2"/>
  <c r="W360" i="2" s="1"/>
  <c r="O358" i="2"/>
  <c r="W358" i="2" s="1"/>
  <c r="W356" i="2"/>
  <c r="W893" i="2"/>
  <c r="O892" i="2"/>
  <c r="W1384" i="2"/>
  <c r="O1383" i="2"/>
  <c r="C1384" i="2"/>
  <c r="C1389" i="2"/>
  <c r="C1387" i="2"/>
  <c r="C1385" i="2"/>
  <c r="C900" i="2"/>
  <c r="C898" i="2"/>
  <c r="C896" i="2"/>
  <c r="C894" i="2"/>
  <c r="C355" i="2"/>
  <c r="C361" i="2"/>
  <c r="C359" i="2"/>
  <c r="C357" i="2"/>
  <c r="C1390" i="2"/>
  <c r="C1388" i="2"/>
  <c r="C1386" i="2"/>
  <c r="C893" i="2"/>
  <c r="C899" i="2"/>
  <c r="C897" i="2"/>
  <c r="C895" i="2"/>
  <c r="C362" i="2"/>
  <c r="C360" i="2"/>
  <c r="C358" i="2"/>
  <c r="C356" i="2"/>
  <c r="E216" i="3"/>
  <c r="F216" i="3"/>
  <c r="G216" i="3"/>
  <c r="H216" i="3"/>
  <c r="J216" i="3"/>
  <c r="K216" i="3"/>
  <c r="E25" i="3"/>
  <c r="F25" i="3"/>
  <c r="G25" i="3"/>
  <c r="H25" i="3"/>
  <c r="J25" i="3"/>
  <c r="K25" i="3"/>
  <c r="L25" i="3"/>
  <c r="W300" i="2"/>
  <c r="W302" i="2"/>
  <c r="W304" i="2"/>
  <c r="W306" i="2"/>
  <c r="W310" i="2"/>
  <c r="I878" i="1"/>
  <c r="J878" i="1"/>
  <c r="K878" i="1"/>
  <c r="L878" i="1"/>
  <c r="M878" i="1"/>
  <c r="N878" i="1"/>
  <c r="P878" i="1"/>
  <c r="H878" i="1"/>
  <c r="O354" i="2" l="1"/>
  <c r="C354" i="2"/>
  <c r="C1383" i="2"/>
  <c r="C892" i="2"/>
  <c r="C250" i="3"/>
  <c r="D410" i="2"/>
  <c r="E410" i="2"/>
  <c r="F410" i="2"/>
  <c r="G410" i="2"/>
  <c r="H410" i="2"/>
  <c r="I410" i="2"/>
  <c r="J410" i="2"/>
  <c r="K410" i="2"/>
  <c r="L410" i="2"/>
  <c r="M410" i="2"/>
  <c r="N410" i="2"/>
  <c r="O410" i="2"/>
  <c r="P410" i="2"/>
  <c r="Q410" i="2"/>
  <c r="R410" i="2"/>
  <c r="S410" i="2"/>
  <c r="T410" i="2"/>
  <c r="U410" i="2"/>
  <c r="W411" i="2"/>
  <c r="C411" i="2"/>
  <c r="C410" i="2" s="1"/>
  <c r="X945" i="2"/>
  <c r="X944" i="2"/>
  <c r="D943" i="2"/>
  <c r="E943" i="2"/>
  <c r="F943" i="2"/>
  <c r="G943" i="2"/>
  <c r="H943" i="2"/>
  <c r="I943" i="2"/>
  <c r="J943" i="2"/>
  <c r="K943" i="2"/>
  <c r="L943" i="2"/>
  <c r="M943" i="2"/>
  <c r="N943" i="2"/>
  <c r="O943" i="2"/>
  <c r="P943" i="2"/>
  <c r="Q943" i="2"/>
  <c r="R943" i="2"/>
  <c r="S943" i="2"/>
  <c r="T943" i="2"/>
  <c r="U943" i="2"/>
  <c r="V943" i="2"/>
  <c r="C945" i="2"/>
  <c r="C944" i="2"/>
  <c r="C1430" i="2"/>
  <c r="I958" i="1"/>
  <c r="J958" i="1"/>
  <c r="K958" i="1"/>
  <c r="L958" i="1"/>
  <c r="M157" i="3" s="1"/>
  <c r="M958" i="1"/>
  <c r="N958" i="1"/>
  <c r="O958" i="1"/>
  <c r="P958" i="1"/>
  <c r="H958" i="1"/>
  <c r="Q960" i="1"/>
  <c r="Q959" i="1"/>
  <c r="Q416" i="1"/>
  <c r="D1222" i="2"/>
  <c r="E1222" i="2"/>
  <c r="F1222" i="2"/>
  <c r="G1222" i="2"/>
  <c r="H1222" i="2"/>
  <c r="I1222" i="2"/>
  <c r="J1222" i="2"/>
  <c r="K1222" i="2"/>
  <c r="L1222" i="2"/>
  <c r="M1222" i="2"/>
  <c r="N1222" i="2"/>
  <c r="P1222" i="2"/>
  <c r="Q1222" i="2"/>
  <c r="R1222" i="2"/>
  <c r="S1222" i="2"/>
  <c r="T1222" i="2"/>
  <c r="U1222" i="2"/>
  <c r="D730" i="2"/>
  <c r="E730" i="2"/>
  <c r="F730" i="2"/>
  <c r="G730" i="2"/>
  <c r="H730" i="2"/>
  <c r="I730" i="2"/>
  <c r="J730" i="2"/>
  <c r="K730" i="2"/>
  <c r="L730" i="2"/>
  <c r="M730" i="2"/>
  <c r="N730" i="2"/>
  <c r="P730" i="2"/>
  <c r="Q730" i="2"/>
  <c r="R730" i="2"/>
  <c r="S730" i="2"/>
  <c r="T730" i="2"/>
  <c r="U730" i="2"/>
  <c r="V730" i="2"/>
  <c r="D177" i="2"/>
  <c r="E177" i="2"/>
  <c r="F177" i="2"/>
  <c r="G177" i="2"/>
  <c r="H177" i="2"/>
  <c r="I177" i="2"/>
  <c r="J177" i="2"/>
  <c r="K177" i="2"/>
  <c r="L177" i="2"/>
  <c r="M177" i="2"/>
  <c r="N177" i="2"/>
  <c r="P177" i="2"/>
  <c r="Q177" i="2"/>
  <c r="R177" i="2"/>
  <c r="S177" i="2"/>
  <c r="T177" i="2"/>
  <c r="U177" i="2"/>
  <c r="V177" i="2"/>
  <c r="L1257" i="1"/>
  <c r="C1224" i="2" s="1"/>
  <c r="O1224" i="2" s="1"/>
  <c r="W1224" i="2" s="1"/>
  <c r="L1258" i="1"/>
  <c r="C1225" i="2" s="1"/>
  <c r="O1225" i="2" s="1"/>
  <c r="W1225" i="2" s="1"/>
  <c r="L1259" i="1"/>
  <c r="C1226" i="2" s="1"/>
  <c r="O1226" i="2" s="1"/>
  <c r="W1226" i="2" s="1"/>
  <c r="L1260" i="1"/>
  <c r="C1227" i="2" s="1"/>
  <c r="O1227" i="2" s="1"/>
  <c r="W1227" i="2" s="1"/>
  <c r="L1261" i="1"/>
  <c r="C1228" i="2" s="1"/>
  <c r="O1228" i="2" s="1"/>
  <c r="W1228" i="2" s="1"/>
  <c r="L1262" i="1"/>
  <c r="C1229" i="2" s="1"/>
  <c r="O1229" i="2" s="1"/>
  <c r="W1229" i="2" s="1"/>
  <c r="L1263" i="1"/>
  <c r="C1230" i="2" s="1"/>
  <c r="O1230" i="2" s="1"/>
  <c r="W1230" i="2" s="1"/>
  <c r="L1264" i="1"/>
  <c r="C1231" i="2" s="1"/>
  <c r="O1231" i="2" s="1"/>
  <c r="W1231" i="2" s="1"/>
  <c r="L1265" i="1"/>
  <c r="C1232" i="2" s="1"/>
  <c r="O1232" i="2" s="1"/>
  <c r="W1232" i="2" s="1"/>
  <c r="L1266" i="1"/>
  <c r="C1233" i="2" s="1"/>
  <c r="O1233" i="2" s="1"/>
  <c r="W1233" i="2" s="1"/>
  <c r="L1256" i="1"/>
  <c r="C1223" i="2" s="1"/>
  <c r="H1255" i="1"/>
  <c r="C199" i="3" s="1"/>
  <c r="L755" i="1"/>
  <c r="C732" i="2" s="1"/>
  <c r="O732" i="2" s="1"/>
  <c r="W732" i="2" s="1"/>
  <c r="L756" i="1"/>
  <c r="C733" i="2" s="1"/>
  <c r="O733" i="2" s="1"/>
  <c r="W733" i="2" s="1"/>
  <c r="L757" i="1"/>
  <c r="C734" i="2" s="1"/>
  <c r="O734" i="2" s="1"/>
  <c r="W734" i="2" s="1"/>
  <c r="L758" i="1"/>
  <c r="C735" i="2" s="1"/>
  <c r="O735" i="2" s="1"/>
  <c r="W735" i="2" s="1"/>
  <c r="L759" i="1"/>
  <c r="C736" i="2" s="1"/>
  <c r="O736" i="2" s="1"/>
  <c r="W736" i="2" s="1"/>
  <c r="L760" i="1"/>
  <c r="C737" i="2" s="1"/>
  <c r="O737" i="2" s="1"/>
  <c r="W737" i="2" s="1"/>
  <c r="L761" i="1"/>
  <c r="C738" i="2" s="1"/>
  <c r="O738" i="2" s="1"/>
  <c r="W738" i="2" s="1"/>
  <c r="L762" i="1"/>
  <c r="C739" i="2" s="1"/>
  <c r="O739" i="2" s="1"/>
  <c r="W739" i="2" s="1"/>
  <c r="L763" i="1"/>
  <c r="C740" i="2" s="1"/>
  <c r="O740" i="2" s="1"/>
  <c r="W740" i="2" s="1"/>
  <c r="L764" i="1"/>
  <c r="C741" i="2" s="1"/>
  <c r="O741" i="2" s="1"/>
  <c r="W741" i="2" s="1"/>
  <c r="L765" i="1"/>
  <c r="C742" i="2" s="1"/>
  <c r="O742" i="2" s="1"/>
  <c r="W742" i="2" s="1"/>
  <c r="L766" i="1"/>
  <c r="C743" i="2" s="1"/>
  <c r="O743" i="2" s="1"/>
  <c r="W743" i="2" s="1"/>
  <c r="L754" i="1"/>
  <c r="C731" i="2" s="1"/>
  <c r="O731" i="2" s="1"/>
  <c r="L190" i="1"/>
  <c r="C179" i="2" s="1"/>
  <c r="O179" i="2" s="1"/>
  <c r="W179" i="2" s="1"/>
  <c r="L191" i="1"/>
  <c r="C180" i="2" s="1"/>
  <c r="O180" i="2" s="1"/>
  <c r="W180" i="2" s="1"/>
  <c r="L192" i="1"/>
  <c r="C181" i="2" s="1"/>
  <c r="O181" i="2" s="1"/>
  <c r="W181" i="2" s="1"/>
  <c r="L193" i="1"/>
  <c r="C182" i="2" s="1"/>
  <c r="O182" i="2" s="1"/>
  <c r="W182" i="2" s="1"/>
  <c r="L194" i="1"/>
  <c r="C183" i="2" s="1"/>
  <c r="O183" i="2" s="1"/>
  <c r="W183" i="2" s="1"/>
  <c r="L195" i="1"/>
  <c r="C184" i="2" s="1"/>
  <c r="O184" i="2" s="1"/>
  <c r="W184" i="2" s="1"/>
  <c r="L196" i="1"/>
  <c r="C185" i="2" s="1"/>
  <c r="O185" i="2" s="1"/>
  <c r="W185" i="2" s="1"/>
  <c r="L197" i="1"/>
  <c r="C186" i="2" s="1"/>
  <c r="O186" i="2" s="1"/>
  <c r="W186" i="2" s="1"/>
  <c r="L198" i="1"/>
  <c r="C187" i="2" s="1"/>
  <c r="O187" i="2" s="1"/>
  <c r="W187" i="2" s="1"/>
  <c r="L199" i="1"/>
  <c r="C188" i="2" s="1"/>
  <c r="O188" i="2" s="1"/>
  <c r="W188" i="2" s="1"/>
  <c r="L200" i="1"/>
  <c r="C189" i="2" s="1"/>
  <c r="O189" i="2" s="1"/>
  <c r="W189" i="2" s="1"/>
  <c r="L201" i="1"/>
  <c r="C190" i="2" s="1"/>
  <c r="O190" i="2" s="1"/>
  <c r="W190" i="2" s="1"/>
  <c r="L202" i="1"/>
  <c r="C191" i="2" s="1"/>
  <c r="O191" i="2" s="1"/>
  <c r="W191" i="2" s="1"/>
  <c r="L203" i="1"/>
  <c r="C192" i="2" s="1"/>
  <c r="O192" i="2" s="1"/>
  <c r="W192" i="2" s="1"/>
  <c r="L204" i="1"/>
  <c r="C193" i="2" s="1"/>
  <c r="O193" i="2" s="1"/>
  <c r="W193" i="2" s="1"/>
  <c r="L189" i="1"/>
  <c r="C178" i="2" s="1"/>
  <c r="O188" i="1"/>
  <c r="O939" i="1"/>
  <c r="C157" i="3" l="1"/>
  <c r="D157" i="3"/>
  <c r="C1222" i="2"/>
  <c r="C943" i="2"/>
  <c r="O1223" i="2"/>
  <c r="C177" i="2"/>
  <c r="O730" i="2"/>
  <c r="W731" i="2"/>
  <c r="C730" i="2"/>
  <c r="O178" i="2"/>
  <c r="W178" i="2" s="1"/>
  <c r="W1223" i="2" l="1"/>
  <c r="O1222" i="2"/>
  <c r="O177" i="2"/>
  <c r="E430" i="2" l="1"/>
  <c r="F430" i="2"/>
  <c r="G430" i="2"/>
  <c r="H430" i="2"/>
  <c r="I430" i="2"/>
  <c r="J430" i="2"/>
  <c r="K430" i="2"/>
  <c r="L430" i="2"/>
  <c r="M430" i="2"/>
  <c r="N430" i="2"/>
  <c r="O430" i="2"/>
  <c r="P430" i="2"/>
  <c r="Q430" i="2"/>
  <c r="R430" i="2"/>
  <c r="S430" i="2"/>
  <c r="T430" i="2"/>
  <c r="U430" i="2"/>
  <c r="W1456" i="2"/>
  <c r="D1455" i="2"/>
  <c r="E1455" i="2"/>
  <c r="F1455" i="2"/>
  <c r="G1455" i="2"/>
  <c r="H1455" i="2"/>
  <c r="I1455" i="2"/>
  <c r="J1455" i="2"/>
  <c r="K1455" i="2"/>
  <c r="L1455" i="2"/>
  <c r="M1455" i="2"/>
  <c r="N1455" i="2"/>
  <c r="O1455" i="2"/>
  <c r="P1455" i="2"/>
  <c r="Q1455" i="2"/>
  <c r="R1455" i="2"/>
  <c r="S1455" i="2"/>
  <c r="T1455" i="2"/>
  <c r="U1455" i="2"/>
  <c r="C1456" i="2"/>
  <c r="C1455" i="2" s="1"/>
  <c r="X974" i="2"/>
  <c r="X973" i="2"/>
  <c r="X972" i="2"/>
  <c r="D971" i="2"/>
  <c r="E971" i="2"/>
  <c r="F971" i="2"/>
  <c r="G971" i="2"/>
  <c r="H971" i="2"/>
  <c r="I971" i="2"/>
  <c r="J971" i="2"/>
  <c r="K971" i="2"/>
  <c r="L971" i="2"/>
  <c r="M971" i="2"/>
  <c r="N971" i="2"/>
  <c r="O971" i="2"/>
  <c r="P971" i="2"/>
  <c r="Q971" i="2"/>
  <c r="R971" i="2"/>
  <c r="S971" i="2"/>
  <c r="T971" i="2"/>
  <c r="U971" i="2"/>
  <c r="V971" i="2"/>
  <c r="C973" i="2"/>
  <c r="C974" i="2"/>
  <c r="C972" i="2"/>
  <c r="D436" i="2"/>
  <c r="E436" i="2"/>
  <c r="F436" i="2"/>
  <c r="G436" i="2"/>
  <c r="H436" i="2"/>
  <c r="I436" i="2"/>
  <c r="J436" i="2"/>
  <c r="K436" i="2"/>
  <c r="L436" i="2"/>
  <c r="M436" i="2"/>
  <c r="N436" i="2"/>
  <c r="O436" i="2"/>
  <c r="P436" i="2"/>
  <c r="Q436" i="2"/>
  <c r="R436" i="2"/>
  <c r="S436" i="2"/>
  <c r="T436" i="2"/>
  <c r="U436" i="2"/>
  <c r="V436" i="2"/>
  <c r="W437" i="2"/>
  <c r="C437" i="2"/>
  <c r="C436" i="2" s="1"/>
  <c r="Q988" i="1"/>
  <c r="I986" i="1"/>
  <c r="J986" i="1"/>
  <c r="K986" i="1"/>
  <c r="L986" i="1"/>
  <c r="M986" i="1"/>
  <c r="N986" i="1"/>
  <c r="P986" i="1"/>
  <c r="H986" i="1"/>
  <c r="Q987" i="1"/>
  <c r="H441" i="1"/>
  <c r="X333" i="2"/>
  <c r="W333" i="2"/>
  <c r="X332" i="2"/>
  <c r="W332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C333" i="2"/>
  <c r="C332" i="2"/>
  <c r="I341" i="1"/>
  <c r="J341" i="1"/>
  <c r="K341" i="1"/>
  <c r="D42" i="3" s="1"/>
  <c r="L341" i="1"/>
  <c r="L42" i="3" s="1"/>
  <c r="N42" i="3" s="1"/>
  <c r="M341" i="1"/>
  <c r="N341" i="1"/>
  <c r="O341" i="1"/>
  <c r="P341" i="1"/>
  <c r="H341" i="1"/>
  <c r="C42" i="3" s="1"/>
  <c r="Q343" i="1"/>
  <c r="Q342" i="1"/>
  <c r="D166" i="3" l="1"/>
  <c r="C166" i="3"/>
  <c r="M166" i="3"/>
  <c r="C971" i="2"/>
  <c r="C331" i="2"/>
  <c r="AB968" i="2"/>
  <c r="E964" i="2"/>
  <c r="F964" i="2"/>
  <c r="G964" i="2"/>
  <c r="H964" i="2"/>
  <c r="I964" i="2"/>
  <c r="J964" i="2"/>
  <c r="K964" i="2"/>
  <c r="L964" i="2"/>
  <c r="M964" i="2"/>
  <c r="N964" i="2"/>
  <c r="O964" i="2"/>
  <c r="P964" i="2"/>
  <c r="Q964" i="2"/>
  <c r="R964" i="2"/>
  <c r="S964" i="2"/>
  <c r="T964" i="2"/>
  <c r="U964" i="2"/>
  <c r="H979" i="1"/>
  <c r="E172" i="3" l="1"/>
  <c r="F172" i="3"/>
  <c r="G172" i="3"/>
  <c r="H172" i="3"/>
  <c r="J172" i="3"/>
  <c r="K172" i="3"/>
  <c r="L172" i="3"/>
  <c r="M172" i="3"/>
  <c r="D265" i="3"/>
  <c r="E265" i="3"/>
  <c r="F265" i="3"/>
  <c r="G265" i="3"/>
  <c r="H265" i="3"/>
  <c r="I265" i="3"/>
  <c r="J265" i="3"/>
  <c r="K265" i="3"/>
  <c r="L265" i="3"/>
  <c r="M265" i="3"/>
  <c r="C265" i="3"/>
  <c r="D1474" i="2"/>
  <c r="E1474" i="2"/>
  <c r="F1474" i="2"/>
  <c r="G1474" i="2"/>
  <c r="H1474" i="2"/>
  <c r="I1474" i="2"/>
  <c r="J1474" i="2"/>
  <c r="K1474" i="2"/>
  <c r="L1474" i="2"/>
  <c r="M1474" i="2"/>
  <c r="N1474" i="2"/>
  <c r="O1474" i="2"/>
  <c r="P1474" i="2"/>
  <c r="Q1474" i="2"/>
  <c r="R1474" i="2"/>
  <c r="S1474" i="2"/>
  <c r="T1474" i="2"/>
  <c r="U1474" i="2"/>
  <c r="V1474" i="2"/>
  <c r="C1474" i="2"/>
  <c r="D993" i="2"/>
  <c r="E993" i="2"/>
  <c r="F993" i="2"/>
  <c r="G993" i="2"/>
  <c r="H993" i="2"/>
  <c r="I993" i="2"/>
  <c r="J993" i="2"/>
  <c r="K993" i="2"/>
  <c r="L993" i="2"/>
  <c r="M993" i="2"/>
  <c r="N993" i="2"/>
  <c r="O993" i="2"/>
  <c r="P993" i="2"/>
  <c r="Q993" i="2"/>
  <c r="R993" i="2"/>
  <c r="S993" i="2"/>
  <c r="T993" i="2"/>
  <c r="U993" i="2"/>
  <c r="V993" i="2"/>
  <c r="C993" i="2"/>
  <c r="H1080" i="1"/>
  <c r="V1459" i="2"/>
  <c r="D1460" i="2"/>
  <c r="D1459" i="2" s="1"/>
  <c r="E1460" i="2"/>
  <c r="E1459" i="2" s="1"/>
  <c r="F1460" i="2"/>
  <c r="F1459" i="2" s="1"/>
  <c r="G1460" i="2"/>
  <c r="G1459" i="2" s="1"/>
  <c r="H1460" i="2"/>
  <c r="H1459" i="2" s="1"/>
  <c r="I1460" i="2"/>
  <c r="I1459" i="2" s="1"/>
  <c r="J1460" i="2"/>
  <c r="J1459" i="2" s="1"/>
  <c r="K1460" i="2"/>
  <c r="K1459" i="2" s="1"/>
  <c r="L1460" i="2"/>
  <c r="L1459" i="2" s="1"/>
  <c r="M1460" i="2"/>
  <c r="M1459" i="2" s="1"/>
  <c r="N1460" i="2"/>
  <c r="N1459" i="2" s="1"/>
  <c r="O1460" i="2"/>
  <c r="O1459" i="2" s="1"/>
  <c r="P1460" i="2"/>
  <c r="P1459" i="2" s="1"/>
  <c r="Q1460" i="2"/>
  <c r="Q1459" i="2" s="1"/>
  <c r="R1460" i="2"/>
  <c r="R1459" i="2" s="1"/>
  <c r="S1460" i="2"/>
  <c r="S1459" i="2" s="1"/>
  <c r="T1460" i="2"/>
  <c r="T1459" i="2" s="1"/>
  <c r="U1460" i="2"/>
  <c r="U1459" i="2" s="1"/>
  <c r="W1461" i="2"/>
  <c r="C1461" i="2"/>
  <c r="C1460" i="2" s="1"/>
  <c r="C1459" i="2" s="1"/>
  <c r="D978" i="2"/>
  <c r="E978" i="2"/>
  <c r="F978" i="2"/>
  <c r="G978" i="2"/>
  <c r="H978" i="2"/>
  <c r="I978" i="2"/>
  <c r="J978" i="2"/>
  <c r="K978" i="2"/>
  <c r="L978" i="2"/>
  <c r="M978" i="2"/>
  <c r="N978" i="2"/>
  <c r="O978" i="2"/>
  <c r="P978" i="2"/>
  <c r="Q978" i="2"/>
  <c r="R978" i="2"/>
  <c r="S978" i="2"/>
  <c r="T978" i="2"/>
  <c r="U978" i="2"/>
  <c r="W980" i="2"/>
  <c r="AE979" i="2"/>
  <c r="C980" i="2"/>
  <c r="C979" i="2"/>
  <c r="Y443" i="2"/>
  <c r="AE442" i="2"/>
  <c r="D443" i="2"/>
  <c r="D442" i="2"/>
  <c r="E441" i="2"/>
  <c r="F441" i="2"/>
  <c r="G441" i="2"/>
  <c r="H441" i="2"/>
  <c r="I441" i="2"/>
  <c r="J441" i="2"/>
  <c r="K441" i="2"/>
  <c r="L441" i="2"/>
  <c r="M441" i="2"/>
  <c r="N441" i="2"/>
  <c r="O441" i="2"/>
  <c r="P441" i="2"/>
  <c r="Q441" i="2"/>
  <c r="R441" i="2"/>
  <c r="S441" i="2"/>
  <c r="T441" i="2"/>
  <c r="U441" i="2"/>
  <c r="C443" i="2"/>
  <c r="C442" i="2"/>
  <c r="C441" i="2" l="1"/>
  <c r="C978" i="2"/>
  <c r="D441" i="2"/>
  <c r="E76" i="3"/>
  <c r="F76" i="3"/>
  <c r="G76" i="3"/>
  <c r="H76" i="3"/>
  <c r="J76" i="3"/>
  <c r="K76" i="3"/>
  <c r="L76" i="3"/>
  <c r="AG484" i="2"/>
  <c r="AG475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466" i="2"/>
  <c r="L547" i="1"/>
  <c r="L548" i="1"/>
  <c r="L549" i="1"/>
  <c r="L550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46" i="1"/>
  <c r="D1536" i="2" l="1"/>
  <c r="E1536" i="2"/>
  <c r="F1536" i="2"/>
  <c r="G1536" i="2"/>
  <c r="H1536" i="2"/>
  <c r="I1536" i="2"/>
  <c r="J1536" i="2"/>
  <c r="K1536" i="2"/>
  <c r="L1536" i="2"/>
  <c r="M1536" i="2"/>
  <c r="N1536" i="2"/>
  <c r="O1536" i="2"/>
  <c r="P1536" i="2"/>
  <c r="Q1536" i="2"/>
  <c r="R1536" i="2"/>
  <c r="S1536" i="2"/>
  <c r="T1536" i="2"/>
  <c r="U1536" i="2"/>
  <c r="V1536" i="2"/>
  <c r="W1537" i="2"/>
  <c r="C1537" i="2"/>
  <c r="C1536" i="2" s="1"/>
  <c r="W560" i="2"/>
  <c r="I1488" i="1"/>
  <c r="J1488" i="1"/>
  <c r="K1488" i="1"/>
  <c r="L1488" i="1"/>
  <c r="M1488" i="1"/>
  <c r="N1488" i="1"/>
  <c r="P1488" i="1"/>
  <c r="H1488" i="1"/>
  <c r="W1374" i="2"/>
  <c r="W1375" i="2"/>
  <c r="W1376" i="2"/>
  <c r="W1377" i="2"/>
  <c r="W1378" i="2"/>
  <c r="W1379" i="2"/>
  <c r="W1380" i="2"/>
  <c r="W1381" i="2"/>
  <c r="W1373" i="2"/>
  <c r="V1371" i="2"/>
  <c r="D1372" i="2"/>
  <c r="D1371" i="2" s="1"/>
  <c r="E1372" i="2"/>
  <c r="E1371" i="2" s="1"/>
  <c r="F1372" i="2"/>
  <c r="F1371" i="2" s="1"/>
  <c r="G1372" i="2"/>
  <c r="G1371" i="2" s="1"/>
  <c r="H1372" i="2"/>
  <c r="H1371" i="2" s="1"/>
  <c r="I1372" i="2"/>
  <c r="I1371" i="2" s="1"/>
  <c r="J1372" i="2"/>
  <c r="J1371" i="2" s="1"/>
  <c r="K1372" i="2"/>
  <c r="K1371" i="2" s="1"/>
  <c r="L1372" i="2"/>
  <c r="L1371" i="2" s="1"/>
  <c r="M1372" i="2"/>
  <c r="M1371" i="2" s="1"/>
  <c r="N1372" i="2"/>
  <c r="N1371" i="2" s="1"/>
  <c r="O1372" i="2"/>
  <c r="O1371" i="2" s="1"/>
  <c r="P1372" i="2"/>
  <c r="P1371" i="2" s="1"/>
  <c r="Q1372" i="2"/>
  <c r="Q1371" i="2" s="1"/>
  <c r="R1372" i="2"/>
  <c r="R1371" i="2" s="1"/>
  <c r="S1372" i="2"/>
  <c r="S1371" i="2" s="1"/>
  <c r="T1372" i="2"/>
  <c r="T1371" i="2" s="1"/>
  <c r="U1372" i="2"/>
  <c r="U1371" i="2" s="1"/>
  <c r="C1374" i="2"/>
  <c r="C1375" i="2"/>
  <c r="C1376" i="2"/>
  <c r="C1377" i="2"/>
  <c r="C1378" i="2"/>
  <c r="C1379" i="2"/>
  <c r="C1380" i="2"/>
  <c r="C1381" i="2"/>
  <c r="C1373" i="2"/>
  <c r="W886" i="2"/>
  <c r="W887" i="2"/>
  <c r="W888" i="2"/>
  <c r="W889" i="2"/>
  <c r="W890" i="2"/>
  <c r="W885" i="2"/>
  <c r="D884" i="2"/>
  <c r="E884" i="2"/>
  <c r="F884" i="2"/>
  <c r="G884" i="2"/>
  <c r="H884" i="2"/>
  <c r="I884" i="2"/>
  <c r="J884" i="2"/>
  <c r="K884" i="2"/>
  <c r="L884" i="2"/>
  <c r="M884" i="2"/>
  <c r="N884" i="2"/>
  <c r="O884" i="2"/>
  <c r="P884" i="2"/>
  <c r="Q884" i="2"/>
  <c r="R884" i="2"/>
  <c r="S884" i="2"/>
  <c r="T884" i="2"/>
  <c r="U884" i="2"/>
  <c r="V884" i="2"/>
  <c r="C886" i="2"/>
  <c r="C887" i="2"/>
  <c r="C888" i="2"/>
  <c r="C889" i="2"/>
  <c r="C890" i="2"/>
  <c r="C885" i="2"/>
  <c r="W345" i="2"/>
  <c r="W346" i="2"/>
  <c r="W347" i="2"/>
  <c r="W348" i="2"/>
  <c r="W349" i="2"/>
  <c r="W350" i="2"/>
  <c r="W351" i="2"/>
  <c r="W352" i="2"/>
  <c r="W344" i="2"/>
  <c r="D343" i="2"/>
  <c r="D342" i="2" s="1"/>
  <c r="E343" i="2"/>
  <c r="E342" i="2" s="1"/>
  <c r="F343" i="2"/>
  <c r="F342" i="2" s="1"/>
  <c r="G343" i="2"/>
  <c r="G342" i="2" s="1"/>
  <c r="H343" i="2"/>
  <c r="H342" i="2" s="1"/>
  <c r="I343" i="2"/>
  <c r="I342" i="2" s="1"/>
  <c r="J343" i="2"/>
  <c r="J342" i="2" s="1"/>
  <c r="K343" i="2"/>
  <c r="K342" i="2" s="1"/>
  <c r="L343" i="2"/>
  <c r="L342" i="2" s="1"/>
  <c r="M343" i="2"/>
  <c r="M342" i="2" s="1"/>
  <c r="N343" i="2"/>
  <c r="N342" i="2" s="1"/>
  <c r="O343" i="2"/>
  <c r="O342" i="2" s="1"/>
  <c r="P343" i="2"/>
  <c r="P342" i="2" s="1"/>
  <c r="Q343" i="2"/>
  <c r="Q342" i="2" s="1"/>
  <c r="R343" i="2"/>
  <c r="R342" i="2" s="1"/>
  <c r="S343" i="2"/>
  <c r="S342" i="2" s="1"/>
  <c r="T343" i="2"/>
  <c r="T342" i="2" s="1"/>
  <c r="U343" i="2"/>
  <c r="U342" i="2" s="1"/>
  <c r="C345" i="2"/>
  <c r="C346" i="2"/>
  <c r="C347" i="2"/>
  <c r="C348" i="2"/>
  <c r="C349" i="2"/>
  <c r="C350" i="2"/>
  <c r="C351" i="2"/>
  <c r="C352" i="2"/>
  <c r="C344" i="2"/>
  <c r="D224" i="2"/>
  <c r="D225" i="2"/>
  <c r="D226" i="2"/>
  <c r="D227" i="2"/>
  <c r="D228" i="2"/>
  <c r="D229" i="2"/>
  <c r="D230" i="2"/>
  <c r="D231" i="2"/>
  <c r="C224" i="2"/>
  <c r="C225" i="2"/>
  <c r="C226" i="2"/>
  <c r="C227" i="2"/>
  <c r="C228" i="2"/>
  <c r="C229" i="2"/>
  <c r="C230" i="2"/>
  <c r="C231" i="2"/>
  <c r="C223" i="2"/>
  <c r="X1264" i="2"/>
  <c r="AF1263" i="2"/>
  <c r="D1262" i="2"/>
  <c r="E1262" i="2"/>
  <c r="F1262" i="2"/>
  <c r="G1262" i="2"/>
  <c r="H1262" i="2"/>
  <c r="I1262" i="2"/>
  <c r="J1262" i="2"/>
  <c r="K1262" i="2"/>
  <c r="L1262" i="2"/>
  <c r="M1262" i="2"/>
  <c r="N1262" i="2"/>
  <c r="O1262" i="2"/>
  <c r="P1262" i="2"/>
  <c r="Q1262" i="2"/>
  <c r="R1262" i="2"/>
  <c r="S1262" i="2"/>
  <c r="T1262" i="2"/>
  <c r="U1262" i="2"/>
  <c r="V1262" i="2"/>
  <c r="C1264" i="2"/>
  <c r="C1263" i="2"/>
  <c r="I1295" i="1"/>
  <c r="J1295" i="1"/>
  <c r="K1295" i="1"/>
  <c r="L1295" i="1"/>
  <c r="M1295" i="1"/>
  <c r="N1295" i="1"/>
  <c r="O1295" i="1"/>
  <c r="P1295" i="1"/>
  <c r="H1295" i="1"/>
  <c r="Q1297" i="1"/>
  <c r="Q1296" i="1"/>
  <c r="D465" i="2"/>
  <c r="E465" i="2"/>
  <c r="F465" i="2"/>
  <c r="G465" i="2"/>
  <c r="H465" i="2"/>
  <c r="I465" i="2"/>
  <c r="J465" i="2"/>
  <c r="K465" i="2"/>
  <c r="L465" i="2"/>
  <c r="M465" i="2"/>
  <c r="N465" i="2"/>
  <c r="O465" i="2"/>
  <c r="P465" i="2"/>
  <c r="Q465" i="2"/>
  <c r="R465" i="2"/>
  <c r="S465" i="2"/>
  <c r="T465" i="2"/>
  <c r="U465" i="2"/>
  <c r="V465" i="2"/>
  <c r="V456" i="2" s="1"/>
  <c r="W466" i="2"/>
  <c r="E457" i="2"/>
  <c r="F457" i="2"/>
  <c r="G457" i="2"/>
  <c r="H457" i="2"/>
  <c r="I457" i="2"/>
  <c r="J457" i="2"/>
  <c r="K457" i="2"/>
  <c r="L457" i="2"/>
  <c r="M457" i="2"/>
  <c r="N457" i="2"/>
  <c r="O457" i="2"/>
  <c r="P457" i="2"/>
  <c r="Q457" i="2"/>
  <c r="R457" i="2"/>
  <c r="S457" i="2"/>
  <c r="T457" i="2"/>
  <c r="U457" i="2"/>
  <c r="AB464" i="2"/>
  <c r="AG463" i="2"/>
  <c r="AD462" i="2"/>
  <c r="Y462" i="2"/>
  <c r="AD461" i="2"/>
  <c r="AB461" i="2"/>
  <c r="W460" i="2"/>
  <c r="W459" i="2"/>
  <c r="W458" i="2"/>
  <c r="D459" i="2"/>
  <c r="D460" i="2"/>
  <c r="D461" i="2"/>
  <c r="D462" i="2"/>
  <c r="D463" i="2"/>
  <c r="D464" i="2"/>
  <c r="D458" i="2"/>
  <c r="C459" i="2"/>
  <c r="C460" i="2"/>
  <c r="C461" i="2"/>
  <c r="C462" i="2"/>
  <c r="C463" i="2"/>
  <c r="C464" i="2"/>
  <c r="C458" i="2"/>
  <c r="Q539" i="1"/>
  <c r="Q540" i="1"/>
  <c r="Q541" i="1"/>
  <c r="Q542" i="1"/>
  <c r="Q543" i="1"/>
  <c r="Q544" i="1"/>
  <c r="Q538" i="1"/>
  <c r="H767" i="1"/>
  <c r="R456" i="2" l="1"/>
  <c r="N456" i="2"/>
  <c r="J456" i="2"/>
  <c r="Q456" i="2"/>
  <c r="M456" i="2"/>
  <c r="I456" i="2"/>
  <c r="S456" i="2"/>
  <c r="O456" i="2"/>
  <c r="K456" i="2"/>
  <c r="U456" i="2"/>
  <c r="T456" i="2"/>
  <c r="P456" i="2"/>
  <c r="L456" i="2"/>
  <c r="H456" i="2"/>
  <c r="M202" i="3"/>
  <c r="C262" i="3"/>
  <c r="M262" i="3"/>
  <c r="C202" i="3"/>
  <c r="D202" i="3"/>
  <c r="D262" i="3"/>
  <c r="C1372" i="2"/>
  <c r="C1371" i="2" s="1"/>
  <c r="D457" i="2"/>
  <c r="D456" i="2" s="1"/>
  <c r="G456" i="2"/>
  <c r="E456" i="2"/>
  <c r="C1262" i="2"/>
  <c r="C343" i="2"/>
  <c r="C342" i="2" s="1"/>
  <c r="C884" i="2"/>
  <c r="F456" i="2"/>
  <c r="C457" i="2"/>
  <c r="Q1258" i="1"/>
  <c r="Q1259" i="1"/>
  <c r="Q1260" i="1"/>
  <c r="Q1261" i="1"/>
  <c r="Q1262" i="1"/>
  <c r="Q1263" i="1"/>
  <c r="Q1264" i="1"/>
  <c r="Q1265" i="1"/>
  <c r="Q1266" i="1"/>
  <c r="Q760" i="1" l="1"/>
  <c r="Q761" i="1"/>
  <c r="Q762" i="1"/>
  <c r="Q763" i="1"/>
  <c r="Q764" i="1"/>
  <c r="Q765" i="1"/>
  <c r="Q194" i="1"/>
  <c r="Q195" i="1"/>
  <c r="Q196" i="1"/>
  <c r="Q197" i="1"/>
  <c r="Q198" i="1"/>
  <c r="Q199" i="1"/>
  <c r="Q200" i="1"/>
  <c r="Q201" i="1"/>
  <c r="AD1304" i="2"/>
  <c r="AB1304" i="2"/>
  <c r="AA1304" i="2"/>
  <c r="D1304" i="2"/>
  <c r="E1300" i="2"/>
  <c r="F1300" i="2"/>
  <c r="G1300" i="2"/>
  <c r="H1300" i="2"/>
  <c r="I1300" i="2"/>
  <c r="J1300" i="2"/>
  <c r="K1300" i="2"/>
  <c r="L1300" i="2"/>
  <c r="M1300" i="2"/>
  <c r="N1300" i="2"/>
  <c r="O1300" i="2"/>
  <c r="P1300" i="2"/>
  <c r="Q1300" i="2"/>
  <c r="R1300" i="2"/>
  <c r="S1300" i="2"/>
  <c r="T1300" i="2"/>
  <c r="U1300" i="2"/>
  <c r="V1300" i="2"/>
  <c r="C1304" i="2"/>
  <c r="Y271" i="2"/>
  <c r="Y270" i="2"/>
  <c r="Y815" i="2"/>
  <c r="I1332" i="1"/>
  <c r="K1332" i="1"/>
  <c r="L1332" i="1"/>
  <c r="M1332" i="1"/>
  <c r="N1332" i="1"/>
  <c r="P1332" i="1"/>
  <c r="H1332" i="1"/>
  <c r="Q1336" i="1"/>
  <c r="O1336" i="1"/>
  <c r="O277" i="1"/>
  <c r="A275" i="1" l="1"/>
  <c r="A276" i="1" s="1"/>
  <c r="A278" i="1"/>
  <c r="A279" i="1" s="1"/>
  <c r="A271" i="1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AD240" i="2"/>
  <c r="AD239" i="2"/>
  <c r="D237" i="2"/>
  <c r="D238" i="2"/>
  <c r="D239" i="2"/>
  <c r="D240" i="2"/>
  <c r="D236" i="2"/>
  <c r="C239" i="2"/>
  <c r="C240" i="2"/>
  <c r="W1276" i="2"/>
  <c r="E1275" i="2"/>
  <c r="F1275" i="2"/>
  <c r="G1275" i="2"/>
  <c r="H1275" i="2"/>
  <c r="I1275" i="2"/>
  <c r="J1275" i="2"/>
  <c r="K1275" i="2"/>
  <c r="L1275" i="2"/>
  <c r="M1275" i="2"/>
  <c r="N1275" i="2"/>
  <c r="O1275" i="2"/>
  <c r="P1275" i="2"/>
  <c r="Q1275" i="2"/>
  <c r="R1275" i="2"/>
  <c r="S1275" i="2"/>
  <c r="T1275" i="2"/>
  <c r="U1275" i="2"/>
  <c r="I244" i="1"/>
  <c r="J244" i="1"/>
  <c r="K244" i="1"/>
  <c r="L244" i="1"/>
  <c r="N244" i="1"/>
  <c r="P244" i="1"/>
  <c r="H244" i="1"/>
  <c r="D1341" i="2"/>
  <c r="E1341" i="2"/>
  <c r="F1341" i="2"/>
  <c r="G1341" i="2"/>
  <c r="H1341" i="2"/>
  <c r="I1341" i="2"/>
  <c r="J1341" i="2"/>
  <c r="K1341" i="2"/>
  <c r="L1341" i="2"/>
  <c r="M1341" i="2"/>
  <c r="N1341" i="2"/>
  <c r="O1341" i="2"/>
  <c r="P1341" i="2"/>
  <c r="Q1341" i="2"/>
  <c r="R1341" i="2"/>
  <c r="S1341" i="2"/>
  <c r="T1341" i="2"/>
  <c r="U1341" i="2"/>
  <c r="W1342" i="2"/>
  <c r="C1342" i="2"/>
  <c r="C1341" i="2" s="1"/>
  <c r="D855" i="2"/>
  <c r="E855" i="2"/>
  <c r="F855" i="2"/>
  <c r="G855" i="2"/>
  <c r="H855" i="2"/>
  <c r="I855" i="2"/>
  <c r="J855" i="2"/>
  <c r="K855" i="2"/>
  <c r="L855" i="2"/>
  <c r="M855" i="2"/>
  <c r="N855" i="2"/>
  <c r="O855" i="2"/>
  <c r="P855" i="2"/>
  <c r="Q855" i="2"/>
  <c r="R855" i="2"/>
  <c r="S855" i="2"/>
  <c r="T855" i="2"/>
  <c r="U855" i="2"/>
  <c r="W856" i="2"/>
  <c r="C856" i="2"/>
  <c r="C855" i="2" s="1"/>
  <c r="I1373" i="1"/>
  <c r="J1373" i="1"/>
  <c r="K1373" i="1"/>
  <c r="L1373" i="1"/>
  <c r="M1373" i="1"/>
  <c r="N1373" i="1"/>
  <c r="P1373" i="1"/>
  <c r="H1373" i="1"/>
  <c r="C1346" i="2"/>
  <c r="D1345" i="2"/>
  <c r="E1345" i="2"/>
  <c r="F1345" i="2"/>
  <c r="G1345" i="2"/>
  <c r="H1345" i="2"/>
  <c r="I1345" i="2"/>
  <c r="J1345" i="2"/>
  <c r="K1345" i="2"/>
  <c r="L1345" i="2"/>
  <c r="M1345" i="2"/>
  <c r="N1345" i="2"/>
  <c r="O1345" i="2"/>
  <c r="P1345" i="2"/>
  <c r="Q1345" i="2"/>
  <c r="R1345" i="2"/>
  <c r="S1345" i="2"/>
  <c r="T1345" i="2"/>
  <c r="U1345" i="2"/>
  <c r="V1345" i="2"/>
  <c r="C1345" i="2"/>
  <c r="I545" i="1"/>
  <c r="J545" i="1"/>
  <c r="K545" i="1"/>
  <c r="M545" i="1"/>
  <c r="N545" i="1"/>
  <c r="O545" i="1"/>
  <c r="P545" i="1"/>
  <c r="H545" i="1"/>
  <c r="C466" i="2"/>
  <c r="I537" i="1"/>
  <c r="J537" i="1"/>
  <c r="K537" i="1"/>
  <c r="L537" i="1"/>
  <c r="M537" i="1"/>
  <c r="N537" i="1"/>
  <c r="N536" i="1" s="1"/>
  <c r="O537" i="1"/>
  <c r="P537" i="1"/>
  <c r="H537" i="1"/>
  <c r="C746" i="2"/>
  <c r="C745" i="2"/>
  <c r="C195" i="2"/>
  <c r="N240" i="3"/>
  <c r="N146" i="3"/>
  <c r="N50" i="3"/>
  <c r="W365" i="2"/>
  <c r="W364" i="2"/>
  <c r="D363" i="2"/>
  <c r="E363" i="2"/>
  <c r="F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C365" i="2"/>
  <c r="C364" i="2"/>
  <c r="E901" i="2"/>
  <c r="F901" i="2"/>
  <c r="G901" i="2"/>
  <c r="H901" i="2"/>
  <c r="I901" i="2"/>
  <c r="J901" i="2"/>
  <c r="K901" i="2"/>
  <c r="L901" i="2"/>
  <c r="M901" i="2"/>
  <c r="N901" i="2"/>
  <c r="O901" i="2"/>
  <c r="P901" i="2"/>
  <c r="Q901" i="2"/>
  <c r="R901" i="2"/>
  <c r="S901" i="2"/>
  <c r="T901" i="2"/>
  <c r="U901" i="2"/>
  <c r="V901" i="2"/>
  <c r="Y903" i="2"/>
  <c r="X902" i="2"/>
  <c r="D903" i="2"/>
  <c r="D902" i="2"/>
  <c r="C903" i="2"/>
  <c r="C902" i="2"/>
  <c r="E1391" i="2"/>
  <c r="F1391" i="2"/>
  <c r="G1391" i="2"/>
  <c r="H1391" i="2"/>
  <c r="I1391" i="2"/>
  <c r="J1391" i="2"/>
  <c r="K1391" i="2"/>
  <c r="L1391" i="2"/>
  <c r="M1391" i="2"/>
  <c r="N1391" i="2"/>
  <c r="O1391" i="2"/>
  <c r="P1391" i="2"/>
  <c r="Q1391" i="2"/>
  <c r="R1391" i="2"/>
  <c r="S1391" i="2"/>
  <c r="T1391" i="2"/>
  <c r="U1391" i="2"/>
  <c r="Y1393" i="2"/>
  <c r="W1392" i="2"/>
  <c r="D1393" i="2"/>
  <c r="D1392" i="2"/>
  <c r="C1393" i="2"/>
  <c r="C1392" i="2"/>
  <c r="I1423" i="1"/>
  <c r="J1423" i="1"/>
  <c r="K1423" i="1"/>
  <c r="L1423" i="1"/>
  <c r="M1423" i="1"/>
  <c r="N1423" i="1"/>
  <c r="O1423" i="1"/>
  <c r="P1423" i="1"/>
  <c r="H1423" i="1"/>
  <c r="Q1424" i="1"/>
  <c r="Q1425" i="1"/>
  <c r="I926" i="1"/>
  <c r="J926" i="1"/>
  <c r="K926" i="1"/>
  <c r="D146" i="3" s="1"/>
  <c r="L926" i="1"/>
  <c r="M926" i="1"/>
  <c r="N926" i="1"/>
  <c r="O926" i="1"/>
  <c r="P926" i="1"/>
  <c r="H926" i="1"/>
  <c r="C146" i="3" s="1"/>
  <c r="Q927" i="1"/>
  <c r="Q928" i="1"/>
  <c r="I373" i="1"/>
  <c r="J373" i="1"/>
  <c r="K373" i="1"/>
  <c r="L373" i="1"/>
  <c r="M373" i="1"/>
  <c r="N373" i="1"/>
  <c r="O373" i="1"/>
  <c r="P373" i="1"/>
  <c r="H373" i="1"/>
  <c r="Q374" i="1"/>
  <c r="Q375" i="1"/>
  <c r="E132" i="3"/>
  <c r="F132" i="3"/>
  <c r="G132" i="3"/>
  <c r="H132" i="3"/>
  <c r="J132" i="3"/>
  <c r="K132" i="3"/>
  <c r="L132" i="3"/>
  <c r="E226" i="3"/>
  <c r="F226" i="3"/>
  <c r="G226" i="3"/>
  <c r="H226" i="3"/>
  <c r="J226" i="3"/>
  <c r="K226" i="3"/>
  <c r="L226" i="3"/>
  <c r="W318" i="2"/>
  <c r="W319" i="2"/>
  <c r="W320" i="2"/>
  <c r="W321" i="2"/>
  <c r="W317" i="2"/>
  <c r="D316" i="2"/>
  <c r="D315" i="2" s="1"/>
  <c r="E316" i="2"/>
  <c r="E315" i="2" s="1"/>
  <c r="F316" i="2"/>
  <c r="F315" i="2" s="1"/>
  <c r="G316" i="2"/>
  <c r="G315" i="2" s="1"/>
  <c r="H316" i="2"/>
  <c r="H315" i="2" s="1"/>
  <c r="I316" i="2"/>
  <c r="I315" i="2" s="1"/>
  <c r="J316" i="2"/>
  <c r="J315" i="2" s="1"/>
  <c r="K316" i="2"/>
  <c r="K315" i="2" s="1"/>
  <c r="L316" i="2"/>
  <c r="L315" i="2" s="1"/>
  <c r="M316" i="2"/>
  <c r="M315" i="2" s="1"/>
  <c r="N316" i="2"/>
  <c r="N315" i="2" s="1"/>
  <c r="O316" i="2"/>
  <c r="O315" i="2" s="1"/>
  <c r="P316" i="2"/>
  <c r="P315" i="2" s="1"/>
  <c r="Q316" i="2"/>
  <c r="Q315" i="2" s="1"/>
  <c r="R316" i="2"/>
  <c r="R315" i="2" s="1"/>
  <c r="S316" i="2"/>
  <c r="S315" i="2" s="1"/>
  <c r="T316" i="2"/>
  <c r="T315" i="2" s="1"/>
  <c r="U316" i="2"/>
  <c r="U315" i="2" s="1"/>
  <c r="C318" i="2"/>
  <c r="C319" i="2"/>
  <c r="C320" i="2"/>
  <c r="C321" i="2"/>
  <c r="C317" i="2"/>
  <c r="V862" i="2"/>
  <c r="D863" i="2"/>
  <c r="D862" i="2" s="1"/>
  <c r="E863" i="2"/>
  <c r="E862" i="2" s="1"/>
  <c r="F863" i="2"/>
  <c r="F862" i="2" s="1"/>
  <c r="G863" i="2"/>
  <c r="G862" i="2" s="1"/>
  <c r="H863" i="2"/>
  <c r="H862" i="2" s="1"/>
  <c r="I863" i="2"/>
  <c r="I862" i="2" s="1"/>
  <c r="J863" i="2"/>
  <c r="J862" i="2" s="1"/>
  <c r="K863" i="2"/>
  <c r="K862" i="2" s="1"/>
  <c r="L863" i="2"/>
  <c r="L862" i="2" s="1"/>
  <c r="M863" i="2"/>
  <c r="M862" i="2" s="1"/>
  <c r="N863" i="2"/>
  <c r="N862" i="2" s="1"/>
  <c r="O863" i="2"/>
  <c r="O862" i="2" s="1"/>
  <c r="P863" i="2"/>
  <c r="P862" i="2" s="1"/>
  <c r="Q863" i="2"/>
  <c r="Q862" i="2" s="1"/>
  <c r="R863" i="2"/>
  <c r="R862" i="2" s="1"/>
  <c r="S863" i="2"/>
  <c r="S862" i="2" s="1"/>
  <c r="T863" i="2"/>
  <c r="T862" i="2" s="1"/>
  <c r="U863" i="2"/>
  <c r="U862" i="2" s="1"/>
  <c r="W864" i="2"/>
  <c r="C864" i="2"/>
  <c r="C863" i="2" s="1"/>
  <c r="C862" i="2" s="1"/>
  <c r="D1352" i="2"/>
  <c r="D1351" i="2" s="1"/>
  <c r="E1352" i="2"/>
  <c r="E1351" i="2" s="1"/>
  <c r="F1352" i="2"/>
  <c r="F1351" i="2" s="1"/>
  <c r="G1352" i="2"/>
  <c r="G1351" i="2" s="1"/>
  <c r="H1352" i="2"/>
  <c r="H1351" i="2" s="1"/>
  <c r="I1352" i="2"/>
  <c r="I1351" i="2" s="1"/>
  <c r="J1352" i="2"/>
  <c r="J1351" i="2" s="1"/>
  <c r="K1352" i="2"/>
  <c r="K1351" i="2" s="1"/>
  <c r="L1352" i="2"/>
  <c r="L1351" i="2" s="1"/>
  <c r="M1352" i="2"/>
  <c r="M1351" i="2" s="1"/>
  <c r="N1352" i="2"/>
  <c r="N1351" i="2" s="1"/>
  <c r="O1352" i="2"/>
  <c r="O1351" i="2" s="1"/>
  <c r="P1352" i="2"/>
  <c r="P1351" i="2" s="1"/>
  <c r="Q1352" i="2"/>
  <c r="Q1351" i="2" s="1"/>
  <c r="R1352" i="2"/>
  <c r="R1351" i="2" s="1"/>
  <c r="S1352" i="2"/>
  <c r="S1351" i="2" s="1"/>
  <c r="T1352" i="2"/>
  <c r="T1351" i="2" s="1"/>
  <c r="U1352" i="2"/>
  <c r="U1351" i="2" s="1"/>
  <c r="V1352" i="2"/>
  <c r="V1351" i="2" s="1"/>
  <c r="W1353" i="2"/>
  <c r="C1353" i="2"/>
  <c r="C1352" i="2" s="1"/>
  <c r="C1351" i="2" s="1"/>
  <c r="O1384" i="1"/>
  <c r="I1384" i="1"/>
  <c r="J1384" i="1"/>
  <c r="K1384" i="1"/>
  <c r="L1384" i="1"/>
  <c r="M1384" i="1"/>
  <c r="N1384" i="1"/>
  <c r="H1384" i="1"/>
  <c r="I887" i="1"/>
  <c r="J887" i="1"/>
  <c r="K887" i="1"/>
  <c r="L887" i="1"/>
  <c r="M887" i="1"/>
  <c r="N887" i="1"/>
  <c r="O887" i="1"/>
  <c r="H887" i="1"/>
  <c r="Q329" i="1"/>
  <c r="I204" i="3"/>
  <c r="N111" i="3"/>
  <c r="I111" i="3"/>
  <c r="N13" i="3"/>
  <c r="I13" i="3"/>
  <c r="X250" i="2"/>
  <c r="D250" i="2"/>
  <c r="D249" i="2"/>
  <c r="Y249" i="2"/>
  <c r="X249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C250" i="2"/>
  <c r="C24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U799" i="2"/>
  <c r="X801" i="2"/>
  <c r="D801" i="2"/>
  <c r="D800" i="2"/>
  <c r="Y800" i="2"/>
  <c r="X800" i="2"/>
  <c r="C801" i="2"/>
  <c r="C800" i="2"/>
  <c r="D1288" i="2"/>
  <c r="E1288" i="2"/>
  <c r="F1288" i="2"/>
  <c r="G1288" i="2"/>
  <c r="H1288" i="2"/>
  <c r="I1288" i="2"/>
  <c r="J1288" i="2"/>
  <c r="K1288" i="2"/>
  <c r="L1288" i="2"/>
  <c r="M1288" i="2"/>
  <c r="N1288" i="2"/>
  <c r="O1288" i="2"/>
  <c r="P1288" i="2"/>
  <c r="Q1288" i="2"/>
  <c r="R1288" i="2"/>
  <c r="S1288" i="2"/>
  <c r="T1288" i="2"/>
  <c r="U1288" i="2"/>
  <c r="V1288" i="2"/>
  <c r="X1289" i="2"/>
  <c r="C1289" i="2"/>
  <c r="C1288" i="2" s="1"/>
  <c r="I1320" i="1"/>
  <c r="J1320" i="1"/>
  <c r="K1320" i="1"/>
  <c r="L1320" i="1"/>
  <c r="M1320" i="1"/>
  <c r="N1320" i="1"/>
  <c r="O1320" i="1"/>
  <c r="P1320" i="1"/>
  <c r="H1320" i="1"/>
  <c r="Q1321" i="1"/>
  <c r="I822" i="1"/>
  <c r="J822" i="1"/>
  <c r="K822" i="1"/>
  <c r="L822" i="1"/>
  <c r="M822" i="1"/>
  <c r="N822" i="1"/>
  <c r="O822" i="1"/>
  <c r="P822" i="1"/>
  <c r="H822" i="1"/>
  <c r="Q823" i="1"/>
  <c r="Q824" i="1"/>
  <c r="I257" i="1"/>
  <c r="J257" i="1"/>
  <c r="K257" i="1"/>
  <c r="L257" i="1"/>
  <c r="M257" i="1"/>
  <c r="N257" i="1"/>
  <c r="O257" i="1"/>
  <c r="P257" i="1"/>
  <c r="H257" i="1"/>
  <c r="Q248" i="1"/>
  <c r="Q249" i="1"/>
  <c r="Q258" i="1"/>
  <c r="Q259" i="1"/>
  <c r="I536" i="1" l="1"/>
  <c r="M536" i="1"/>
  <c r="P536" i="1"/>
  <c r="O536" i="1"/>
  <c r="C13" i="3"/>
  <c r="D13" i="3"/>
  <c r="D133" i="3"/>
  <c r="D132" i="3" s="1"/>
  <c r="M227" i="3"/>
  <c r="M226" i="3" s="1"/>
  <c r="D78" i="3"/>
  <c r="C221" i="3"/>
  <c r="L221" i="3"/>
  <c r="N221" i="3" s="1"/>
  <c r="C111" i="3"/>
  <c r="D111" i="3"/>
  <c r="C204" i="3"/>
  <c r="D204" i="3"/>
  <c r="C133" i="3"/>
  <c r="C132" i="3" s="1"/>
  <c r="M133" i="3"/>
  <c r="M132" i="3" s="1"/>
  <c r="C227" i="3"/>
  <c r="C226" i="3" s="1"/>
  <c r="D227" i="3"/>
  <c r="D226" i="3" s="1"/>
  <c r="C50" i="3"/>
  <c r="D50" i="3"/>
  <c r="C240" i="3"/>
  <c r="D240" i="3"/>
  <c r="H536" i="1"/>
  <c r="K536" i="1"/>
  <c r="C78" i="3"/>
  <c r="D221" i="3"/>
  <c r="J536" i="1"/>
  <c r="D799" i="2"/>
  <c r="D235" i="2"/>
  <c r="Q580" i="1"/>
  <c r="C500" i="2"/>
  <c r="Q578" i="1"/>
  <c r="C498" i="2"/>
  <c r="Q576" i="1"/>
  <c r="C496" i="2"/>
  <c r="Q574" i="1"/>
  <c r="C494" i="2"/>
  <c r="Q572" i="1"/>
  <c r="C492" i="2"/>
  <c r="Q570" i="1"/>
  <c r="C490" i="2"/>
  <c r="Q568" i="1"/>
  <c r="C488" i="2"/>
  <c r="Q566" i="1"/>
  <c r="C486" i="2"/>
  <c r="Q564" i="1"/>
  <c r="C484" i="2"/>
  <c r="Q562" i="1"/>
  <c r="C482" i="2"/>
  <c r="Q558" i="1"/>
  <c r="C478" i="2"/>
  <c r="Q556" i="1"/>
  <c r="C476" i="2"/>
  <c r="Q554" i="1"/>
  <c r="C474" i="2"/>
  <c r="Q552" i="1"/>
  <c r="C472" i="2"/>
  <c r="Q550" i="1"/>
  <c r="C470" i="2"/>
  <c r="Q548" i="1"/>
  <c r="C468" i="2"/>
  <c r="Q559" i="1"/>
  <c r="C479" i="2"/>
  <c r="Q579" i="1"/>
  <c r="C499" i="2"/>
  <c r="Q577" i="1"/>
  <c r="C497" i="2"/>
  <c r="Q575" i="1"/>
  <c r="C495" i="2"/>
  <c r="Q573" i="1"/>
  <c r="C493" i="2"/>
  <c r="Q571" i="1"/>
  <c r="C491" i="2"/>
  <c r="Q569" i="1"/>
  <c r="C489" i="2"/>
  <c r="Q567" i="1"/>
  <c r="C487" i="2"/>
  <c r="Q565" i="1"/>
  <c r="C485" i="2"/>
  <c r="Q563" i="1"/>
  <c r="C483" i="2"/>
  <c r="Q560" i="1"/>
  <c r="C480" i="2"/>
  <c r="Q557" i="1"/>
  <c r="C477" i="2"/>
  <c r="Q555" i="1"/>
  <c r="C475" i="2"/>
  <c r="Q553" i="1"/>
  <c r="C473" i="2"/>
  <c r="Q551" i="1"/>
  <c r="C471" i="2"/>
  <c r="Q549" i="1"/>
  <c r="C469" i="2"/>
  <c r="Q547" i="1"/>
  <c r="C467" i="2"/>
  <c r="Q561" i="1"/>
  <c r="C481" i="2"/>
  <c r="D1391" i="2"/>
  <c r="D901" i="2"/>
  <c r="L545" i="1"/>
  <c r="Q546" i="1"/>
  <c r="C1391" i="2"/>
  <c r="C363" i="2"/>
  <c r="C901" i="2"/>
  <c r="C316" i="2"/>
  <c r="C315" i="2" s="1"/>
  <c r="C799" i="2"/>
  <c r="C248" i="2"/>
  <c r="D248" i="2"/>
  <c r="E248" i="2"/>
  <c r="L216" i="3" l="1"/>
  <c r="M78" i="3"/>
  <c r="L536" i="1"/>
  <c r="C465" i="2"/>
  <c r="C456" i="2" s="1"/>
  <c r="I223" i="3"/>
  <c r="M32" i="3"/>
  <c r="N32" i="3" s="1"/>
  <c r="D32" i="3"/>
  <c r="C32" i="3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C310" i="2"/>
  <c r="C309" i="2" s="1"/>
  <c r="W1346" i="2"/>
  <c r="I1377" i="1"/>
  <c r="J1377" i="1"/>
  <c r="K1377" i="1"/>
  <c r="L1377" i="1"/>
  <c r="M1377" i="1"/>
  <c r="N1377" i="1"/>
  <c r="O1377" i="1"/>
  <c r="P1377" i="1"/>
  <c r="H1377" i="1"/>
  <c r="Q1378" i="1"/>
  <c r="I318" i="1"/>
  <c r="J318" i="1"/>
  <c r="K318" i="1"/>
  <c r="L318" i="1"/>
  <c r="M318" i="1"/>
  <c r="N318" i="1"/>
  <c r="O318" i="1"/>
  <c r="P318" i="1"/>
  <c r="H318" i="1"/>
  <c r="Q319" i="1"/>
  <c r="N242" i="3"/>
  <c r="N280" i="3"/>
  <c r="E1515" i="2"/>
  <c r="F1515" i="2"/>
  <c r="G1515" i="2"/>
  <c r="H1515" i="2"/>
  <c r="I1515" i="2"/>
  <c r="J1515" i="2"/>
  <c r="K1515" i="2"/>
  <c r="L1515" i="2"/>
  <c r="M1515" i="2"/>
  <c r="N1515" i="2"/>
  <c r="O1515" i="2"/>
  <c r="P1515" i="2"/>
  <c r="Q1515" i="2"/>
  <c r="R1515" i="2"/>
  <c r="S1515" i="2"/>
  <c r="T1515" i="2"/>
  <c r="U1515" i="2"/>
  <c r="C1516" i="2"/>
  <c r="C1515" i="2" s="1"/>
  <c r="C416" i="2"/>
  <c r="C415" i="2"/>
  <c r="D224" i="3"/>
  <c r="E224" i="3"/>
  <c r="F224" i="3"/>
  <c r="G224" i="3"/>
  <c r="H224" i="3"/>
  <c r="J224" i="3"/>
  <c r="K224" i="3"/>
  <c r="L224" i="3"/>
  <c r="M224" i="3"/>
  <c r="C224" i="3"/>
  <c r="D130" i="3"/>
  <c r="E130" i="3"/>
  <c r="F130" i="3"/>
  <c r="G130" i="3"/>
  <c r="H130" i="3"/>
  <c r="J130" i="3"/>
  <c r="K130" i="3"/>
  <c r="L130" i="3"/>
  <c r="M130" i="3"/>
  <c r="C130" i="3"/>
  <c r="V858" i="2"/>
  <c r="C860" i="2"/>
  <c r="C1349" i="2"/>
  <c r="AA227" i="2"/>
  <c r="W309" i="2" l="1"/>
  <c r="C223" i="3"/>
  <c r="D223" i="3"/>
  <c r="M223" i="3"/>
  <c r="N223" i="3" s="1"/>
  <c r="AF385" i="2"/>
  <c r="AF384" i="2"/>
  <c r="AF379" i="2"/>
  <c r="AF377" i="2"/>
  <c r="AF378" i="2"/>
  <c r="AF376" i="2"/>
  <c r="D375" i="2"/>
  <c r="E375" i="2"/>
  <c r="F375" i="2"/>
  <c r="G375" i="2"/>
  <c r="H375" i="2"/>
  <c r="I375" i="2"/>
  <c r="J375" i="2"/>
  <c r="K375" i="2"/>
  <c r="L375" i="2"/>
  <c r="M375" i="2"/>
  <c r="N375" i="2"/>
  <c r="O375" i="2"/>
  <c r="P375" i="2"/>
  <c r="Q375" i="2"/>
  <c r="R375" i="2"/>
  <c r="S375" i="2"/>
  <c r="T375" i="2"/>
  <c r="U375" i="2"/>
  <c r="V375" i="2"/>
  <c r="W383" i="2"/>
  <c r="W382" i="2"/>
  <c r="W381" i="2"/>
  <c r="W380" i="2"/>
  <c r="C377" i="2"/>
  <c r="C378" i="2"/>
  <c r="C379" i="2"/>
  <c r="C380" i="2"/>
  <c r="C381" i="2"/>
  <c r="C382" i="2"/>
  <c r="C383" i="2"/>
  <c r="C384" i="2"/>
  <c r="C385" i="2"/>
  <c r="C376" i="2"/>
  <c r="D913" i="2"/>
  <c r="E913" i="2"/>
  <c r="F913" i="2"/>
  <c r="G913" i="2"/>
  <c r="H913" i="2"/>
  <c r="I913" i="2"/>
  <c r="J913" i="2"/>
  <c r="K913" i="2"/>
  <c r="L913" i="2"/>
  <c r="N913" i="2"/>
  <c r="O913" i="2"/>
  <c r="P913" i="2"/>
  <c r="Q913" i="2"/>
  <c r="R913" i="2"/>
  <c r="S913" i="2"/>
  <c r="T913" i="2"/>
  <c r="U913" i="2"/>
  <c r="C915" i="2"/>
  <c r="M915" i="2" s="1"/>
  <c r="AF915" i="2" s="1"/>
  <c r="C916" i="2"/>
  <c r="M916" i="2" s="1"/>
  <c r="AF916" i="2" s="1"/>
  <c r="C917" i="2"/>
  <c r="M917" i="2" s="1"/>
  <c r="AF917" i="2" s="1"/>
  <c r="C918" i="2"/>
  <c r="M918" i="2" s="1"/>
  <c r="AF918" i="2" s="1"/>
  <c r="C919" i="2"/>
  <c r="M919" i="2" s="1"/>
  <c r="AF919" i="2" s="1"/>
  <c r="C914" i="2"/>
  <c r="C1405" i="2"/>
  <c r="O1405" i="2" s="1"/>
  <c r="C1406" i="2"/>
  <c r="O1406" i="2" s="1"/>
  <c r="C1407" i="2"/>
  <c r="O1407" i="2" s="1"/>
  <c r="C1408" i="2"/>
  <c r="O1408" i="2" s="1"/>
  <c r="C1409" i="2"/>
  <c r="O1409" i="2" s="1"/>
  <c r="C1410" i="2"/>
  <c r="O1410" i="2" s="1"/>
  <c r="C1411" i="2"/>
  <c r="O1411" i="2" s="1"/>
  <c r="C1412" i="2"/>
  <c r="O1412" i="2" s="1"/>
  <c r="C1413" i="2"/>
  <c r="O1413" i="2" s="1"/>
  <c r="C1414" i="2"/>
  <c r="O1414" i="2" s="1"/>
  <c r="C1404" i="2"/>
  <c r="O1404" i="2" s="1"/>
  <c r="D1403" i="2"/>
  <c r="E1403" i="2"/>
  <c r="F1403" i="2"/>
  <c r="G1403" i="2"/>
  <c r="H1403" i="2"/>
  <c r="I1403" i="2"/>
  <c r="J1403" i="2"/>
  <c r="K1403" i="2"/>
  <c r="L1403" i="2"/>
  <c r="M1403" i="2"/>
  <c r="N1403" i="2"/>
  <c r="P1403" i="2"/>
  <c r="Q1403" i="2"/>
  <c r="R1403" i="2"/>
  <c r="S1403" i="2"/>
  <c r="T1403" i="2"/>
  <c r="U1403" i="2"/>
  <c r="V1403" i="2"/>
  <c r="I1435" i="1"/>
  <c r="K1435" i="1"/>
  <c r="L1435" i="1"/>
  <c r="M1435" i="1"/>
  <c r="N1435" i="1"/>
  <c r="P1435" i="1"/>
  <c r="H1435" i="1"/>
  <c r="Q1445" i="1"/>
  <c r="Q1446" i="1"/>
  <c r="O1445" i="1"/>
  <c r="O1446" i="1"/>
  <c r="I938" i="1"/>
  <c r="K938" i="1"/>
  <c r="L938" i="1"/>
  <c r="M938" i="1"/>
  <c r="N938" i="1"/>
  <c r="P938" i="1"/>
  <c r="H938" i="1"/>
  <c r="O391" i="1"/>
  <c r="Q391" i="1"/>
  <c r="H385" i="1"/>
  <c r="J393" i="1"/>
  <c r="O1403" i="2" l="1"/>
  <c r="C375" i="2"/>
  <c r="C1403" i="2"/>
  <c r="C913" i="2"/>
  <c r="M914" i="2"/>
  <c r="V1290" i="2"/>
  <c r="C1293" i="2"/>
  <c r="C1294" i="2"/>
  <c r="C1295" i="2"/>
  <c r="C1292" i="2"/>
  <c r="C805" i="2"/>
  <c r="C804" i="2"/>
  <c r="C254" i="2"/>
  <c r="C255" i="2"/>
  <c r="C256" i="2"/>
  <c r="C257" i="2"/>
  <c r="C258" i="2"/>
  <c r="C259" i="2"/>
  <c r="C253" i="2"/>
  <c r="M913" i="2" l="1"/>
  <c r="AF914" i="2"/>
  <c r="W1425" i="2"/>
  <c r="W1426" i="2"/>
  <c r="W1424" i="2"/>
  <c r="H949" i="1"/>
  <c r="H909" i="1"/>
  <c r="C143" i="3" l="1"/>
  <c r="D524" i="2"/>
  <c r="E524" i="2"/>
  <c r="F524" i="2"/>
  <c r="G524" i="2"/>
  <c r="H524" i="2"/>
  <c r="I524" i="2"/>
  <c r="J524" i="2"/>
  <c r="K524" i="2"/>
  <c r="L524" i="2"/>
  <c r="M524" i="2"/>
  <c r="N524" i="2"/>
  <c r="O524" i="2"/>
  <c r="P524" i="2"/>
  <c r="Q524" i="2"/>
  <c r="R524" i="2"/>
  <c r="S524" i="2"/>
  <c r="T524" i="2"/>
  <c r="U524" i="2"/>
  <c r="V524" i="2"/>
  <c r="W525" i="2"/>
  <c r="C525" i="2"/>
  <c r="C524" i="2" s="1"/>
  <c r="E18" i="3" l="1"/>
  <c r="F18" i="3"/>
  <c r="G18" i="3"/>
  <c r="H18" i="3"/>
  <c r="J18" i="3"/>
  <c r="K18" i="3"/>
  <c r="L18" i="3"/>
  <c r="W1303" i="2"/>
  <c r="W1302" i="2"/>
  <c r="AA1301" i="2"/>
  <c r="D1302" i="2"/>
  <c r="D1303" i="2"/>
  <c r="D1301" i="2"/>
  <c r="E1299" i="2"/>
  <c r="F1299" i="2"/>
  <c r="G1299" i="2"/>
  <c r="H1299" i="2"/>
  <c r="I1299" i="2"/>
  <c r="J1299" i="2"/>
  <c r="K1299" i="2"/>
  <c r="L1299" i="2"/>
  <c r="M1299" i="2"/>
  <c r="N1299" i="2"/>
  <c r="O1299" i="2"/>
  <c r="P1299" i="2"/>
  <c r="Q1299" i="2"/>
  <c r="R1299" i="2"/>
  <c r="S1299" i="2"/>
  <c r="T1299" i="2"/>
  <c r="U1299" i="2"/>
  <c r="C1302" i="2"/>
  <c r="C1303" i="2"/>
  <c r="C1301" i="2"/>
  <c r="Y817" i="2"/>
  <c r="W817" i="2"/>
  <c r="AD816" i="2"/>
  <c r="AB816" i="2"/>
  <c r="AA816" i="2"/>
  <c r="Y816" i="2"/>
  <c r="W815" i="2"/>
  <c r="AD814" i="2"/>
  <c r="AB814" i="2"/>
  <c r="AA814" i="2"/>
  <c r="Y814" i="2"/>
  <c r="D814" i="2"/>
  <c r="D815" i="2"/>
  <c r="D816" i="2"/>
  <c r="D817" i="2"/>
  <c r="D813" i="2"/>
  <c r="E812" i="2"/>
  <c r="F812" i="2"/>
  <c r="G812" i="2"/>
  <c r="H812" i="2"/>
  <c r="I812" i="2"/>
  <c r="J812" i="2"/>
  <c r="K812" i="2"/>
  <c r="L812" i="2"/>
  <c r="M812" i="2"/>
  <c r="N812" i="2"/>
  <c r="O812" i="2"/>
  <c r="P812" i="2"/>
  <c r="Q812" i="2"/>
  <c r="R812" i="2"/>
  <c r="S812" i="2"/>
  <c r="T812" i="2"/>
  <c r="U812" i="2"/>
  <c r="C814" i="2"/>
  <c r="C815" i="2"/>
  <c r="C816" i="2"/>
  <c r="C817" i="2"/>
  <c r="C813" i="2"/>
  <c r="X271" i="2"/>
  <c r="W269" i="2"/>
  <c r="X268" i="2"/>
  <c r="X267" i="2"/>
  <c r="W266" i="2"/>
  <c r="W265" i="2"/>
  <c r="W264" i="2"/>
  <c r="W263" i="2"/>
  <c r="AD262" i="2"/>
  <c r="AB262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C263" i="2"/>
  <c r="C264" i="2"/>
  <c r="C265" i="2"/>
  <c r="C266" i="2"/>
  <c r="C267" i="2"/>
  <c r="C268" i="2"/>
  <c r="C269" i="2"/>
  <c r="C270" i="2"/>
  <c r="C271" i="2"/>
  <c r="C262" i="2"/>
  <c r="D263" i="2"/>
  <c r="D264" i="2"/>
  <c r="D265" i="2"/>
  <c r="D266" i="2"/>
  <c r="D267" i="2"/>
  <c r="D268" i="2"/>
  <c r="D269" i="2"/>
  <c r="D270" i="2"/>
  <c r="D271" i="2"/>
  <c r="D262" i="2"/>
  <c r="D208" i="3"/>
  <c r="D207" i="3" s="1"/>
  <c r="M208" i="3"/>
  <c r="M207" i="3" s="1"/>
  <c r="C208" i="3"/>
  <c r="O1334" i="1"/>
  <c r="O1335" i="1"/>
  <c r="J1335" i="1"/>
  <c r="J1334" i="1"/>
  <c r="J1333" i="1"/>
  <c r="O837" i="1"/>
  <c r="O838" i="1"/>
  <c r="O839" i="1"/>
  <c r="O840" i="1"/>
  <c r="J840" i="1"/>
  <c r="J839" i="1"/>
  <c r="J838" i="1"/>
  <c r="J837" i="1"/>
  <c r="J836" i="1"/>
  <c r="Q274" i="1"/>
  <c r="Q275" i="1"/>
  <c r="Q276" i="1"/>
  <c r="Q277" i="1"/>
  <c r="Q278" i="1"/>
  <c r="O280" i="1"/>
  <c r="O279" i="1"/>
  <c r="O272" i="1"/>
  <c r="O273" i="1"/>
  <c r="O274" i="1"/>
  <c r="O275" i="1"/>
  <c r="O276" i="1"/>
  <c r="O278" i="1"/>
  <c r="J280" i="1"/>
  <c r="J279" i="1"/>
  <c r="J278" i="1"/>
  <c r="J277" i="1"/>
  <c r="J276" i="1"/>
  <c r="J275" i="1"/>
  <c r="J274" i="1"/>
  <c r="J273" i="1"/>
  <c r="J272" i="1"/>
  <c r="J271" i="1"/>
  <c r="J1332" i="1" l="1"/>
  <c r="D1300" i="2"/>
  <c r="C1300" i="2"/>
  <c r="C1299" i="2" s="1"/>
  <c r="C261" i="2"/>
  <c r="C812" i="2"/>
  <c r="D1299" i="2"/>
  <c r="D812" i="2"/>
  <c r="D261" i="2"/>
  <c r="V857" i="2"/>
  <c r="W1344" i="2"/>
  <c r="D1343" i="2"/>
  <c r="E1343" i="2"/>
  <c r="F1343" i="2"/>
  <c r="G1343" i="2"/>
  <c r="H1343" i="2"/>
  <c r="I1343" i="2"/>
  <c r="J1343" i="2"/>
  <c r="K1343" i="2"/>
  <c r="L1343" i="2"/>
  <c r="M1343" i="2"/>
  <c r="N1343" i="2"/>
  <c r="O1343" i="2"/>
  <c r="P1343" i="2"/>
  <c r="Q1343" i="2"/>
  <c r="R1343" i="2"/>
  <c r="S1343" i="2"/>
  <c r="T1343" i="2"/>
  <c r="U1343" i="2"/>
  <c r="C1343" i="2"/>
  <c r="N260" i="3"/>
  <c r="N71" i="3"/>
  <c r="E1457" i="2"/>
  <c r="F1457" i="2"/>
  <c r="G1457" i="2"/>
  <c r="H1457" i="2"/>
  <c r="I1457" i="2"/>
  <c r="J1457" i="2"/>
  <c r="K1457" i="2"/>
  <c r="L1457" i="2"/>
  <c r="M1457" i="2"/>
  <c r="N1457" i="2"/>
  <c r="O1457" i="2"/>
  <c r="P1457" i="2"/>
  <c r="Q1457" i="2"/>
  <c r="R1457" i="2"/>
  <c r="S1457" i="2"/>
  <c r="T1457" i="2"/>
  <c r="U1457" i="2"/>
  <c r="AB1458" i="2"/>
  <c r="D1458" i="2"/>
  <c r="D1457" i="2" s="1"/>
  <c r="C1458" i="2"/>
  <c r="C1457" i="2" s="1"/>
  <c r="D438" i="2"/>
  <c r="E438" i="2"/>
  <c r="F438" i="2"/>
  <c r="G438" i="2"/>
  <c r="H438" i="2"/>
  <c r="I438" i="2"/>
  <c r="J438" i="2"/>
  <c r="K438" i="2"/>
  <c r="L438" i="2"/>
  <c r="M438" i="2"/>
  <c r="N438" i="2"/>
  <c r="O438" i="2"/>
  <c r="P438" i="2"/>
  <c r="Q438" i="2"/>
  <c r="R438" i="2"/>
  <c r="S438" i="2"/>
  <c r="T438" i="2"/>
  <c r="U438" i="2"/>
  <c r="V438" i="2"/>
  <c r="W439" i="2"/>
  <c r="C439" i="2"/>
  <c r="C438" i="2" s="1"/>
  <c r="D1499" i="2"/>
  <c r="E1499" i="2"/>
  <c r="F1499" i="2"/>
  <c r="G1499" i="2"/>
  <c r="H1499" i="2"/>
  <c r="I1499" i="2"/>
  <c r="J1499" i="2"/>
  <c r="K1499" i="2"/>
  <c r="L1499" i="2"/>
  <c r="M1499" i="2"/>
  <c r="N1499" i="2"/>
  <c r="O1499" i="2"/>
  <c r="P1499" i="2"/>
  <c r="Q1499" i="2"/>
  <c r="R1499" i="2"/>
  <c r="S1499" i="2"/>
  <c r="T1499" i="2"/>
  <c r="U1499" i="2"/>
  <c r="H1523" i="1"/>
  <c r="I1523" i="1"/>
  <c r="J1523" i="1"/>
  <c r="K1523" i="1"/>
  <c r="L1523" i="1"/>
  <c r="M1523" i="1"/>
  <c r="N1523" i="1"/>
  <c r="O1523" i="1"/>
  <c r="P1523" i="1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C304" i="2"/>
  <c r="C303" i="2" s="1"/>
  <c r="D851" i="2"/>
  <c r="E851" i="2"/>
  <c r="F851" i="2"/>
  <c r="G851" i="2"/>
  <c r="H851" i="2"/>
  <c r="I851" i="2"/>
  <c r="J851" i="2"/>
  <c r="K851" i="2"/>
  <c r="L851" i="2"/>
  <c r="M851" i="2"/>
  <c r="N851" i="2"/>
  <c r="O851" i="2"/>
  <c r="P851" i="2"/>
  <c r="Q851" i="2"/>
  <c r="R851" i="2"/>
  <c r="S851" i="2"/>
  <c r="T851" i="2"/>
  <c r="U851" i="2"/>
  <c r="V851" i="2"/>
  <c r="W852" i="2"/>
  <c r="C852" i="2"/>
  <c r="C851" i="2" s="1"/>
  <c r="W1339" i="2"/>
  <c r="W1338" i="2"/>
  <c r="D1337" i="2"/>
  <c r="E1337" i="2"/>
  <c r="F1337" i="2"/>
  <c r="G1337" i="2"/>
  <c r="H1337" i="2"/>
  <c r="I1337" i="2"/>
  <c r="J1337" i="2"/>
  <c r="K1337" i="2"/>
  <c r="L1337" i="2"/>
  <c r="M1337" i="2"/>
  <c r="N1337" i="2"/>
  <c r="O1337" i="2"/>
  <c r="P1337" i="2"/>
  <c r="Q1337" i="2"/>
  <c r="R1337" i="2"/>
  <c r="S1337" i="2"/>
  <c r="T1337" i="2"/>
  <c r="U1337" i="2"/>
  <c r="V1337" i="2"/>
  <c r="C1339" i="2"/>
  <c r="C1338" i="2"/>
  <c r="I874" i="1"/>
  <c r="J874" i="1"/>
  <c r="K874" i="1"/>
  <c r="L874" i="1"/>
  <c r="M874" i="1"/>
  <c r="N874" i="1"/>
  <c r="P874" i="1"/>
  <c r="H874" i="1"/>
  <c r="I312" i="1"/>
  <c r="J312" i="1"/>
  <c r="K312" i="1"/>
  <c r="L312" i="1"/>
  <c r="M312" i="1"/>
  <c r="N312" i="1"/>
  <c r="P312" i="1"/>
  <c r="H312" i="1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C300" i="2"/>
  <c r="C299" i="2" s="1"/>
  <c r="W847" i="2"/>
  <c r="W848" i="2"/>
  <c r="W846" i="2"/>
  <c r="D845" i="2"/>
  <c r="E845" i="2"/>
  <c r="F845" i="2"/>
  <c r="G845" i="2"/>
  <c r="H845" i="2"/>
  <c r="I845" i="2"/>
  <c r="J845" i="2"/>
  <c r="K845" i="2"/>
  <c r="L845" i="2"/>
  <c r="M845" i="2"/>
  <c r="N845" i="2"/>
  <c r="O845" i="2"/>
  <c r="P845" i="2"/>
  <c r="Q845" i="2"/>
  <c r="R845" i="2"/>
  <c r="S845" i="2"/>
  <c r="T845" i="2"/>
  <c r="U845" i="2"/>
  <c r="C847" i="2"/>
  <c r="C848" i="2"/>
  <c r="C846" i="2"/>
  <c r="W1334" i="2"/>
  <c r="D1333" i="2"/>
  <c r="E1333" i="2"/>
  <c r="F1333" i="2"/>
  <c r="G1333" i="2"/>
  <c r="H1333" i="2"/>
  <c r="I1333" i="2"/>
  <c r="J1333" i="2"/>
  <c r="K1333" i="2"/>
  <c r="L1333" i="2"/>
  <c r="M1333" i="2"/>
  <c r="N1333" i="2"/>
  <c r="O1333" i="2"/>
  <c r="P1333" i="2"/>
  <c r="Q1333" i="2"/>
  <c r="R1333" i="2"/>
  <c r="S1333" i="2"/>
  <c r="T1333" i="2"/>
  <c r="U1333" i="2"/>
  <c r="V1333" i="2"/>
  <c r="C1334" i="2"/>
  <c r="C1333" i="2" s="1"/>
  <c r="I1365" i="1"/>
  <c r="J1365" i="1"/>
  <c r="K1365" i="1"/>
  <c r="L1365" i="1"/>
  <c r="M1365" i="1"/>
  <c r="N1365" i="1"/>
  <c r="O1365" i="1"/>
  <c r="H1365" i="1"/>
  <c r="I308" i="1"/>
  <c r="J308" i="1"/>
  <c r="K308" i="1"/>
  <c r="L308" i="1"/>
  <c r="M308" i="1"/>
  <c r="N308" i="1"/>
  <c r="O308" i="1"/>
  <c r="H308" i="1"/>
  <c r="Q1271" i="1"/>
  <c r="Q1272" i="1"/>
  <c r="Q1273" i="1"/>
  <c r="W1238" i="2"/>
  <c r="W1239" i="2"/>
  <c r="W1240" i="2"/>
  <c r="W1237" i="2"/>
  <c r="D1236" i="2"/>
  <c r="E1236" i="2"/>
  <c r="F1236" i="2"/>
  <c r="G1236" i="2"/>
  <c r="H1236" i="2"/>
  <c r="I1236" i="2"/>
  <c r="J1236" i="2"/>
  <c r="K1236" i="2"/>
  <c r="L1236" i="2"/>
  <c r="M1236" i="2"/>
  <c r="N1236" i="2"/>
  <c r="O1236" i="2"/>
  <c r="P1236" i="2"/>
  <c r="Q1236" i="2"/>
  <c r="R1236" i="2"/>
  <c r="S1236" i="2"/>
  <c r="T1236" i="2"/>
  <c r="U1236" i="2"/>
  <c r="V1236" i="2"/>
  <c r="C1238" i="2"/>
  <c r="C1239" i="2"/>
  <c r="C1240" i="2"/>
  <c r="C1237" i="2"/>
  <c r="W749" i="2"/>
  <c r="W748" i="2"/>
  <c r="C749" i="2"/>
  <c r="C748" i="2"/>
  <c r="D747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W198" i="2"/>
  <c r="W199" i="2"/>
  <c r="W200" i="2"/>
  <c r="W201" i="2"/>
  <c r="W202" i="2"/>
  <c r="W203" i="2"/>
  <c r="W204" i="2"/>
  <c r="W205" i="2"/>
  <c r="W206" i="2"/>
  <c r="W207" i="2"/>
  <c r="W208" i="2"/>
  <c r="W197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C198" i="2"/>
  <c r="C199" i="2"/>
  <c r="C200" i="2"/>
  <c r="C201" i="2"/>
  <c r="C202" i="2"/>
  <c r="C203" i="2"/>
  <c r="C204" i="2"/>
  <c r="C205" i="2"/>
  <c r="C206" i="2"/>
  <c r="C207" i="2"/>
  <c r="C208" i="2"/>
  <c r="C197" i="2"/>
  <c r="I1269" i="1"/>
  <c r="J1269" i="1"/>
  <c r="K1269" i="1"/>
  <c r="L1269" i="1"/>
  <c r="M1269" i="1"/>
  <c r="N1269" i="1"/>
  <c r="P1269" i="1"/>
  <c r="H1269" i="1"/>
  <c r="I770" i="1"/>
  <c r="J770" i="1"/>
  <c r="K770" i="1"/>
  <c r="D108" i="3" s="1"/>
  <c r="L770" i="1"/>
  <c r="M108" i="3" s="1"/>
  <c r="N108" i="3" s="1"/>
  <c r="M770" i="1"/>
  <c r="N770" i="1"/>
  <c r="P770" i="1"/>
  <c r="H770" i="1"/>
  <c r="C108" i="3" s="1"/>
  <c r="I207" i="1"/>
  <c r="J207" i="1"/>
  <c r="K207" i="1"/>
  <c r="L207" i="1"/>
  <c r="M207" i="1"/>
  <c r="N207" i="1"/>
  <c r="P207" i="1"/>
  <c r="H207" i="1"/>
  <c r="Q210" i="1"/>
  <c r="Q211" i="1"/>
  <c r="Q212" i="1"/>
  <c r="Q213" i="1"/>
  <c r="Q214" i="1"/>
  <c r="Q215" i="1"/>
  <c r="Q216" i="1"/>
  <c r="Q217" i="1"/>
  <c r="Q218" i="1"/>
  <c r="Q219" i="1"/>
  <c r="Q208" i="1"/>
  <c r="M10" i="3" l="1"/>
  <c r="N10" i="3" s="1"/>
  <c r="C201" i="3"/>
  <c r="M201" i="3"/>
  <c r="N201" i="3" s="1"/>
  <c r="C126" i="3"/>
  <c r="M126" i="3"/>
  <c r="D201" i="3"/>
  <c r="D126" i="3"/>
  <c r="W299" i="2"/>
  <c r="W303" i="2"/>
  <c r="D217" i="3"/>
  <c r="C217" i="3"/>
  <c r="M217" i="3"/>
  <c r="C1337" i="2"/>
  <c r="C845" i="2"/>
  <c r="C196" i="2"/>
  <c r="C1236" i="2"/>
  <c r="C747" i="2"/>
  <c r="W325" i="2"/>
  <c r="W324" i="2"/>
  <c r="C325" i="2"/>
  <c r="C324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AA868" i="2"/>
  <c r="W867" i="2"/>
  <c r="E866" i="2"/>
  <c r="F866" i="2"/>
  <c r="G866" i="2"/>
  <c r="H866" i="2"/>
  <c r="I866" i="2"/>
  <c r="J866" i="2"/>
  <c r="K866" i="2"/>
  <c r="L866" i="2"/>
  <c r="M866" i="2"/>
  <c r="N866" i="2"/>
  <c r="O866" i="2"/>
  <c r="P866" i="2"/>
  <c r="Q866" i="2"/>
  <c r="R866" i="2"/>
  <c r="S866" i="2"/>
  <c r="T866" i="2"/>
  <c r="U866" i="2"/>
  <c r="V866" i="2"/>
  <c r="D868" i="2"/>
  <c r="D867" i="2"/>
  <c r="C868" i="2"/>
  <c r="C867" i="2"/>
  <c r="D1355" i="2"/>
  <c r="E1355" i="2"/>
  <c r="F1355" i="2"/>
  <c r="G1355" i="2"/>
  <c r="H1355" i="2"/>
  <c r="I1355" i="2"/>
  <c r="J1355" i="2"/>
  <c r="K1355" i="2"/>
  <c r="L1355" i="2"/>
  <c r="M1355" i="2"/>
  <c r="N1355" i="2"/>
  <c r="O1355" i="2"/>
  <c r="P1355" i="2"/>
  <c r="Q1355" i="2"/>
  <c r="R1355" i="2"/>
  <c r="S1355" i="2"/>
  <c r="T1355" i="2"/>
  <c r="U1355" i="2"/>
  <c r="W1356" i="2"/>
  <c r="C1356" i="2"/>
  <c r="C1355" i="2" s="1"/>
  <c r="I1387" i="1"/>
  <c r="J1387" i="1"/>
  <c r="K1387" i="1"/>
  <c r="L1387" i="1"/>
  <c r="M1387" i="1"/>
  <c r="N1387" i="1"/>
  <c r="P1387" i="1"/>
  <c r="H1387" i="1"/>
  <c r="I890" i="1"/>
  <c r="J890" i="1"/>
  <c r="K890" i="1"/>
  <c r="L890" i="1"/>
  <c r="M890" i="1"/>
  <c r="N890" i="1"/>
  <c r="P890" i="1"/>
  <c r="H890" i="1"/>
  <c r="I332" i="1"/>
  <c r="J332" i="1"/>
  <c r="K332" i="1"/>
  <c r="L332" i="1"/>
  <c r="M332" i="1"/>
  <c r="N332" i="1"/>
  <c r="P332" i="1"/>
  <c r="H332" i="1"/>
  <c r="D117" i="3"/>
  <c r="C117" i="3"/>
  <c r="D819" i="2"/>
  <c r="E819" i="2"/>
  <c r="F819" i="2"/>
  <c r="G819" i="2"/>
  <c r="H819" i="2"/>
  <c r="I819" i="2"/>
  <c r="J819" i="2"/>
  <c r="K819" i="2"/>
  <c r="L819" i="2"/>
  <c r="M819" i="2"/>
  <c r="N819" i="2"/>
  <c r="O819" i="2"/>
  <c r="P819" i="2"/>
  <c r="Q819" i="2"/>
  <c r="R819" i="2"/>
  <c r="S819" i="2"/>
  <c r="T819" i="2"/>
  <c r="U819" i="2"/>
  <c r="V819" i="2"/>
  <c r="W820" i="2"/>
  <c r="C820" i="2"/>
  <c r="C819" i="2" s="1"/>
  <c r="Q843" i="1"/>
  <c r="C215" i="3"/>
  <c r="M122" i="3"/>
  <c r="D1329" i="2"/>
  <c r="D1328" i="2" s="1"/>
  <c r="E1329" i="2"/>
  <c r="E1328" i="2" s="1"/>
  <c r="F1329" i="2"/>
  <c r="F1328" i="2" s="1"/>
  <c r="G1329" i="2"/>
  <c r="G1328" i="2" s="1"/>
  <c r="H1329" i="2"/>
  <c r="H1328" i="2" s="1"/>
  <c r="I1329" i="2"/>
  <c r="I1328" i="2" s="1"/>
  <c r="J1329" i="2"/>
  <c r="J1328" i="2" s="1"/>
  <c r="K1329" i="2"/>
  <c r="K1328" i="2" s="1"/>
  <c r="L1329" i="2"/>
  <c r="L1328" i="2" s="1"/>
  <c r="M1329" i="2"/>
  <c r="M1328" i="2" s="1"/>
  <c r="N1329" i="2"/>
  <c r="N1328" i="2" s="1"/>
  <c r="O1329" i="2"/>
  <c r="O1328" i="2" s="1"/>
  <c r="P1329" i="2"/>
  <c r="P1328" i="2" s="1"/>
  <c r="Q1329" i="2"/>
  <c r="Q1328" i="2" s="1"/>
  <c r="R1329" i="2"/>
  <c r="R1328" i="2" s="1"/>
  <c r="S1329" i="2"/>
  <c r="S1328" i="2" s="1"/>
  <c r="T1329" i="2"/>
  <c r="T1328" i="2" s="1"/>
  <c r="U1329" i="2"/>
  <c r="U1328" i="2" s="1"/>
  <c r="V1329" i="2"/>
  <c r="W1330" i="2"/>
  <c r="C1330" i="2"/>
  <c r="C1329" i="2" s="1"/>
  <c r="C1328" i="2" s="1"/>
  <c r="W842" i="2"/>
  <c r="D841" i="2"/>
  <c r="E841" i="2"/>
  <c r="F841" i="2"/>
  <c r="G841" i="2"/>
  <c r="H841" i="2"/>
  <c r="I841" i="2"/>
  <c r="J841" i="2"/>
  <c r="K841" i="2"/>
  <c r="L841" i="2"/>
  <c r="M841" i="2"/>
  <c r="N841" i="2"/>
  <c r="O841" i="2"/>
  <c r="P841" i="2"/>
  <c r="Q841" i="2"/>
  <c r="R841" i="2"/>
  <c r="S841" i="2"/>
  <c r="T841" i="2"/>
  <c r="U841" i="2"/>
  <c r="C842" i="2"/>
  <c r="C841" i="2" s="1"/>
  <c r="X297" i="2"/>
  <c r="W297" i="2"/>
  <c r="W296" i="2"/>
  <c r="I1361" i="1"/>
  <c r="J1361" i="1"/>
  <c r="K1361" i="1"/>
  <c r="L1361" i="1"/>
  <c r="M1361" i="1"/>
  <c r="N1361" i="1"/>
  <c r="O1361" i="1"/>
  <c r="P1361" i="1"/>
  <c r="H1361" i="1"/>
  <c r="Q1362" i="1"/>
  <c r="I864" i="1"/>
  <c r="J864" i="1"/>
  <c r="K864" i="1"/>
  <c r="L864" i="1"/>
  <c r="M864" i="1"/>
  <c r="N864" i="1"/>
  <c r="O864" i="1"/>
  <c r="P864" i="1"/>
  <c r="H864" i="1"/>
  <c r="Q865" i="1"/>
  <c r="W1405" i="2"/>
  <c r="W1406" i="2"/>
  <c r="W1407" i="2"/>
  <c r="W1408" i="2"/>
  <c r="W1409" i="2"/>
  <c r="W1410" i="2"/>
  <c r="W1411" i="2"/>
  <c r="W1412" i="2"/>
  <c r="W1413" i="2"/>
  <c r="W1414" i="2"/>
  <c r="W1404" i="2"/>
  <c r="J1446" i="1"/>
  <c r="J1445" i="1"/>
  <c r="J1444" i="1"/>
  <c r="J1443" i="1"/>
  <c r="J1442" i="1"/>
  <c r="J1441" i="1"/>
  <c r="J1440" i="1"/>
  <c r="J1439" i="1"/>
  <c r="J944" i="1"/>
  <c r="J943" i="1"/>
  <c r="J941" i="1"/>
  <c r="J940" i="1"/>
  <c r="J939" i="1"/>
  <c r="D152" i="3"/>
  <c r="M152" i="3"/>
  <c r="I385" i="1"/>
  <c r="K385" i="1"/>
  <c r="M385" i="1"/>
  <c r="N385" i="1"/>
  <c r="P385" i="1"/>
  <c r="Q395" i="1"/>
  <c r="O394" i="1"/>
  <c r="O395" i="1"/>
  <c r="J395" i="1"/>
  <c r="J394" i="1"/>
  <c r="J392" i="1"/>
  <c r="L385" i="1"/>
  <c r="J389" i="1"/>
  <c r="J388" i="1"/>
  <c r="J387" i="1"/>
  <c r="J386" i="1"/>
  <c r="C56" i="3"/>
  <c r="AC1278" i="2"/>
  <c r="W1277" i="2"/>
  <c r="AD1276" i="2"/>
  <c r="V1275" i="2"/>
  <c r="D1276" i="2"/>
  <c r="D1277" i="2"/>
  <c r="D1278" i="2"/>
  <c r="C1277" i="2"/>
  <c r="C1278" i="2"/>
  <c r="C1276" i="2"/>
  <c r="W788" i="2"/>
  <c r="W789" i="2"/>
  <c r="W790" i="2"/>
  <c r="W791" i="2"/>
  <c r="W787" i="2"/>
  <c r="D786" i="2"/>
  <c r="E786" i="2"/>
  <c r="F786" i="2"/>
  <c r="G786" i="2"/>
  <c r="H786" i="2"/>
  <c r="I786" i="2"/>
  <c r="J786" i="2"/>
  <c r="K786" i="2"/>
  <c r="L786" i="2"/>
  <c r="M786" i="2"/>
  <c r="N786" i="2"/>
  <c r="O786" i="2"/>
  <c r="P786" i="2"/>
  <c r="Q786" i="2"/>
  <c r="R786" i="2"/>
  <c r="S786" i="2"/>
  <c r="T786" i="2"/>
  <c r="U786" i="2"/>
  <c r="C788" i="2"/>
  <c r="C789" i="2"/>
  <c r="C790" i="2"/>
  <c r="C791" i="2"/>
  <c r="C787" i="2"/>
  <c r="W238" i="2"/>
  <c r="W237" i="2"/>
  <c r="W236" i="2"/>
  <c r="C237" i="2"/>
  <c r="C238" i="2"/>
  <c r="C236" i="2"/>
  <c r="I1308" i="1"/>
  <c r="J1308" i="1"/>
  <c r="K1308" i="1"/>
  <c r="L1308" i="1"/>
  <c r="N1308" i="1"/>
  <c r="P1308" i="1"/>
  <c r="H1308" i="1"/>
  <c r="I809" i="1"/>
  <c r="J809" i="1"/>
  <c r="K809" i="1"/>
  <c r="L809" i="1"/>
  <c r="N809" i="1"/>
  <c r="P809" i="1"/>
  <c r="H809" i="1"/>
  <c r="M203" i="3" l="1"/>
  <c r="M110" i="3"/>
  <c r="C203" i="3"/>
  <c r="D203" i="3"/>
  <c r="D56" i="3"/>
  <c r="M215" i="3"/>
  <c r="C135" i="3"/>
  <c r="M135" i="3"/>
  <c r="C229" i="3"/>
  <c r="M229" i="3"/>
  <c r="C110" i="3"/>
  <c r="D110" i="3"/>
  <c r="C122" i="3"/>
  <c r="D122" i="3"/>
  <c r="D215" i="3"/>
  <c r="D135" i="3"/>
  <c r="D229" i="3"/>
  <c r="D1275" i="2"/>
  <c r="C235" i="2"/>
  <c r="C1275" i="2"/>
  <c r="D866" i="2"/>
  <c r="J1435" i="1"/>
  <c r="J938" i="1"/>
  <c r="C866" i="2"/>
  <c r="C323" i="2"/>
  <c r="J385" i="1"/>
  <c r="C786" i="2"/>
  <c r="D12" i="3" l="1"/>
  <c r="C12" i="3"/>
  <c r="D1423" i="2"/>
  <c r="E1423" i="2"/>
  <c r="F1423" i="2"/>
  <c r="G1423" i="2"/>
  <c r="H1423" i="2"/>
  <c r="I1423" i="2"/>
  <c r="J1423" i="2"/>
  <c r="K1423" i="2"/>
  <c r="L1423" i="2"/>
  <c r="M1423" i="2"/>
  <c r="N1423" i="2"/>
  <c r="O1423" i="2"/>
  <c r="P1423" i="2"/>
  <c r="Q1423" i="2"/>
  <c r="R1423" i="2"/>
  <c r="S1423" i="2"/>
  <c r="T1423" i="2"/>
  <c r="U1423" i="2"/>
  <c r="C1425" i="2"/>
  <c r="C1426" i="2"/>
  <c r="C1424" i="2"/>
  <c r="W936" i="2"/>
  <c r="W937" i="2"/>
  <c r="W938" i="2"/>
  <c r="W935" i="2"/>
  <c r="D934" i="2"/>
  <c r="E934" i="2"/>
  <c r="F934" i="2"/>
  <c r="G934" i="2"/>
  <c r="H934" i="2"/>
  <c r="I934" i="2"/>
  <c r="J934" i="2"/>
  <c r="K934" i="2"/>
  <c r="L934" i="2"/>
  <c r="M934" i="2"/>
  <c r="N934" i="2"/>
  <c r="O934" i="2"/>
  <c r="P934" i="2"/>
  <c r="Q934" i="2"/>
  <c r="R934" i="2"/>
  <c r="S934" i="2"/>
  <c r="T934" i="2"/>
  <c r="U934" i="2"/>
  <c r="V934" i="2"/>
  <c r="C936" i="2"/>
  <c r="C937" i="2"/>
  <c r="C938" i="2"/>
  <c r="C935" i="2"/>
  <c r="I405" i="1"/>
  <c r="J405" i="1"/>
  <c r="K405" i="1"/>
  <c r="L405" i="1"/>
  <c r="M405" i="1"/>
  <c r="N405" i="1"/>
  <c r="P405" i="1"/>
  <c r="H405" i="1"/>
  <c r="W402" i="2"/>
  <c r="W403" i="2"/>
  <c r="W404" i="2"/>
  <c r="W401" i="2"/>
  <c r="D402" i="2"/>
  <c r="D403" i="2"/>
  <c r="D404" i="2"/>
  <c r="D401" i="2"/>
  <c r="E400" i="2"/>
  <c r="F400" i="2"/>
  <c r="G400" i="2"/>
  <c r="H400" i="2"/>
  <c r="I400" i="2"/>
  <c r="J400" i="2"/>
  <c r="K400" i="2"/>
  <c r="L400" i="2"/>
  <c r="M400" i="2"/>
  <c r="N400" i="2"/>
  <c r="O400" i="2"/>
  <c r="P400" i="2"/>
  <c r="Q400" i="2"/>
  <c r="R400" i="2"/>
  <c r="S400" i="2"/>
  <c r="T400" i="2"/>
  <c r="U400" i="2"/>
  <c r="V400" i="2"/>
  <c r="C402" i="2"/>
  <c r="C403" i="2"/>
  <c r="C404" i="2"/>
  <c r="C401" i="2"/>
  <c r="C1423" i="2" l="1"/>
  <c r="C400" i="2"/>
  <c r="C934" i="2"/>
  <c r="D400" i="2"/>
  <c r="O1453" i="1" l="1"/>
  <c r="O1454" i="1"/>
  <c r="O1452" i="1"/>
  <c r="I1451" i="1"/>
  <c r="J1451" i="1"/>
  <c r="K1451" i="1"/>
  <c r="L1451" i="1"/>
  <c r="M1451" i="1"/>
  <c r="N1451" i="1"/>
  <c r="P1451" i="1"/>
  <c r="H1451" i="1"/>
  <c r="Q1454" i="1"/>
  <c r="Q1453" i="1"/>
  <c r="Q1452" i="1"/>
  <c r="O951" i="1"/>
  <c r="O952" i="1"/>
  <c r="O953" i="1"/>
  <c r="O950" i="1"/>
  <c r="I949" i="1"/>
  <c r="J949" i="1"/>
  <c r="K949" i="1"/>
  <c r="L949" i="1"/>
  <c r="M949" i="1"/>
  <c r="N949" i="1"/>
  <c r="P949" i="1"/>
  <c r="C155" i="3"/>
  <c r="Q953" i="1"/>
  <c r="Q952" i="1"/>
  <c r="Q951" i="1"/>
  <c r="Q950" i="1"/>
  <c r="O407" i="1"/>
  <c r="O408" i="1"/>
  <c r="O409" i="1"/>
  <c r="O406" i="1"/>
  <c r="Q409" i="1"/>
  <c r="Q408" i="1"/>
  <c r="Q407" i="1"/>
  <c r="Q406" i="1"/>
  <c r="D155" i="3" l="1"/>
  <c r="C249" i="3"/>
  <c r="M249" i="3"/>
  <c r="M155" i="3"/>
  <c r="D249" i="3"/>
  <c r="O1451" i="1"/>
  <c r="O405" i="1"/>
  <c r="O949" i="1"/>
  <c r="E1449" i="2" l="1"/>
  <c r="F1449" i="2"/>
  <c r="G1449" i="2"/>
  <c r="H1449" i="2"/>
  <c r="I1449" i="2"/>
  <c r="J1449" i="2"/>
  <c r="K1449" i="2"/>
  <c r="L1449" i="2"/>
  <c r="M1449" i="2"/>
  <c r="N1449" i="2"/>
  <c r="O1449" i="2"/>
  <c r="P1449" i="2"/>
  <c r="Q1449" i="2"/>
  <c r="R1449" i="2"/>
  <c r="S1449" i="2"/>
  <c r="T1449" i="2"/>
  <c r="U1449" i="2"/>
  <c r="V1449" i="2"/>
  <c r="W1454" i="2"/>
  <c r="W1453" i="2"/>
  <c r="AD1452" i="2"/>
  <c r="AB1452" i="2"/>
  <c r="Z1452" i="2"/>
  <c r="Y1452" i="2"/>
  <c r="W1451" i="2"/>
  <c r="Z1450" i="2"/>
  <c r="AA1450" i="2"/>
  <c r="Y1450" i="2"/>
  <c r="W1450" i="2"/>
  <c r="D1451" i="2"/>
  <c r="D1452" i="2"/>
  <c r="D1453" i="2"/>
  <c r="D1454" i="2"/>
  <c r="D1450" i="2"/>
  <c r="C1451" i="2"/>
  <c r="C1452" i="2"/>
  <c r="C1453" i="2"/>
  <c r="C1454" i="2"/>
  <c r="C1450" i="2"/>
  <c r="AD970" i="2"/>
  <c r="Y970" i="2"/>
  <c r="AD969" i="2"/>
  <c r="AC969" i="2"/>
  <c r="Z969" i="2"/>
  <c r="AD968" i="2"/>
  <c r="AA968" i="2"/>
  <c r="Z968" i="2"/>
  <c r="Y968" i="2"/>
  <c r="W967" i="2"/>
  <c r="AD966" i="2"/>
  <c r="AB966" i="2"/>
  <c r="Z966" i="2"/>
  <c r="W966" i="2"/>
  <c r="AD965" i="2"/>
  <c r="Z965" i="2"/>
  <c r="Y965" i="2"/>
  <c r="D966" i="2"/>
  <c r="D967" i="2"/>
  <c r="D968" i="2"/>
  <c r="D969" i="2"/>
  <c r="D970" i="2"/>
  <c r="D965" i="2"/>
  <c r="C966" i="2"/>
  <c r="C967" i="2"/>
  <c r="C968" i="2"/>
  <c r="C969" i="2"/>
  <c r="C970" i="2"/>
  <c r="C965" i="2"/>
  <c r="D964" i="2" l="1"/>
  <c r="D1449" i="2"/>
  <c r="C964" i="2"/>
  <c r="C1449" i="2"/>
  <c r="Z435" i="2"/>
  <c r="Y435" i="2"/>
  <c r="W435" i="2"/>
  <c r="Y433" i="2"/>
  <c r="Y434" i="2"/>
  <c r="W433" i="2"/>
  <c r="AD432" i="2"/>
  <c r="AC432" i="2"/>
  <c r="Z431" i="2"/>
  <c r="AE431" i="2"/>
  <c r="X431" i="2"/>
  <c r="D432" i="2"/>
  <c r="D433" i="2"/>
  <c r="D434" i="2"/>
  <c r="D435" i="2"/>
  <c r="D431" i="2"/>
  <c r="C432" i="2"/>
  <c r="C433" i="2"/>
  <c r="C434" i="2"/>
  <c r="C435" i="2"/>
  <c r="C431" i="2"/>
  <c r="I1477" i="1"/>
  <c r="J1477" i="1"/>
  <c r="K1477" i="1"/>
  <c r="D258" i="3" s="1"/>
  <c r="L1477" i="1"/>
  <c r="M258" i="3" s="1"/>
  <c r="M1477" i="1"/>
  <c r="N1477" i="1"/>
  <c r="O1477" i="1"/>
  <c r="P1477" i="1"/>
  <c r="H1477" i="1"/>
  <c r="C258" i="3" s="1"/>
  <c r="Q1482" i="1"/>
  <c r="Q1481" i="1"/>
  <c r="Q1480" i="1"/>
  <c r="Q1479" i="1"/>
  <c r="Q1478" i="1"/>
  <c r="I979" i="1"/>
  <c r="J979" i="1"/>
  <c r="K979" i="1"/>
  <c r="D165" i="3" s="1"/>
  <c r="L979" i="1"/>
  <c r="M165" i="3" s="1"/>
  <c r="M979" i="1"/>
  <c r="N979" i="1"/>
  <c r="O979" i="1"/>
  <c r="P979" i="1"/>
  <c r="C165" i="3"/>
  <c r="Q985" i="1"/>
  <c r="Q984" i="1"/>
  <c r="Q983" i="1"/>
  <c r="Q982" i="1"/>
  <c r="Q981" i="1"/>
  <c r="Q980" i="1"/>
  <c r="I435" i="1"/>
  <c r="J435" i="1"/>
  <c r="K435" i="1"/>
  <c r="L435" i="1"/>
  <c r="M435" i="1"/>
  <c r="N435" i="1"/>
  <c r="O435" i="1"/>
  <c r="P435" i="1"/>
  <c r="H435" i="1"/>
  <c r="Q437" i="1"/>
  <c r="Q438" i="1"/>
  <c r="Q439" i="1"/>
  <c r="Q440" i="1"/>
  <c r="Q436" i="1"/>
  <c r="D1418" i="2"/>
  <c r="E1418" i="2"/>
  <c r="F1418" i="2"/>
  <c r="G1418" i="2"/>
  <c r="H1418" i="2"/>
  <c r="I1418" i="2"/>
  <c r="J1418" i="2"/>
  <c r="K1418" i="2"/>
  <c r="L1418" i="2"/>
  <c r="M1418" i="2"/>
  <c r="N1418" i="2"/>
  <c r="O1418" i="2"/>
  <c r="P1418" i="2"/>
  <c r="Q1418" i="2"/>
  <c r="R1418" i="2"/>
  <c r="S1418" i="2"/>
  <c r="T1418" i="2"/>
  <c r="U1418" i="2"/>
  <c r="W1419" i="2"/>
  <c r="C1419" i="2"/>
  <c r="C1418" i="2" s="1"/>
  <c r="D929" i="2"/>
  <c r="E929" i="2"/>
  <c r="F929" i="2"/>
  <c r="G929" i="2"/>
  <c r="H929" i="2"/>
  <c r="I929" i="2"/>
  <c r="J929" i="2"/>
  <c r="K929" i="2"/>
  <c r="L929" i="2"/>
  <c r="M929" i="2"/>
  <c r="N929" i="2"/>
  <c r="O929" i="2"/>
  <c r="P929" i="2"/>
  <c r="Q929" i="2"/>
  <c r="R929" i="2"/>
  <c r="S929" i="2"/>
  <c r="T929" i="2"/>
  <c r="U929" i="2"/>
  <c r="X930" i="2"/>
  <c r="C930" i="2"/>
  <c r="C929" i="2" s="1"/>
  <c r="D391" i="2"/>
  <c r="E391" i="2"/>
  <c r="F391" i="2"/>
  <c r="G391" i="2"/>
  <c r="H391" i="2"/>
  <c r="I391" i="2"/>
  <c r="J391" i="2"/>
  <c r="K391" i="2"/>
  <c r="L391" i="2"/>
  <c r="M391" i="2"/>
  <c r="N391" i="2"/>
  <c r="O391" i="2"/>
  <c r="P391" i="2"/>
  <c r="Q391" i="2"/>
  <c r="R391" i="2"/>
  <c r="S391" i="2"/>
  <c r="T391" i="2"/>
  <c r="U391" i="2"/>
  <c r="V391" i="2"/>
  <c r="W394" i="2"/>
  <c r="X393" i="2"/>
  <c r="W393" i="2"/>
  <c r="X392" i="2"/>
  <c r="C394" i="2"/>
  <c r="C392" i="2"/>
  <c r="I397" i="1"/>
  <c r="J397" i="1"/>
  <c r="K397" i="1"/>
  <c r="M397" i="1"/>
  <c r="N397" i="1"/>
  <c r="O397" i="1"/>
  <c r="P397" i="1"/>
  <c r="H397" i="1"/>
  <c r="C393" i="2"/>
  <c r="Q398" i="1"/>
  <c r="Q400" i="1"/>
  <c r="C57" i="3" l="1"/>
  <c r="D57" i="3"/>
  <c r="D430" i="2"/>
  <c r="C430" i="2"/>
  <c r="Q399" i="1"/>
  <c r="L397" i="1"/>
  <c r="C391" i="2"/>
  <c r="M127" i="3"/>
  <c r="D127" i="3"/>
  <c r="C127" i="3"/>
  <c r="V1340" i="2"/>
  <c r="V1332" i="2" s="1"/>
  <c r="D853" i="2"/>
  <c r="E853" i="2"/>
  <c r="F853" i="2"/>
  <c r="G853" i="2"/>
  <c r="H853" i="2"/>
  <c r="I853" i="2"/>
  <c r="J853" i="2"/>
  <c r="K853" i="2"/>
  <c r="L853" i="2"/>
  <c r="M853" i="2"/>
  <c r="N853" i="2"/>
  <c r="O853" i="2"/>
  <c r="P853" i="2"/>
  <c r="Q853" i="2"/>
  <c r="R853" i="2"/>
  <c r="S853" i="2"/>
  <c r="T853" i="2"/>
  <c r="U853" i="2"/>
  <c r="C853" i="2"/>
  <c r="W854" i="2"/>
  <c r="D305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C305" i="2"/>
  <c r="N218" i="3"/>
  <c r="D218" i="3"/>
  <c r="C218" i="3"/>
  <c r="E123" i="3"/>
  <c r="F123" i="3"/>
  <c r="G123" i="3"/>
  <c r="J123" i="3"/>
  <c r="K123" i="3"/>
  <c r="N125" i="3"/>
  <c r="D125" i="3"/>
  <c r="C125" i="3"/>
  <c r="N27" i="3"/>
  <c r="D27" i="3"/>
  <c r="C27" i="3"/>
  <c r="X1336" i="2"/>
  <c r="C1336" i="2"/>
  <c r="C1335" i="2" s="1"/>
  <c r="C1332" i="2" s="1"/>
  <c r="F1335" i="2"/>
  <c r="F1332" i="2" s="1"/>
  <c r="G1335" i="2"/>
  <c r="G1332" i="2" s="1"/>
  <c r="H1335" i="2"/>
  <c r="H1332" i="2" s="1"/>
  <c r="I1335" i="2"/>
  <c r="I1332" i="2" s="1"/>
  <c r="J1335" i="2"/>
  <c r="J1332" i="2" s="1"/>
  <c r="K1335" i="2"/>
  <c r="K1332" i="2" s="1"/>
  <c r="L1335" i="2"/>
  <c r="L1332" i="2" s="1"/>
  <c r="M1335" i="2"/>
  <c r="M1332" i="2" s="1"/>
  <c r="N1335" i="2"/>
  <c r="N1332" i="2" s="1"/>
  <c r="O1335" i="2"/>
  <c r="O1332" i="2" s="1"/>
  <c r="P1335" i="2"/>
  <c r="P1332" i="2" s="1"/>
  <c r="Q1335" i="2"/>
  <c r="Q1332" i="2" s="1"/>
  <c r="R1335" i="2"/>
  <c r="R1332" i="2" s="1"/>
  <c r="S1335" i="2"/>
  <c r="S1332" i="2" s="1"/>
  <c r="T1335" i="2"/>
  <c r="T1332" i="2" s="1"/>
  <c r="U1335" i="2"/>
  <c r="U1332" i="2" s="1"/>
  <c r="D1335" i="2"/>
  <c r="D1332" i="2" s="1"/>
  <c r="E1335" i="2"/>
  <c r="E1332" i="2" s="1"/>
  <c r="X850" i="2"/>
  <c r="C850" i="2"/>
  <c r="D849" i="2"/>
  <c r="E849" i="2"/>
  <c r="F849" i="2"/>
  <c r="G849" i="2"/>
  <c r="H849" i="2"/>
  <c r="I849" i="2"/>
  <c r="J849" i="2"/>
  <c r="K849" i="2"/>
  <c r="L849" i="2"/>
  <c r="M849" i="2"/>
  <c r="N849" i="2"/>
  <c r="O849" i="2"/>
  <c r="P849" i="2"/>
  <c r="Q849" i="2"/>
  <c r="R849" i="2"/>
  <c r="S849" i="2"/>
  <c r="T849" i="2"/>
  <c r="U849" i="2"/>
  <c r="V849" i="2"/>
  <c r="V844" i="2" s="1"/>
  <c r="C849" i="2"/>
  <c r="D301" i="2"/>
  <c r="D298" i="2" s="1"/>
  <c r="E301" i="2"/>
  <c r="E298" i="2" s="1"/>
  <c r="F301" i="2"/>
  <c r="F298" i="2" s="1"/>
  <c r="G301" i="2"/>
  <c r="G298" i="2" s="1"/>
  <c r="H301" i="2"/>
  <c r="H298" i="2" s="1"/>
  <c r="I301" i="2"/>
  <c r="I298" i="2" s="1"/>
  <c r="J301" i="2"/>
  <c r="J298" i="2" s="1"/>
  <c r="K301" i="2"/>
  <c r="K298" i="2" s="1"/>
  <c r="L301" i="2"/>
  <c r="L298" i="2" s="1"/>
  <c r="M301" i="2"/>
  <c r="M298" i="2" s="1"/>
  <c r="N301" i="2"/>
  <c r="N298" i="2" s="1"/>
  <c r="O301" i="2"/>
  <c r="P301" i="2"/>
  <c r="P298" i="2" s="1"/>
  <c r="Q301" i="2"/>
  <c r="Q298" i="2" s="1"/>
  <c r="R301" i="2"/>
  <c r="R298" i="2" s="1"/>
  <c r="S301" i="2"/>
  <c r="S298" i="2" s="1"/>
  <c r="T301" i="2"/>
  <c r="T298" i="2" s="1"/>
  <c r="U301" i="2"/>
  <c r="U298" i="2" s="1"/>
  <c r="V301" i="2"/>
  <c r="V298" i="2" s="1"/>
  <c r="C302" i="2"/>
  <c r="C301" i="2" s="1"/>
  <c r="C298" i="2" s="1"/>
  <c r="I1367" i="1"/>
  <c r="J1367" i="1"/>
  <c r="K1367" i="1"/>
  <c r="L1367" i="1"/>
  <c r="M1367" i="1"/>
  <c r="N1367" i="1"/>
  <c r="O1367" i="1"/>
  <c r="P1367" i="1"/>
  <c r="H1367" i="1"/>
  <c r="Q1368" i="1"/>
  <c r="I872" i="1"/>
  <c r="J872" i="1"/>
  <c r="K872" i="1"/>
  <c r="L872" i="1"/>
  <c r="M872" i="1"/>
  <c r="N872" i="1"/>
  <c r="O872" i="1"/>
  <c r="P872" i="1"/>
  <c r="H872" i="1"/>
  <c r="Q873" i="1"/>
  <c r="I310" i="1"/>
  <c r="J310" i="1"/>
  <c r="K310" i="1"/>
  <c r="L310" i="1"/>
  <c r="M310" i="1"/>
  <c r="N310" i="1"/>
  <c r="O310" i="1"/>
  <c r="P310" i="1"/>
  <c r="H310" i="1"/>
  <c r="Q311" i="1"/>
  <c r="D559" i="2"/>
  <c r="E559" i="2"/>
  <c r="F559" i="2"/>
  <c r="G559" i="2"/>
  <c r="H559" i="2"/>
  <c r="I559" i="2"/>
  <c r="J559" i="2"/>
  <c r="K559" i="2"/>
  <c r="L559" i="2"/>
  <c r="M559" i="2"/>
  <c r="N559" i="2"/>
  <c r="O559" i="2"/>
  <c r="P559" i="2"/>
  <c r="Q559" i="2"/>
  <c r="R559" i="2"/>
  <c r="S559" i="2"/>
  <c r="T559" i="2"/>
  <c r="U559" i="2"/>
  <c r="V559" i="2"/>
  <c r="C560" i="2"/>
  <c r="C559" i="2" s="1"/>
  <c r="X416" i="2"/>
  <c r="X415" i="2"/>
  <c r="D414" i="2"/>
  <c r="E414" i="2"/>
  <c r="F414" i="2"/>
  <c r="G414" i="2"/>
  <c r="H414" i="2"/>
  <c r="I414" i="2"/>
  <c r="J414" i="2"/>
  <c r="K414" i="2"/>
  <c r="L414" i="2"/>
  <c r="M414" i="2"/>
  <c r="N414" i="2"/>
  <c r="O414" i="2"/>
  <c r="P414" i="2"/>
  <c r="Q414" i="2"/>
  <c r="R414" i="2"/>
  <c r="S414" i="2"/>
  <c r="T414" i="2"/>
  <c r="U414" i="2"/>
  <c r="V414" i="2"/>
  <c r="C414" i="2"/>
  <c r="W949" i="2"/>
  <c r="D948" i="2"/>
  <c r="E948" i="2"/>
  <c r="F948" i="2"/>
  <c r="G948" i="2"/>
  <c r="H948" i="2"/>
  <c r="I948" i="2"/>
  <c r="J948" i="2"/>
  <c r="K948" i="2"/>
  <c r="L948" i="2"/>
  <c r="M948" i="2"/>
  <c r="N948" i="2"/>
  <c r="O948" i="2"/>
  <c r="P948" i="2"/>
  <c r="Q948" i="2"/>
  <c r="R948" i="2"/>
  <c r="S948" i="2"/>
  <c r="T948" i="2"/>
  <c r="U948" i="2"/>
  <c r="V948" i="2"/>
  <c r="C948" i="2"/>
  <c r="D1433" i="2"/>
  <c r="E1433" i="2"/>
  <c r="F1433" i="2"/>
  <c r="G1433" i="2"/>
  <c r="H1433" i="2"/>
  <c r="I1433" i="2"/>
  <c r="J1433" i="2"/>
  <c r="K1433" i="2"/>
  <c r="L1433" i="2"/>
  <c r="M1433" i="2"/>
  <c r="N1433" i="2"/>
  <c r="O1433" i="2"/>
  <c r="P1433" i="2"/>
  <c r="Q1433" i="2"/>
  <c r="R1433" i="2"/>
  <c r="S1433" i="2"/>
  <c r="T1433" i="2"/>
  <c r="U1433" i="2"/>
  <c r="C1433" i="2"/>
  <c r="W1434" i="2"/>
  <c r="I1461" i="1"/>
  <c r="J1461" i="1"/>
  <c r="K1461" i="1"/>
  <c r="L1461" i="1"/>
  <c r="M1461" i="1"/>
  <c r="N1461" i="1"/>
  <c r="O1461" i="1"/>
  <c r="P1461" i="1"/>
  <c r="H1461" i="1"/>
  <c r="I963" i="1"/>
  <c r="J963" i="1"/>
  <c r="K963" i="1"/>
  <c r="L963" i="1"/>
  <c r="M963" i="1"/>
  <c r="N963" i="1"/>
  <c r="O963" i="1"/>
  <c r="P963" i="1"/>
  <c r="H963" i="1"/>
  <c r="I419" i="1"/>
  <c r="J419" i="1"/>
  <c r="K419" i="1"/>
  <c r="L419" i="1"/>
  <c r="M419" i="1"/>
  <c r="N419" i="1"/>
  <c r="O419" i="1"/>
  <c r="P419" i="1"/>
  <c r="H419" i="1"/>
  <c r="W1500" i="2"/>
  <c r="C1500" i="2"/>
  <c r="C1499" i="2" s="1"/>
  <c r="D1498" i="2"/>
  <c r="E1498" i="2"/>
  <c r="F1498" i="2"/>
  <c r="G1498" i="2"/>
  <c r="H1498" i="2"/>
  <c r="I1498" i="2"/>
  <c r="J1498" i="2"/>
  <c r="K1498" i="2"/>
  <c r="L1498" i="2"/>
  <c r="M1498" i="2"/>
  <c r="N1498" i="2"/>
  <c r="O1498" i="2"/>
  <c r="P1498" i="2"/>
  <c r="Q1498" i="2"/>
  <c r="R1498" i="2"/>
  <c r="S1498" i="2"/>
  <c r="T1498" i="2"/>
  <c r="U1498" i="2"/>
  <c r="W1020" i="2"/>
  <c r="W1019" i="2"/>
  <c r="D1018" i="2"/>
  <c r="D1017" i="2" s="1"/>
  <c r="E1018" i="2"/>
  <c r="E1017" i="2" s="1"/>
  <c r="F1018" i="2"/>
  <c r="F1017" i="2" s="1"/>
  <c r="G1018" i="2"/>
  <c r="G1017" i="2" s="1"/>
  <c r="H1018" i="2"/>
  <c r="H1017" i="2" s="1"/>
  <c r="I1018" i="2"/>
  <c r="I1017" i="2" s="1"/>
  <c r="J1018" i="2"/>
  <c r="J1017" i="2" s="1"/>
  <c r="K1018" i="2"/>
  <c r="K1017" i="2" s="1"/>
  <c r="L1018" i="2"/>
  <c r="L1017" i="2" s="1"/>
  <c r="M1018" i="2"/>
  <c r="M1017" i="2" s="1"/>
  <c r="N1018" i="2"/>
  <c r="N1017" i="2" s="1"/>
  <c r="O1018" i="2"/>
  <c r="O1017" i="2" s="1"/>
  <c r="P1018" i="2"/>
  <c r="P1017" i="2" s="1"/>
  <c r="Q1018" i="2"/>
  <c r="Q1017" i="2" s="1"/>
  <c r="R1018" i="2"/>
  <c r="R1017" i="2" s="1"/>
  <c r="S1018" i="2"/>
  <c r="S1017" i="2" s="1"/>
  <c r="T1018" i="2"/>
  <c r="T1017" i="2" s="1"/>
  <c r="U1018" i="2"/>
  <c r="U1017" i="2" s="1"/>
  <c r="V1018" i="2"/>
  <c r="C1020" i="2"/>
  <c r="C1019" i="2"/>
  <c r="V519" i="2"/>
  <c r="D520" i="2"/>
  <c r="D519" i="2" s="1"/>
  <c r="E520" i="2"/>
  <c r="E519" i="2" s="1"/>
  <c r="F520" i="2"/>
  <c r="F519" i="2" s="1"/>
  <c r="G520" i="2"/>
  <c r="G519" i="2" s="1"/>
  <c r="H520" i="2"/>
  <c r="H519" i="2" s="1"/>
  <c r="I520" i="2"/>
  <c r="I519" i="2" s="1"/>
  <c r="J520" i="2"/>
  <c r="J519" i="2" s="1"/>
  <c r="K520" i="2"/>
  <c r="K519" i="2" s="1"/>
  <c r="L520" i="2"/>
  <c r="L519" i="2" s="1"/>
  <c r="M520" i="2"/>
  <c r="M519" i="2" s="1"/>
  <c r="N520" i="2"/>
  <c r="N519" i="2" s="1"/>
  <c r="O520" i="2"/>
  <c r="O519" i="2" s="1"/>
  <c r="P520" i="2"/>
  <c r="P519" i="2" s="1"/>
  <c r="Q520" i="2"/>
  <c r="Q519" i="2" s="1"/>
  <c r="R520" i="2"/>
  <c r="R519" i="2" s="1"/>
  <c r="S520" i="2"/>
  <c r="S519" i="2" s="1"/>
  <c r="T520" i="2"/>
  <c r="T519" i="2" s="1"/>
  <c r="U520" i="2"/>
  <c r="U519" i="2" s="1"/>
  <c r="W522" i="2"/>
  <c r="W521" i="2"/>
  <c r="C522" i="2"/>
  <c r="C521" i="2"/>
  <c r="D367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C367" i="2"/>
  <c r="D905" i="2"/>
  <c r="E905" i="2"/>
  <c r="F905" i="2"/>
  <c r="G905" i="2"/>
  <c r="H905" i="2"/>
  <c r="I905" i="2"/>
  <c r="J905" i="2"/>
  <c r="K905" i="2"/>
  <c r="L905" i="2"/>
  <c r="M905" i="2"/>
  <c r="N905" i="2"/>
  <c r="O905" i="2"/>
  <c r="P905" i="2"/>
  <c r="Q905" i="2"/>
  <c r="R905" i="2"/>
  <c r="S905" i="2"/>
  <c r="T905" i="2"/>
  <c r="U905" i="2"/>
  <c r="V905" i="2"/>
  <c r="C905" i="2"/>
  <c r="D1395" i="2"/>
  <c r="E1395" i="2"/>
  <c r="F1395" i="2"/>
  <c r="G1395" i="2"/>
  <c r="H1395" i="2"/>
  <c r="I1395" i="2"/>
  <c r="J1395" i="2"/>
  <c r="K1395" i="2"/>
  <c r="L1395" i="2"/>
  <c r="M1395" i="2"/>
  <c r="N1395" i="2"/>
  <c r="O1395" i="2"/>
  <c r="P1395" i="2"/>
  <c r="Q1395" i="2"/>
  <c r="R1395" i="2"/>
  <c r="S1395" i="2"/>
  <c r="T1395" i="2"/>
  <c r="U1395" i="2"/>
  <c r="V1395" i="2"/>
  <c r="C1395" i="2"/>
  <c r="W1396" i="2"/>
  <c r="W906" i="2"/>
  <c r="W368" i="2"/>
  <c r="I1427" i="1"/>
  <c r="J1427" i="1"/>
  <c r="K1427" i="1"/>
  <c r="L1427" i="1"/>
  <c r="M1427" i="1"/>
  <c r="N1427" i="1"/>
  <c r="P1427" i="1"/>
  <c r="H1427" i="1"/>
  <c r="I930" i="1"/>
  <c r="J930" i="1"/>
  <c r="K930" i="1"/>
  <c r="L930" i="1"/>
  <c r="M930" i="1"/>
  <c r="N930" i="1"/>
  <c r="P930" i="1"/>
  <c r="H930" i="1"/>
  <c r="I377" i="1"/>
  <c r="J377" i="1"/>
  <c r="K377" i="1"/>
  <c r="L377" i="1"/>
  <c r="M377" i="1"/>
  <c r="N377" i="1"/>
  <c r="P377" i="1"/>
  <c r="H377" i="1"/>
  <c r="I156" i="3"/>
  <c r="D941" i="2"/>
  <c r="E941" i="2"/>
  <c r="F941" i="2"/>
  <c r="G941" i="2"/>
  <c r="H941" i="2"/>
  <c r="I941" i="2"/>
  <c r="J941" i="2"/>
  <c r="K941" i="2"/>
  <c r="L941" i="2"/>
  <c r="M941" i="2"/>
  <c r="N941" i="2"/>
  <c r="O941" i="2"/>
  <c r="P941" i="2"/>
  <c r="Q941" i="2"/>
  <c r="R941" i="2"/>
  <c r="S941" i="2"/>
  <c r="T941" i="2"/>
  <c r="U941" i="2"/>
  <c r="V941" i="2"/>
  <c r="C941" i="2"/>
  <c r="W942" i="2"/>
  <c r="W409" i="2"/>
  <c r="W408" i="2"/>
  <c r="D407" i="2"/>
  <c r="E407" i="2"/>
  <c r="F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U407" i="2"/>
  <c r="C407" i="2"/>
  <c r="I956" i="1"/>
  <c r="J956" i="1"/>
  <c r="K956" i="1"/>
  <c r="L956" i="1"/>
  <c r="M956" i="1"/>
  <c r="N956" i="1"/>
  <c r="O956" i="1"/>
  <c r="P956" i="1"/>
  <c r="H956" i="1"/>
  <c r="Q957" i="1"/>
  <c r="I412" i="1"/>
  <c r="J412" i="1"/>
  <c r="K412" i="1"/>
  <c r="L412" i="1"/>
  <c r="M412" i="1"/>
  <c r="N412" i="1"/>
  <c r="O412" i="1"/>
  <c r="P412" i="1"/>
  <c r="H412" i="1"/>
  <c r="Q413" i="1"/>
  <c r="Q414" i="1"/>
  <c r="E275" i="3"/>
  <c r="F275" i="3"/>
  <c r="G275" i="3"/>
  <c r="H275" i="3"/>
  <c r="I275" i="3"/>
  <c r="J275" i="3"/>
  <c r="K275" i="3"/>
  <c r="L275" i="3"/>
  <c r="M275" i="3"/>
  <c r="N275" i="3"/>
  <c r="D276" i="3"/>
  <c r="D275" i="3" s="1"/>
  <c r="C276" i="3"/>
  <c r="C275" i="3" s="1"/>
  <c r="E86" i="3"/>
  <c r="F86" i="3"/>
  <c r="G86" i="3"/>
  <c r="H86" i="3"/>
  <c r="I86" i="3"/>
  <c r="J86" i="3"/>
  <c r="K86" i="3"/>
  <c r="L86" i="3"/>
  <c r="M86" i="3"/>
  <c r="N86" i="3"/>
  <c r="D87" i="3"/>
  <c r="D86" i="3" s="1"/>
  <c r="C87" i="3"/>
  <c r="C86" i="3" s="1"/>
  <c r="D1501" i="2"/>
  <c r="E1501" i="2"/>
  <c r="F1501" i="2"/>
  <c r="G1501" i="2"/>
  <c r="H1501" i="2"/>
  <c r="I1501" i="2"/>
  <c r="J1501" i="2"/>
  <c r="K1501" i="2"/>
  <c r="L1501" i="2"/>
  <c r="M1501" i="2"/>
  <c r="N1501" i="2"/>
  <c r="O1501" i="2"/>
  <c r="P1501" i="2"/>
  <c r="Q1501" i="2"/>
  <c r="R1501" i="2"/>
  <c r="S1501" i="2"/>
  <c r="T1501" i="2"/>
  <c r="U1501" i="2"/>
  <c r="C1501" i="2"/>
  <c r="W1502" i="2"/>
  <c r="D523" i="2"/>
  <c r="E523" i="2"/>
  <c r="F523" i="2"/>
  <c r="G523" i="2"/>
  <c r="H523" i="2"/>
  <c r="I523" i="2"/>
  <c r="J523" i="2"/>
  <c r="K523" i="2"/>
  <c r="L523" i="2"/>
  <c r="M523" i="2"/>
  <c r="N523" i="2"/>
  <c r="O523" i="2"/>
  <c r="P523" i="2"/>
  <c r="Q523" i="2"/>
  <c r="R523" i="2"/>
  <c r="S523" i="2"/>
  <c r="T523" i="2"/>
  <c r="U523" i="2"/>
  <c r="V523" i="2"/>
  <c r="C523" i="2"/>
  <c r="I1525" i="1"/>
  <c r="J1525" i="1"/>
  <c r="K1525" i="1"/>
  <c r="L1525" i="1"/>
  <c r="M1525" i="1"/>
  <c r="N1525" i="1"/>
  <c r="O1525" i="1"/>
  <c r="P1525" i="1"/>
  <c r="H1525" i="1"/>
  <c r="Q1526" i="1"/>
  <c r="I483" i="1"/>
  <c r="J483" i="1"/>
  <c r="K483" i="1"/>
  <c r="L483" i="1"/>
  <c r="M483" i="1"/>
  <c r="N483" i="1"/>
  <c r="O483" i="1"/>
  <c r="P483" i="1"/>
  <c r="H483" i="1"/>
  <c r="Q484" i="1"/>
  <c r="D235" i="3"/>
  <c r="C235" i="3"/>
  <c r="D141" i="3"/>
  <c r="C141" i="3"/>
  <c r="D1368" i="2"/>
  <c r="E1368" i="2"/>
  <c r="F1368" i="2"/>
  <c r="G1368" i="2"/>
  <c r="H1368" i="2"/>
  <c r="I1368" i="2"/>
  <c r="J1368" i="2"/>
  <c r="K1368" i="2"/>
  <c r="L1368" i="2"/>
  <c r="M1368" i="2"/>
  <c r="N1368" i="2"/>
  <c r="O1368" i="2"/>
  <c r="P1368" i="2"/>
  <c r="Q1368" i="2"/>
  <c r="R1368" i="2"/>
  <c r="S1368" i="2"/>
  <c r="T1368" i="2"/>
  <c r="U1368" i="2"/>
  <c r="V1368" i="2"/>
  <c r="C1368" i="2"/>
  <c r="W1369" i="2"/>
  <c r="D880" i="2"/>
  <c r="E880" i="2"/>
  <c r="F880" i="2"/>
  <c r="G880" i="2"/>
  <c r="H880" i="2"/>
  <c r="I880" i="2"/>
  <c r="J880" i="2"/>
  <c r="K880" i="2"/>
  <c r="L880" i="2"/>
  <c r="M880" i="2"/>
  <c r="N880" i="2"/>
  <c r="O880" i="2"/>
  <c r="P880" i="2"/>
  <c r="Q880" i="2"/>
  <c r="R880" i="2"/>
  <c r="S880" i="2"/>
  <c r="T880" i="2"/>
  <c r="U880" i="2"/>
  <c r="C880" i="2"/>
  <c r="X881" i="2"/>
  <c r="D339" i="2"/>
  <c r="E339" i="2"/>
  <c r="F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C339" i="2"/>
  <c r="W340" i="2"/>
  <c r="I1400" i="1"/>
  <c r="J1400" i="1"/>
  <c r="K1400" i="1"/>
  <c r="L1400" i="1"/>
  <c r="M1400" i="1"/>
  <c r="N1400" i="1"/>
  <c r="O1400" i="1"/>
  <c r="P1400" i="1"/>
  <c r="H1400" i="1"/>
  <c r="I905" i="1"/>
  <c r="J905" i="1"/>
  <c r="K905" i="1"/>
  <c r="L905" i="1"/>
  <c r="M905" i="1"/>
  <c r="N905" i="1"/>
  <c r="O905" i="1"/>
  <c r="P905" i="1"/>
  <c r="H905" i="1"/>
  <c r="I349" i="1"/>
  <c r="J349" i="1"/>
  <c r="K349" i="1"/>
  <c r="L349" i="1"/>
  <c r="M349" i="1"/>
  <c r="N349" i="1"/>
  <c r="O349" i="1"/>
  <c r="P349" i="1"/>
  <c r="H349" i="1"/>
  <c r="Q350" i="1"/>
  <c r="N178" i="3"/>
  <c r="L178" i="3"/>
  <c r="D178" i="3"/>
  <c r="C178" i="3"/>
  <c r="D1493" i="2"/>
  <c r="D1492" i="2" s="1"/>
  <c r="E1493" i="2"/>
  <c r="E1492" i="2" s="1"/>
  <c r="F1493" i="2"/>
  <c r="F1492" i="2" s="1"/>
  <c r="G1493" i="2"/>
  <c r="G1492" i="2" s="1"/>
  <c r="H1493" i="2"/>
  <c r="H1492" i="2" s="1"/>
  <c r="I1493" i="2"/>
  <c r="I1492" i="2" s="1"/>
  <c r="J1493" i="2"/>
  <c r="J1492" i="2" s="1"/>
  <c r="K1493" i="2"/>
  <c r="K1492" i="2" s="1"/>
  <c r="L1493" i="2"/>
  <c r="L1492" i="2" s="1"/>
  <c r="M1493" i="2"/>
  <c r="M1492" i="2" s="1"/>
  <c r="N1493" i="2"/>
  <c r="N1492" i="2" s="1"/>
  <c r="O1493" i="2"/>
  <c r="O1492" i="2" s="1"/>
  <c r="P1493" i="2"/>
  <c r="P1492" i="2" s="1"/>
  <c r="Q1493" i="2"/>
  <c r="Q1492" i="2" s="1"/>
  <c r="R1493" i="2"/>
  <c r="R1492" i="2" s="1"/>
  <c r="S1493" i="2"/>
  <c r="S1492" i="2" s="1"/>
  <c r="T1493" i="2"/>
  <c r="T1492" i="2" s="1"/>
  <c r="U1493" i="2"/>
  <c r="U1492" i="2" s="1"/>
  <c r="V1493" i="2"/>
  <c r="V1492" i="2" s="1"/>
  <c r="C1493" i="2"/>
  <c r="C1492" i="2" s="1"/>
  <c r="W1494" i="2"/>
  <c r="V1010" i="2"/>
  <c r="D1011" i="2"/>
  <c r="D1010" i="2" s="1"/>
  <c r="E1011" i="2"/>
  <c r="E1010" i="2" s="1"/>
  <c r="F1011" i="2"/>
  <c r="F1010" i="2" s="1"/>
  <c r="G1011" i="2"/>
  <c r="G1010" i="2" s="1"/>
  <c r="H1011" i="2"/>
  <c r="H1010" i="2" s="1"/>
  <c r="I1011" i="2"/>
  <c r="I1010" i="2" s="1"/>
  <c r="J1011" i="2"/>
  <c r="J1010" i="2" s="1"/>
  <c r="K1011" i="2"/>
  <c r="K1010" i="2" s="1"/>
  <c r="L1011" i="2"/>
  <c r="L1010" i="2" s="1"/>
  <c r="M1011" i="2"/>
  <c r="M1010" i="2" s="1"/>
  <c r="N1011" i="2"/>
  <c r="N1010" i="2" s="1"/>
  <c r="O1011" i="2"/>
  <c r="O1010" i="2" s="1"/>
  <c r="P1011" i="2"/>
  <c r="P1010" i="2" s="1"/>
  <c r="Q1011" i="2"/>
  <c r="Q1010" i="2" s="1"/>
  <c r="R1011" i="2"/>
  <c r="R1010" i="2" s="1"/>
  <c r="S1011" i="2"/>
  <c r="S1010" i="2" s="1"/>
  <c r="T1011" i="2"/>
  <c r="T1010" i="2" s="1"/>
  <c r="U1011" i="2"/>
  <c r="U1010" i="2" s="1"/>
  <c r="C1011" i="2"/>
  <c r="C1010" i="2" s="1"/>
  <c r="X1013" i="2"/>
  <c r="X1012" i="2"/>
  <c r="Y515" i="2"/>
  <c r="E514" i="2"/>
  <c r="E513" i="2" s="1"/>
  <c r="F514" i="2"/>
  <c r="F513" i="2" s="1"/>
  <c r="G514" i="2"/>
  <c r="G513" i="2" s="1"/>
  <c r="H514" i="2"/>
  <c r="H513" i="2" s="1"/>
  <c r="I514" i="2"/>
  <c r="I513" i="2" s="1"/>
  <c r="J514" i="2"/>
  <c r="J513" i="2" s="1"/>
  <c r="K514" i="2"/>
  <c r="K513" i="2" s="1"/>
  <c r="L514" i="2"/>
  <c r="L513" i="2" s="1"/>
  <c r="M514" i="2"/>
  <c r="M513" i="2" s="1"/>
  <c r="N514" i="2"/>
  <c r="N513" i="2" s="1"/>
  <c r="O514" i="2"/>
  <c r="O513" i="2" s="1"/>
  <c r="P514" i="2"/>
  <c r="P513" i="2" s="1"/>
  <c r="Q514" i="2"/>
  <c r="Q513" i="2" s="1"/>
  <c r="R514" i="2"/>
  <c r="R513" i="2" s="1"/>
  <c r="S514" i="2"/>
  <c r="S513" i="2" s="1"/>
  <c r="T514" i="2"/>
  <c r="T513" i="2" s="1"/>
  <c r="U514" i="2"/>
  <c r="U513" i="2" s="1"/>
  <c r="V514" i="2"/>
  <c r="D515" i="2"/>
  <c r="D514" i="2" s="1"/>
  <c r="D513" i="2" s="1"/>
  <c r="I1517" i="1"/>
  <c r="I1516" i="1" s="1"/>
  <c r="J1517" i="1"/>
  <c r="J1516" i="1" s="1"/>
  <c r="K1517" i="1"/>
  <c r="K1516" i="1" s="1"/>
  <c r="L1517" i="1"/>
  <c r="L1516" i="1" s="1"/>
  <c r="M1517" i="1"/>
  <c r="M1516" i="1" s="1"/>
  <c r="N1517" i="1"/>
  <c r="N1516" i="1" s="1"/>
  <c r="O1517" i="1"/>
  <c r="O1516" i="1" s="1"/>
  <c r="P1517" i="1"/>
  <c r="P1516" i="1" s="1"/>
  <c r="H1517" i="1"/>
  <c r="H1516" i="1" s="1"/>
  <c r="Q1518" i="1"/>
  <c r="I1022" i="1"/>
  <c r="I1021" i="1" s="1"/>
  <c r="J1022" i="1"/>
  <c r="J1021" i="1" s="1"/>
  <c r="K1022" i="1"/>
  <c r="K1021" i="1" s="1"/>
  <c r="L1022" i="1"/>
  <c r="L1021" i="1" s="1"/>
  <c r="M1022" i="1"/>
  <c r="M1021" i="1" s="1"/>
  <c r="N1022" i="1"/>
  <c r="N1021" i="1" s="1"/>
  <c r="O1022" i="1"/>
  <c r="O1021" i="1" s="1"/>
  <c r="P1022" i="1"/>
  <c r="P1021" i="1" s="1"/>
  <c r="H1022" i="1"/>
  <c r="H1021" i="1" s="1"/>
  <c r="Q1023" i="1"/>
  <c r="Q1024" i="1"/>
  <c r="I474" i="1"/>
  <c r="I473" i="1" s="1"/>
  <c r="J474" i="1"/>
  <c r="J473" i="1" s="1"/>
  <c r="K474" i="1"/>
  <c r="K473" i="1" s="1"/>
  <c r="L474" i="1"/>
  <c r="L473" i="1" s="1"/>
  <c r="M474" i="1"/>
  <c r="M473" i="1" s="1"/>
  <c r="N474" i="1"/>
  <c r="N473" i="1" s="1"/>
  <c r="O474" i="1"/>
  <c r="O473" i="1" s="1"/>
  <c r="P474" i="1"/>
  <c r="P473" i="1" s="1"/>
  <c r="H474" i="1"/>
  <c r="H473" i="1" s="1"/>
  <c r="Q475" i="1"/>
  <c r="D1234" i="2"/>
  <c r="E1234" i="2"/>
  <c r="F1234" i="2"/>
  <c r="G1234" i="2"/>
  <c r="H1234" i="2"/>
  <c r="I1234" i="2"/>
  <c r="J1234" i="2"/>
  <c r="K1234" i="2"/>
  <c r="L1234" i="2"/>
  <c r="M1234" i="2"/>
  <c r="N1234" i="2"/>
  <c r="O1234" i="2"/>
  <c r="P1234" i="2"/>
  <c r="Q1234" i="2"/>
  <c r="R1234" i="2"/>
  <c r="S1234" i="2"/>
  <c r="T1234" i="2"/>
  <c r="U1234" i="2"/>
  <c r="C1234" i="2"/>
  <c r="E744" i="2"/>
  <c r="F744" i="2"/>
  <c r="G744" i="2"/>
  <c r="H744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C744" i="2"/>
  <c r="W746" i="2"/>
  <c r="AA745" i="2"/>
  <c r="D746" i="2"/>
  <c r="D745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C194" i="2"/>
  <c r="AA195" i="2"/>
  <c r="D195" i="2"/>
  <c r="D194" i="2" s="1"/>
  <c r="I1267" i="1"/>
  <c r="J1267" i="1"/>
  <c r="K1267" i="1"/>
  <c r="L1267" i="1"/>
  <c r="M1267" i="1"/>
  <c r="N1267" i="1"/>
  <c r="O1267" i="1"/>
  <c r="P1267" i="1"/>
  <c r="H1267" i="1"/>
  <c r="I767" i="1"/>
  <c r="J767" i="1"/>
  <c r="K767" i="1"/>
  <c r="L767" i="1"/>
  <c r="M767" i="1"/>
  <c r="N767" i="1"/>
  <c r="O767" i="1"/>
  <c r="P767" i="1"/>
  <c r="Q768" i="1"/>
  <c r="E279" i="3"/>
  <c r="F279" i="3"/>
  <c r="G279" i="3"/>
  <c r="H279" i="3"/>
  <c r="J279" i="3"/>
  <c r="K279" i="3"/>
  <c r="L279" i="3"/>
  <c r="M279" i="3"/>
  <c r="E90" i="3"/>
  <c r="F90" i="3"/>
  <c r="G90" i="3"/>
  <c r="H90" i="3"/>
  <c r="J90" i="3"/>
  <c r="K90" i="3"/>
  <c r="L90" i="3"/>
  <c r="M90" i="3"/>
  <c r="I91" i="3"/>
  <c r="AD539" i="2"/>
  <c r="AD1516" i="2"/>
  <c r="D1516" i="2"/>
  <c r="D1515" i="2" s="1"/>
  <c r="E538" i="2"/>
  <c r="F538" i="2"/>
  <c r="G538" i="2"/>
  <c r="H538" i="2"/>
  <c r="I538" i="2"/>
  <c r="J538" i="2"/>
  <c r="K538" i="2"/>
  <c r="L538" i="2"/>
  <c r="M538" i="2"/>
  <c r="N538" i="2"/>
  <c r="O538" i="2"/>
  <c r="P538" i="2"/>
  <c r="Q538" i="2"/>
  <c r="R538" i="2"/>
  <c r="S538" i="2"/>
  <c r="T538" i="2"/>
  <c r="U538" i="2"/>
  <c r="V538" i="2"/>
  <c r="V537" i="2" s="1"/>
  <c r="C538" i="2"/>
  <c r="D539" i="2"/>
  <c r="D538" i="2" s="1"/>
  <c r="I1539" i="1"/>
  <c r="J1539" i="1"/>
  <c r="K1539" i="1"/>
  <c r="L1539" i="1"/>
  <c r="M1539" i="1"/>
  <c r="N1539" i="1"/>
  <c r="O1539" i="1"/>
  <c r="P1539" i="1"/>
  <c r="H1539" i="1"/>
  <c r="Q1540" i="1"/>
  <c r="I497" i="1"/>
  <c r="J497" i="1"/>
  <c r="K497" i="1"/>
  <c r="L497" i="1"/>
  <c r="M497" i="1"/>
  <c r="N497" i="1"/>
  <c r="O497" i="1"/>
  <c r="P497" i="1"/>
  <c r="H497" i="1"/>
  <c r="Q498" i="1"/>
  <c r="D184" i="3"/>
  <c r="E184" i="3"/>
  <c r="F184" i="3"/>
  <c r="G184" i="3"/>
  <c r="H184" i="3"/>
  <c r="J184" i="3"/>
  <c r="K184" i="3"/>
  <c r="L184" i="3"/>
  <c r="M184" i="3"/>
  <c r="C184" i="3"/>
  <c r="V1032" i="2"/>
  <c r="D1512" i="2"/>
  <c r="E1512" i="2"/>
  <c r="F1512" i="2"/>
  <c r="G1512" i="2"/>
  <c r="H1512" i="2"/>
  <c r="I1512" i="2"/>
  <c r="J1512" i="2"/>
  <c r="K1512" i="2"/>
  <c r="L1512" i="2"/>
  <c r="M1512" i="2"/>
  <c r="N1512" i="2"/>
  <c r="O1512" i="2"/>
  <c r="P1512" i="2"/>
  <c r="Q1512" i="2"/>
  <c r="R1512" i="2"/>
  <c r="S1512" i="2"/>
  <c r="T1512" i="2"/>
  <c r="U1512" i="2"/>
  <c r="V1512" i="2"/>
  <c r="C1512" i="2"/>
  <c r="D1510" i="2"/>
  <c r="D1509" i="2" s="1"/>
  <c r="E1510" i="2"/>
  <c r="E1509" i="2" s="1"/>
  <c r="F1510" i="2"/>
  <c r="F1509" i="2" s="1"/>
  <c r="G1510" i="2"/>
  <c r="G1509" i="2" s="1"/>
  <c r="H1510" i="2"/>
  <c r="H1509" i="2" s="1"/>
  <c r="I1510" i="2"/>
  <c r="I1509" i="2" s="1"/>
  <c r="J1510" i="2"/>
  <c r="J1509" i="2" s="1"/>
  <c r="K1510" i="2"/>
  <c r="K1509" i="2" s="1"/>
  <c r="L1510" i="2"/>
  <c r="L1509" i="2" s="1"/>
  <c r="M1510" i="2"/>
  <c r="M1509" i="2" s="1"/>
  <c r="N1510" i="2"/>
  <c r="N1509" i="2" s="1"/>
  <c r="O1510" i="2"/>
  <c r="O1509" i="2" s="1"/>
  <c r="P1510" i="2"/>
  <c r="P1509" i="2" s="1"/>
  <c r="Q1510" i="2"/>
  <c r="Q1509" i="2" s="1"/>
  <c r="R1510" i="2"/>
  <c r="R1509" i="2" s="1"/>
  <c r="S1510" i="2"/>
  <c r="S1509" i="2" s="1"/>
  <c r="T1510" i="2"/>
  <c r="T1509" i="2" s="1"/>
  <c r="U1510" i="2"/>
  <c r="U1509" i="2" s="1"/>
  <c r="V1510" i="2"/>
  <c r="C1510" i="2"/>
  <c r="C1509" i="2" s="1"/>
  <c r="W1513" i="2"/>
  <c r="W1511" i="2"/>
  <c r="V1027" i="2"/>
  <c r="D1030" i="2"/>
  <c r="E1030" i="2"/>
  <c r="F1030" i="2"/>
  <c r="G1030" i="2"/>
  <c r="H1030" i="2"/>
  <c r="I1030" i="2"/>
  <c r="J1030" i="2"/>
  <c r="K1030" i="2"/>
  <c r="L1030" i="2"/>
  <c r="M1030" i="2"/>
  <c r="N1030" i="2"/>
  <c r="O1030" i="2"/>
  <c r="P1030" i="2"/>
  <c r="Q1030" i="2"/>
  <c r="R1030" i="2"/>
  <c r="S1030" i="2"/>
  <c r="T1030" i="2"/>
  <c r="U1030" i="2"/>
  <c r="C1030" i="2"/>
  <c r="W1031" i="2"/>
  <c r="D1028" i="2"/>
  <c r="D1027" i="2" s="1"/>
  <c r="E1028" i="2"/>
  <c r="E1027" i="2" s="1"/>
  <c r="F1028" i="2"/>
  <c r="F1027" i="2" s="1"/>
  <c r="G1028" i="2"/>
  <c r="G1027" i="2" s="1"/>
  <c r="H1028" i="2"/>
  <c r="H1027" i="2" s="1"/>
  <c r="I1028" i="2"/>
  <c r="I1027" i="2" s="1"/>
  <c r="J1028" i="2"/>
  <c r="J1027" i="2" s="1"/>
  <c r="K1028" i="2"/>
  <c r="K1027" i="2" s="1"/>
  <c r="L1028" i="2"/>
  <c r="L1027" i="2" s="1"/>
  <c r="M1028" i="2"/>
  <c r="M1027" i="2" s="1"/>
  <c r="N1028" i="2"/>
  <c r="N1027" i="2" s="1"/>
  <c r="O1028" i="2"/>
  <c r="O1027" i="2" s="1"/>
  <c r="P1028" i="2"/>
  <c r="P1027" i="2" s="1"/>
  <c r="Q1028" i="2"/>
  <c r="Q1027" i="2" s="1"/>
  <c r="R1028" i="2"/>
  <c r="R1027" i="2" s="1"/>
  <c r="S1028" i="2"/>
  <c r="S1027" i="2" s="1"/>
  <c r="T1028" i="2"/>
  <c r="T1027" i="2" s="1"/>
  <c r="U1028" i="2"/>
  <c r="U1027" i="2" s="1"/>
  <c r="C1028" i="2"/>
  <c r="C1027" i="2" s="1"/>
  <c r="W1029" i="2"/>
  <c r="L540" i="2"/>
  <c r="D535" i="2"/>
  <c r="E535" i="2"/>
  <c r="F535" i="2"/>
  <c r="G535" i="2"/>
  <c r="H535" i="2"/>
  <c r="I535" i="2"/>
  <c r="J535" i="2"/>
  <c r="K535" i="2"/>
  <c r="L535" i="2"/>
  <c r="M535" i="2"/>
  <c r="N535" i="2"/>
  <c r="O535" i="2"/>
  <c r="P535" i="2"/>
  <c r="Q535" i="2"/>
  <c r="R535" i="2"/>
  <c r="S535" i="2"/>
  <c r="T535" i="2"/>
  <c r="U535" i="2"/>
  <c r="V535" i="2"/>
  <c r="C535" i="2"/>
  <c r="W536" i="2"/>
  <c r="W534" i="2"/>
  <c r="D533" i="2"/>
  <c r="E533" i="2"/>
  <c r="F533" i="2"/>
  <c r="F532" i="2" s="1"/>
  <c r="G533" i="2"/>
  <c r="H533" i="2"/>
  <c r="I533" i="2"/>
  <c r="J533" i="2"/>
  <c r="J532" i="2" s="1"/>
  <c r="K533" i="2"/>
  <c r="L533" i="2"/>
  <c r="M533" i="2"/>
  <c r="N533" i="2"/>
  <c r="N532" i="2" s="1"/>
  <c r="O533" i="2"/>
  <c r="P533" i="2"/>
  <c r="Q533" i="2"/>
  <c r="R533" i="2"/>
  <c r="R532" i="2" s="1"/>
  <c r="S533" i="2"/>
  <c r="T533" i="2"/>
  <c r="U533" i="2"/>
  <c r="C533" i="2"/>
  <c r="X1293" i="2"/>
  <c r="X1294" i="2"/>
  <c r="X1295" i="2"/>
  <c r="X1292" i="2"/>
  <c r="W1292" i="2"/>
  <c r="X805" i="2"/>
  <c r="X804" i="2"/>
  <c r="W805" i="2"/>
  <c r="W804" i="2"/>
  <c r="X254" i="2"/>
  <c r="X255" i="2"/>
  <c r="X256" i="2"/>
  <c r="X257" i="2"/>
  <c r="X258" i="2"/>
  <c r="X259" i="2"/>
  <c r="X253" i="2"/>
  <c r="W256" i="2"/>
  <c r="D252" i="2"/>
  <c r="D251" i="2" s="1"/>
  <c r="E252" i="2"/>
  <c r="E251" i="2" s="1"/>
  <c r="F252" i="2"/>
  <c r="F251" i="2" s="1"/>
  <c r="G252" i="2"/>
  <c r="G251" i="2" s="1"/>
  <c r="H252" i="2"/>
  <c r="H251" i="2" s="1"/>
  <c r="I252" i="2"/>
  <c r="I251" i="2" s="1"/>
  <c r="J252" i="2"/>
  <c r="J251" i="2" s="1"/>
  <c r="K252" i="2"/>
  <c r="K251" i="2" s="1"/>
  <c r="L252" i="2"/>
  <c r="L251" i="2" s="1"/>
  <c r="M252" i="2"/>
  <c r="M251" i="2" s="1"/>
  <c r="N252" i="2"/>
  <c r="N251" i="2" s="1"/>
  <c r="O252" i="2"/>
  <c r="O251" i="2" s="1"/>
  <c r="P252" i="2"/>
  <c r="P251" i="2" s="1"/>
  <c r="Q252" i="2"/>
  <c r="Q251" i="2" s="1"/>
  <c r="R252" i="2"/>
  <c r="R251" i="2" s="1"/>
  <c r="S252" i="2"/>
  <c r="S251" i="2" s="1"/>
  <c r="T252" i="2"/>
  <c r="T251" i="2" s="1"/>
  <c r="U252" i="2"/>
  <c r="U251" i="2" s="1"/>
  <c r="V252" i="2"/>
  <c r="C252" i="2"/>
  <c r="C251" i="2" s="1"/>
  <c r="O268" i="1"/>
  <c r="Q268" i="1"/>
  <c r="I261" i="1"/>
  <c r="J261" i="1"/>
  <c r="K261" i="1"/>
  <c r="L261" i="1"/>
  <c r="M261" i="1"/>
  <c r="N261" i="1"/>
  <c r="P261" i="1"/>
  <c r="H261" i="1"/>
  <c r="E205" i="3"/>
  <c r="F205" i="3"/>
  <c r="G205" i="3"/>
  <c r="H205" i="3"/>
  <c r="J205" i="3"/>
  <c r="K205" i="3"/>
  <c r="L205" i="3"/>
  <c r="E112" i="3"/>
  <c r="F112" i="3"/>
  <c r="G112" i="3"/>
  <c r="H112" i="3"/>
  <c r="J112" i="3"/>
  <c r="K112" i="3"/>
  <c r="L112" i="3"/>
  <c r="E14" i="3"/>
  <c r="F14" i="3"/>
  <c r="G14" i="3"/>
  <c r="H14" i="3"/>
  <c r="J14" i="3"/>
  <c r="K14" i="3"/>
  <c r="L14" i="3"/>
  <c r="D1291" i="2"/>
  <c r="D1290" i="2" s="1"/>
  <c r="E1291" i="2"/>
  <c r="E1290" i="2" s="1"/>
  <c r="F1291" i="2"/>
  <c r="F1290" i="2" s="1"/>
  <c r="G1291" i="2"/>
  <c r="G1290" i="2" s="1"/>
  <c r="H1291" i="2"/>
  <c r="H1290" i="2" s="1"/>
  <c r="I1291" i="2"/>
  <c r="I1290" i="2" s="1"/>
  <c r="J1291" i="2"/>
  <c r="J1290" i="2" s="1"/>
  <c r="K1291" i="2"/>
  <c r="K1290" i="2" s="1"/>
  <c r="L1291" i="2"/>
  <c r="L1290" i="2" s="1"/>
  <c r="M1291" i="2"/>
  <c r="M1290" i="2" s="1"/>
  <c r="N1291" i="2"/>
  <c r="N1290" i="2" s="1"/>
  <c r="O1291" i="2"/>
  <c r="O1290" i="2" s="1"/>
  <c r="P1291" i="2"/>
  <c r="P1290" i="2" s="1"/>
  <c r="Q1291" i="2"/>
  <c r="Q1290" i="2" s="1"/>
  <c r="R1291" i="2"/>
  <c r="R1290" i="2" s="1"/>
  <c r="S1291" i="2"/>
  <c r="S1290" i="2" s="1"/>
  <c r="T1291" i="2"/>
  <c r="T1290" i="2" s="1"/>
  <c r="U1291" i="2"/>
  <c r="U1290" i="2" s="1"/>
  <c r="D803" i="2"/>
  <c r="D802" i="2" s="1"/>
  <c r="E803" i="2"/>
  <c r="E802" i="2" s="1"/>
  <c r="F803" i="2"/>
  <c r="F802" i="2" s="1"/>
  <c r="G803" i="2"/>
  <c r="G802" i="2" s="1"/>
  <c r="H803" i="2"/>
  <c r="H802" i="2" s="1"/>
  <c r="I803" i="2"/>
  <c r="I802" i="2" s="1"/>
  <c r="J803" i="2"/>
  <c r="J802" i="2" s="1"/>
  <c r="K803" i="2"/>
  <c r="K802" i="2" s="1"/>
  <c r="L803" i="2"/>
  <c r="L802" i="2" s="1"/>
  <c r="M803" i="2"/>
  <c r="M802" i="2" s="1"/>
  <c r="N803" i="2"/>
  <c r="N802" i="2" s="1"/>
  <c r="O803" i="2"/>
  <c r="O802" i="2" s="1"/>
  <c r="P803" i="2"/>
  <c r="P802" i="2" s="1"/>
  <c r="Q803" i="2"/>
  <c r="Q802" i="2" s="1"/>
  <c r="R803" i="2"/>
  <c r="R802" i="2" s="1"/>
  <c r="S803" i="2"/>
  <c r="S802" i="2" s="1"/>
  <c r="T803" i="2"/>
  <c r="T802" i="2" s="1"/>
  <c r="U803" i="2"/>
  <c r="U802" i="2" s="1"/>
  <c r="V803" i="2"/>
  <c r="C803" i="2"/>
  <c r="C802" i="2" s="1"/>
  <c r="O1325" i="1"/>
  <c r="O1326" i="1"/>
  <c r="O1327" i="1"/>
  <c r="I1323" i="1"/>
  <c r="J1323" i="1"/>
  <c r="K1323" i="1"/>
  <c r="L1323" i="1"/>
  <c r="M1323" i="1"/>
  <c r="N1323" i="1"/>
  <c r="P1323" i="1"/>
  <c r="H1323" i="1"/>
  <c r="I826" i="1"/>
  <c r="J826" i="1"/>
  <c r="K826" i="1"/>
  <c r="L826" i="1"/>
  <c r="M826" i="1"/>
  <c r="N826" i="1"/>
  <c r="P826" i="1"/>
  <c r="O827" i="1"/>
  <c r="H826" i="1"/>
  <c r="O265" i="1"/>
  <c r="O266" i="1"/>
  <c r="O267" i="1"/>
  <c r="O264" i="1"/>
  <c r="D277" i="3"/>
  <c r="E277" i="3"/>
  <c r="F277" i="3"/>
  <c r="G277" i="3"/>
  <c r="H277" i="3"/>
  <c r="J277" i="3"/>
  <c r="K277" i="3"/>
  <c r="L277" i="3"/>
  <c r="M277" i="3"/>
  <c r="C277" i="3"/>
  <c r="D182" i="3"/>
  <c r="E182" i="3"/>
  <c r="F182" i="3"/>
  <c r="G182" i="3"/>
  <c r="H182" i="3"/>
  <c r="J182" i="3"/>
  <c r="K182" i="3"/>
  <c r="L182" i="3"/>
  <c r="M182" i="3"/>
  <c r="C182" i="3"/>
  <c r="E88" i="3"/>
  <c r="F88" i="3"/>
  <c r="G88" i="3"/>
  <c r="H88" i="3"/>
  <c r="J88" i="3"/>
  <c r="K88" i="3"/>
  <c r="L88" i="3"/>
  <c r="W1506" i="2"/>
  <c r="W1505" i="2"/>
  <c r="D1504" i="2"/>
  <c r="E1504" i="2"/>
  <c r="F1504" i="2"/>
  <c r="G1504" i="2"/>
  <c r="H1504" i="2"/>
  <c r="I1504" i="2"/>
  <c r="J1504" i="2"/>
  <c r="K1504" i="2"/>
  <c r="L1504" i="2"/>
  <c r="M1504" i="2"/>
  <c r="N1504" i="2"/>
  <c r="O1504" i="2"/>
  <c r="P1504" i="2"/>
  <c r="Q1504" i="2"/>
  <c r="R1504" i="2"/>
  <c r="S1504" i="2"/>
  <c r="T1504" i="2"/>
  <c r="U1504" i="2"/>
  <c r="C1504" i="2"/>
  <c r="W1024" i="2"/>
  <c r="W1025" i="2"/>
  <c r="W1026" i="2"/>
  <c r="W1023" i="2"/>
  <c r="D1022" i="2"/>
  <c r="E1022" i="2"/>
  <c r="F1022" i="2"/>
  <c r="G1022" i="2"/>
  <c r="H1022" i="2"/>
  <c r="I1022" i="2"/>
  <c r="J1022" i="2"/>
  <c r="K1022" i="2"/>
  <c r="L1022" i="2"/>
  <c r="M1022" i="2"/>
  <c r="N1022" i="2"/>
  <c r="O1022" i="2"/>
  <c r="P1022" i="2"/>
  <c r="Q1022" i="2"/>
  <c r="R1022" i="2"/>
  <c r="S1022" i="2"/>
  <c r="T1022" i="2"/>
  <c r="U1022" i="2"/>
  <c r="C1022" i="2"/>
  <c r="C529" i="2"/>
  <c r="C530" i="2"/>
  <c r="C531" i="2"/>
  <c r="C528" i="2"/>
  <c r="Y529" i="2"/>
  <c r="Y528" i="2"/>
  <c r="X529" i="2"/>
  <c r="X528" i="2"/>
  <c r="W529" i="2"/>
  <c r="W530" i="2"/>
  <c r="W531" i="2"/>
  <c r="W528" i="2"/>
  <c r="D529" i="2"/>
  <c r="D530" i="2"/>
  <c r="D531" i="2"/>
  <c r="D528" i="2"/>
  <c r="E527" i="2"/>
  <c r="F527" i="2"/>
  <c r="G527" i="2"/>
  <c r="H527" i="2"/>
  <c r="I527" i="2"/>
  <c r="J527" i="2"/>
  <c r="K527" i="2"/>
  <c r="L527" i="2"/>
  <c r="M527" i="2"/>
  <c r="N527" i="2"/>
  <c r="O527" i="2"/>
  <c r="P527" i="2"/>
  <c r="Q527" i="2"/>
  <c r="R527" i="2"/>
  <c r="S527" i="2"/>
  <c r="T527" i="2"/>
  <c r="U527" i="2"/>
  <c r="I1528" i="1"/>
  <c r="J1528" i="1"/>
  <c r="K1528" i="1"/>
  <c r="L1528" i="1"/>
  <c r="M1528" i="1"/>
  <c r="N1528" i="1"/>
  <c r="P1528" i="1"/>
  <c r="H1528" i="1"/>
  <c r="D255" i="3"/>
  <c r="E255" i="3"/>
  <c r="F255" i="3"/>
  <c r="G255" i="3"/>
  <c r="H255" i="3"/>
  <c r="J255" i="3"/>
  <c r="K255" i="3"/>
  <c r="L255" i="3"/>
  <c r="M255" i="3"/>
  <c r="C255" i="3"/>
  <c r="N256" i="3"/>
  <c r="N255" i="3" s="1"/>
  <c r="D162" i="3"/>
  <c r="E162" i="3"/>
  <c r="F162" i="3"/>
  <c r="G162" i="3"/>
  <c r="H162" i="3"/>
  <c r="J162" i="3"/>
  <c r="K162" i="3"/>
  <c r="L162" i="3"/>
  <c r="M162" i="3"/>
  <c r="C162" i="3"/>
  <c r="N163" i="3"/>
  <c r="N162" i="3" s="1"/>
  <c r="E66" i="3"/>
  <c r="F66" i="3"/>
  <c r="G66" i="3"/>
  <c r="H66" i="3"/>
  <c r="J66" i="3"/>
  <c r="K66" i="3"/>
  <c r="L66" i="3"/>
  <c r="M66" i="3"/>
  <c r="N67" i="3"/>
  <c r="N66" i="3" s="1"/>
  <c r="W1445" i="2"/>
  <c r="D1444" i="2"/>
  <c r="D1443" i="2" s="1"/>
  <c r="E1444" i="2"/>
  <c r="E1443" i="2" s="1"/>
  <c r="F1444" i="2"/>
  <c r="F1443" i="2" s="1"/>
  <c r="G1444" i="2"/>
  <c r="G1443" i="2" s="1"/>
  <c r="H1444" i="2"/>
  <c r="H1443" i="2" s="1"/>
  <c r="I1444" i="2"/>
  <c r="I1443" i="2" s="1"/>
  <c r="J1444" i="2"/>
  <c r="J1443" i="2" s="1"/>
  <c r="K1444" i="2"/>
  <c r="K1443" i="2" s="1"/>
  <c r="L1444" i="2"/>
  <c r="L1443" i="2" s="1"/>
  <c r="M1444" i="2"/>
  <c r="M1443" i="2" s="1"/>
  <c r="N1444" i="2"/>
  <c r="N1443" i="2" s="1"/>
  <c r="O1444" i="2"/>
  <c r="O1443" i="2" s="1"/>
  <c r="P1444" i="2"/>
  <c r="P1443" i="2" s="1"/>
  <c r="Q1444" i="2"/>
  <c r="Q1443" i="2" s="1"/>
  <c r="R1444" i="2"/>
  <c r="R1443" i="2" s="1"/>
  <c r="S1444" i="2"/>
  <c r="S1443" i="2" s="1"/>
  <c r="T1444" i="2"/>
  <c r="T1443" i="2" s="1"/>
  <c r="U1444" i="2"/>
  <c r="U1443" i="2" s="1"/>
  <c r="V1444" i="2"/>
  <c r="C1444" i="2"/>
  <c r="C1443" i="2" s="1"/>
  <c r="AD960" i="2"/>
  <c r="W960" i="2"/>
  <c r="E959" i="2"/>
  <c r="E958" i="2" s="1"/>
  <c r="F959" i="2"/>
  <c r="F958" i="2" s="1"/>
  <c r="G959" i="2"/>
  <c r="G958" i="2" s="1"/>
  <c r="H959" i="2"/>
  <c r="H958" i="2" s="1"/>
  <c r="I959" i="2"/>
  <c r="I958" i="2" s="1"/>
  <c r="J959" i="2"/>
  <c r="J958" i="2" s="1"/>
  <c r="K959" i="2"/>
  <c r="K958" i="2" s="1"/>
  <c r="L959" i="2"/>
  <c r="L958" i="2" s="1"/>
  <c r="M959" i="2"/>
  <c r="M958" i="2" s="1"/>
  <c r="N959" i="2"/>
  <c r="N958" i="2" s="1"/>
  <c r="O959" i="2"/>
  <c r="O958" i="2" s="1"/>
  <c r="P959" i="2"/>
  <c r="P958" i="2" s="1"/>
  <c r="Q959" i="2"/>
  <c r="Q958" i="2" s="1"/>
  <c r="R959" i="2"/>
  <c r="R958" i="2" s="1"/>
  <c r="S959" i="2"/>
  <c r="S958" i="2" s="1"/>
  <c r="T959" i="2"/>
  <c r="T958" i="2" s="1"/>
  <c r="U959" i="2"/>
  <c r="U958" i="2" s="1"/>
  <c r="C959" i="2"/>
  <c r="C958" i="2" s="1"/>
  <c r="D960" i="2"/>
  <c r="D959" i="2" s="1"/>
  <c r="D958" i="2" s="1"/>
  <c r="AD427" i="2"/>
  <c r="AD426" i="2"/>
  <c r="W427" i="2"/>
  <c r="W426" i="2"/>
  <c r="D425" i="2"/>
  <c r="D424" i="2" s="1"/>
  <c r="E425" i="2"/>
  <c r="E424" i="2" s="1"/>
  <c r="F425" i="2"/>
  <c r="F424" i="2" s="1"/>
  <c r="G425" i="2"/>
  <c r="G424" i="2" s="1"/>
  <c r="H425" i="2"/>
  <c r="H424" i="2" s="1"/>
  <c r="I425" i="2"/>
  <c r="I424" i="2" s="1"/>
  <c r="J425" i="2"/>
  <c r="J424" i="2" s="1"/>
  <c r="K425" i="2"/>
  <c r="K424" i="2" s="1"/>
  <c r="L425" i="2"/>
  <c r="L424" i="2" s="1"/>
  <c r="M425" i="2"/>
  <c r="M424" i="2" s="1"/>
  <c r="N425" i="2"/>
  <c r="N424" i="2" s="1"/>
  <c r="O425" i="2"/>
  <c r="O424" i="2" s="1"/>
  <c r="P425" i="2"/>
  <c r="P424" i="2" s="1"/>
  <c r="Q425" i="2"/>
  <c r="Q424" i="2" s="1"/>
  <c r="R425" i="2"/>
  <c r="R424" i="2" s="1"/>
  <c r="S425" i="2"/>
  <c r="S424" i="2" s="1"/>
  <c r="T425" i="2"/>
  <c r="T424" i="2" s="1"/>
  <c r="U425" i="2"/>
  <c r="U424" i="2" s="1"/>
  <c r="V425" i="2"/>
  <c r="V424" i="2" s="1"/>
  <c r="C425" i="2"/>
  <c r="C424" i="2" s="1"/>
  <c r="I1472" i="1"/>
  <c r="J1472" i="1"/>
  <c r="K1472" i="1"/>
  <c r="L1472" i="1"/>
  <c r="M1472" i="1"/>
  <c r="N1472" i="1"/>
  <c r="O1472" i="1"/>
  <c r="P1472" i="1"/>
  <c r="H1472" i="1"/>
  <c r="I974" i="1"/>
  <c r="J974" i="1"/>
  <c r="K974" i="1"/>
  <c r="L974" i="1"/>
  <c r="M974" i="1"/>
  <c r="N974" i="1"/>
  <c r="O974" i="1"/>
  <c r="P974" i="1"/>
  <c r="H974" i="1"/>
  <c r="I430" i="1"/>
  <c r="J430" i="1"/>
  <c r="K430" i="1"/>
  <c r="L430" i="1"/>
  <c r="M430" i="1"/>
  <c r="N430" i="1"/>
  <c r="P430" i="1"/>
  <c r="H430" i="1"/>
  <c r="N270" i="3"/>
  <c r="I270" i="3"/>
  <c r="N177" i="3"/>
  <c r="N81" i="3"/>
  <c r="I80" i="3"/>
  <c r="I81" i="3"/>
  <c r="I83" i="3"/>
  <c r="Y1491" i="2"/>
  <c r="W1489" i="2"/>
  <c r="W1490" i="2"/>
  <c r="W1488" i="2"/>
  <c r="D1489" i="2"/>
  <c r="D1490" i="2"/>
  <c r="D1491" i="2"/>
  <c r="D1488" i="2"/>
  <c r="E1487" i="2"/>
  <c r="F1487" i="2"/>
  <c r="G1487" i="2"/>
  <c r="H1487" i="2"/>
  <c r="I1487" i="2"/>
  <c r="J1487" i="2"/>
  <c r="K1487" i="2"/>
  <c r="L1487" i="2"/>
  <c r="M1487" i="2"/>
  <c r="N1487" i="2"/>
  <c r="O1487" i="2"/>
  <c r="P1487" i="2"/>
  <c r="Q1487" i="2"/>
  <c r="R1487" i="2"/>
  <c r="S1487" i="2"/>
  <c r="T1487" i="2"/>
  <c r="U1487" i="2"/>
  <c r="V1487" i="2"/>
  <c r="C1487" i="2"/>
  <c r="W1008" i="2"/>
  <c r="W1009" i="2"/>
  <c r="W1007" i="2"/>
  <c r="D1006" i="2"/>
  <c r="E1006" i="2"/>
  <c r="F1006" i="2"/>
  <c r="G1006" i="2"/>
  <c r="H1006" i="2"/>
  <c r="I1006" i="2"/>
  <c r="J1006" i="2"/>
  <c r="K1006" i="2"/>
  <c r="L1006" i="2"/>
  <c r="M1006" i="2"/>
  <c r="N1006" i="2"/>
  <c r="O1006" i="2"/>
  <c r="P1006" i="2"/>
  <c r="Q1006" i="2"/>
  <c r="R1006" i="2"/>
  <c r="S1006" i="2"/>
  <c r="T1006" i="2"/>
  <c r="U1006" i="2"/>
  <c r="C1006" i="2"/>
  <c r="W512" i="2"/>
  <c r="W511" i="2"/>
  <c r="N185" i="3"/>
  <c r="N184" i="3" s="1"/>
  <c r="I185" i="3"/>
  <c r="I184" i="3" s="1"/>
  <c r="N281" i="3"/>
  <c r="N279" i="3" s="1"/>
  <c r="I281" i="3"/>
  <c r="I279" i="3" s="1"/>
  <c r="N92" i="3"/>
  <c r="N90" i="3" s="1"/>
  <c r="I92" i="3"/>
  <c r="W1519" i="2"/>
  <c r="W1518" i="2"/>
  <c r="D1517" i="2"/>
  <c r="D1514" i="2" s="1"/>
  <c r="E1517" i="2"/>
  <c r="E1514" i="2" s="1"/>
  <c r="F1517" i="2"/>
  <c r="F1514" i="2" s="1"/>
  <c r="G1517" i="2"/>
  <c r="G1514" i="2" s="1"/>
  <c r="H1517" i="2"/>
  <c r="H1514" i="2" s="1"/>
  <c r="I1517" i="2"/>
  <c r="I1514" i="2" s="1"/>
  <c r="J1517" i="2"/>
  <c r="J1514" i="2" s="1"/>
  <c r="K1517" i="2"/>
  <c r="K1514" i="2" s="1"/>
  <c r="L1517" i="2"/>
  <c r="L1514" i="2" s="1"/>
  <c r="M1517" i="2"/>
  <c r="M1514" i="2" s="1"/>
  <c r="N1517" i="2"/>
  <c r="N1514" i="2" s="1"/>
  <c r="O1517" i="2"/>
  <c r="O1514" i="2" s="1"/>
  <c r="P1517" i="2"/>
  <c r="P1514" i="2" s="1"/>
  <c r="Q1517" i="2"/>
  <c r="Q1514" i="2" s="1"/>
  <c r="R1517" i="2"/>
  <c r="R1514" i="2" s="1"/>
  <c r="S1517" i="2"/>
  <c r="S1514" i="2" s="1"/>
  <c r="T1517" i="2"/>
  <c r="T1514" i="2" s="1"/>
  <c r="U1517" i="2"/>
  <c r="U1514" i="2" s="1"/>
  <c r="V1517" i="2"/>
  <c r="C1517" i="2"/>
  <c r="C1514" i="2" s="1"/>
  <c r="D1033" i="2"/>
  <c r="D1032" i="2" s="1"/>
  <c r="E1033" i="2"/>
  <c r="E1032" i="2" s="1"/>
  <c r="F1033" i="2"/>
  <c r="F1032" i="2" s="1"/>
  <c r="G1033" i="2"/>
  <c r="G1032" i="2" s="1"/>
  <c r="H1033" i="2"/>
  <c r="H1032" i="2" s="1"/>
  <c r="I1033" i="2"/>
  <c r="I1032" i="2" s="1"/>
  <c r="J1033" i="2"/>
  <c r="J1032" i="2" s="1"/>
  <c r="K1033" i="2"/>
  <c r="K1032" i="2" s="1"/>
  <c r="L1033" i="2"/>
  <c r="L1032" i="2" s="1"/>
  <c r="M1033" i="2"/>
  <c r="M1032" i="2" s="1"/>
  <c r="N1033" i="2"/>
  <c r="N1032" i="2" s="1"/>
  <c r="O1033" i="2"/>
  <c r="O1032" i="2" s="1"/>
  <c r="P1033" i="2"/>
  <c r="P1032" i="2" s="1"/>
  <c r="Q1033" i="2"/>
  <c r="Q1032" i="2" s="1"/>
  <c r="R1033" i="2"/>
  <c r="R1032" i="2" s="1"/>
  <c r="S1033" i="2"/>
  <c r="S1032" i="2" s="1"/>
  <c r="T1033" i="2"/>
  <c r="T1032" i="2" s="1"/>
  <c r="U1033" i="2"/>
  <c r="U1032" i="2" s="1"/>
  <c r="C1033" i="2"/>
  <c r="C1032" i="2" s="1"/>
  <c r="W1034" i="2"/>
  <c r="I90" i="3" l="1"/>
  <c r="U532" i="2"/>
  <c r="Q532" i="2"/>
  <c r="M532" i="2"/>
  <c r="I532" i="2"/>
  <c r="E532" i="2"/>
  <c r="T532" i="2"/>
  <c r="P532" i="2"/>
  <c r="L532" i="2"/>
  <c r="H532" i="2"/>
  <c r="D532" i="2"/>
  <c r="S532" i="2"/>
  <c r="O532" i="2"/>
  <c r="K532" i="2"/>
  <c r="G532" i="2"/>
  <c r="M113" i="3"/>
  <c r="M112" i="3" s="1"/>
  <c r="C206" i="3"/>
  <c r="C205" i="3" s="1"/>
  <c r="M206" i="3"/>
  <c r="M205" i="3" s="1"/>
  <c r="C15" i="3"/>
  <c r="C91" i="3"/>
  <c r="C90" i="3" s="1"/>
  <c r="D91" i="3"/>
  <c r="D90" i="3" s="1"/>
  <c r="C280" i="3"/>
  <c r="C279" i="3" s="1"/>
  <c r="D280" i="3"/>
  <c r="D279" i="3" s="1"/>
  <c r="C60" i="3"/>
  <c r="D60" i="3"/>
  <c r="M63" i="3"/>
  <c r="C159" i="3"/>
  <c r="D159" i="3"/>
  <c r="M252" i="3"/>
  <c r="N252" i="3" s="1"/>
  <c r="M57" i="3"/>
  <c r="C113" i="3"/>
  <c r="C112" i="3" s="1"/>
  <c r="D113" i="3"/>
  <c r="D112" i="3" s="1"/>
  <c r="D206" i="3"/>
  <c r="D205" i="3" s="1"/>
  <c r="D15" i="3"/>
  <c r="D14" i="3" s="1"/>
  <c r="C63" i="3"/>
  <c r="D63" i="3"/>
  <c r="M159" i="3"/>
  <c r="N159" i="3" s="1"/>
  <c r="C252" i="3"/>
  <c r="D252" i="3"/>
  <c r="W301" i="2"/>
  <c r="O298" i="2"/>
  <c r="W305" i="2"/>
  <c r="T844" i="2"/>
  <c r="R844" i="2"/>
  <c r="P844" i="2"/>
  <c r="L844" i="2"/>
  <c r="J844" i="2"/>
  <c r="H844" i="2"/>
  <c r="F844" i="2"/>
  <c r="D844" i="2"/>
  <c r="C527" i="2"/>
  <c r="L537" i="2"/>
  <c r="C844" i="2"/>
  <c r="C532" i="2"/>
  <c r="V912" i="2"/>
  <c r="U844" i="2"/>
  <c r="S844" i="2"/>
  <c r="Q844" i="2"/>
  <c r="O844" i="2"/>
  <c r="M844" i="2"/>
  <c r="K844" i="2"/>
  <c r="I844" i="2"/>
  <c r="G844" i="2"/>
  <c r="E844" i="2"/>
  <c r="D744" i="2"/>
  <c r="C1018" i="2"/>
  <c r="C1017" i="2" s="1"/>
  <c r="C520" i="2"/>
  <c r="C519" i="2" s="1"/>
  <c r="C1498" i="2"/>
  <c r="D527" i="2"/>
  <c r="C1291" i="2"/>
  <c r="C1290" i="2" s="1"/>
  <c r="D1487" i="2"/>
  <c r="W313" i="2"/>
  <c r="W508" i="2"/>
  <c r="W542" i="2"/>
  <c r="W543" i="2"/>
  <c r="W545" i="2"/>
  <c r="W546" i="2"/>
  <c r="W547" i="2"/>
  <c r="W548" i="2"/>
  <c r="W549" i="2"/>
  <c r="W550" i="2"/>
  <c r="W551" i="2"/>
  <c r="W541" i="2"/>
  <c r="W1039" i="2"/>
  <c r="W1040" i="2"/>
  <c r="W1041" i="2"/>
  <c r="W1042" i="2"/>
  <c r="W1043" i="2"/>
  <c r="W1044" i="2"/>
  <c r="W1045" i="2"/>
  <c r="W1046" i="2"/>
  <c r="W1047" i="2"/>
  <c r="W1038" i="2"/>
  <c r="W1523" i="2"/>
  <c r="W1524" i="2"/>
  <c r="W1525" i="2"/>
  <c r="W1526" i="2"/>
  <c r="W1527" i="2"/>
  <c r="W1528" i="2"/>
  <c r="W1522" i="2"/>
  <c r="D1037" i="2"/>
  <c r="E1037" i="2"/>
  <c r="F1037" i="2"/>
  <c r="G1037" i="2"/>
  <c r="H1037" i="2"/>
  <c r="I1037" i="2"/>
  <c r="J1037" i="2"/>
  <c r="K1037" i="2"/>
  <c r="L1037" i="2"/>
  <c r="M1037" i="2"/>
  <c r="N1037" i="2"/>
  <c r="O1037" i="2"/>
  <c r="P1037" i="2"/>
  <c r="Q1037" i="2"/>
  <c r="R1037" i="2"/>
  <c r="S1037" i="2"/>
  <c r="T1037" i="2"/>
  <c r="U1037" i="2"/>
  <c r="V1037" i="2"/>
  <c r="C1037" i="2"/>
  <c r="Y274" i="2"/>
  <c r="D248" i="3"/>
  <c r="C248" i="3"/>
  <c r="D154" i="3"/>
  <c r="C154" i="3"/>
  <c r="W1421" i="2"/>
  <c r="W932" i="2"/>
  <c r="W398" i="2"/>
  <c r="X1349" i="2"/>
  <c r="X860" i="2"/>
  <c r="N269" i="3"/>
  <c r="I269" i="3"/>
  <c r="X1485" i="2"/>
  <c r="N176" i="3"/>
  <c r="I176" i="3"/>
  <c r="D176" i="3"/>
  <c r="X1004" i="2"/>
  <c r="N80" i="3"/>
  <c r="D232" i="3"/>
  <c r="C232" i="3"/>
  <c r="D138" i="3"/>
  <c r="C138" i="3"/>
  <c r="W330" i="2"/>
  <c r="W873" i="2"/>
  <c r="W1361" i="2"/>
  <c r="N272" i="3"/>
  <c r="N179" i="3"/>
  <c r="N83" i="3"/>
  <c r="W1497" i="2"/>
  <c r="I293" i="3"/>
  <c r="L292" i="3"/>
  <c r="N292" i="3" s="1"/>
  <c r="I292" i="3"/>
  <c r="D292" i="3"/>
  <c r="C292" i="3"/>
  <c r="H291" i="3"/>
  <c r="G291" i="3"/>
  <c r="D291" i="3"/>
  <c r="C291" i="3"/>
  <c r="N290" i="3"/>
  <c r="I290" i="3"/>
  <c r="M287" i="3"/>
  <c r="N287" i="3" s="1"/>
  <c r="I287" i="3"/>
  <c r="D287" i="3"/>
  <c r="C287" i="3"/>
  <c r="M286" i="3"/>
  <c r="N286" i="3" s="1"/>
  <c r="I286" i="3"/>
  <c r="D286" i="3"/>
  <c r="C286" i="3"/>
  <c r="A286" i="3"/>
  <c r="N278" i="3"/>
  <c r="N277" i="3" s="1"/>
  <c r="I278" i="3"/>
  <c r="I277" i="3" s="1"/>
  <c r="L273" i="3"/>
  <c r="K273" i="3"/>
  <c r="J273" i="3"/>
  <c r="G273" i="3"/>
  <c r="I273" i="3" s="1"/>
  <c r="F273" i="3"/>
  <c r="E273" i="3"/>
  <c r="I272" i="3"/>
  <c r="N268" i="3"/>
  <c r="M268" i="3"/>
  <c r="L268" i="3"/>
  <c r="K268" i="3"/>
  <c r="J268" i="3"/>
  <c r="H268" i="3"/>
  <c r="G268" i="3"/>
  <c r="F268" i="3"/>
  <c r="E268" i="3"/>
  <c r="D268" i="3"/>
  <c r="C268" i="3"/>
  <c r="N267" i="3"/>
  <c r="N266" i="3"/>
  <c r="M264" i="3"/>
  <c r="N264" i="3" s="1"/>
  <c r="N263" i="3" s="1"/>
  <c r="H264" i="3"/>
  <c r="I264" i="3" s="1"/>
  <c r="D264" i="3"/>
  <c r="C264" i="3"/>
  <c r="C263" i="3" s="1"/>
  <c r="L263" i="3"/>
  <c r="K263" i="3"/>
  <c r="J263" i="3"/>
  <c r="G263" i="3"/>
  <c r="F263" i="3"/>
  <c r="E263" i="3"/>
  <c r="D263" i="3"/>
  <c r="N262" i="3"/>
  <c r="N261" i="3" s="1"/>
  <c r="I262" i="3"/>
  <c r="M261" i="3"/>
  <c r="L261" i="3"/>
  <c r="K261" i="3"/>
  <c r="J261" i="3"/>
  <c r="H261" i="3"/>
  <c r="G261" i="3"/>
  <c r="F261" i="3"/>
  <c r="E261" i="3"/>
  <c r="D261" i="3"/>
  <c r="C261" i="3"/>
  <c r="I259" i="3"/>
  <c r="N258" i="3"/>
  <c r="I258" i="3"/>
  <c r="L257" i="3"/>
  <c r="K257" i="3"/>
  <c r="J257" i="3"/>
  <c r="G257" i="3"/>
  <c r="F257" i="3"/>
  <c r="E257" i="3"/>
  <c r="D257" i="3"/>
  <c r="C257" i="3"/>
  <c r="I256" i="3"/>
  <c r="I255" i="3" s="1"/>
  <c r="M254" i="3"/>
  <c r="N254" i="3" s="1"/>
  <c r="N253" i="3" s="1"/>
  <c r="H254" i="3"/>
  <c r="I254" i="3" s="1"/>
  <c r="L253" i="3"/>
  <c r="K253" i="3"/>
  <c r="J253" i="3"/>
  <c r="G253" i="3"/>
  <c r="F253" i="3"/>
  <c r="E253" i="3"/>
  <c r="I252" i="3"/>
  <c r="M251" i="3"/>
  <c r="N251" i="3" s="1"/>
  <c r="I251" i="3"/>
  <c r="D251" i="3"/>
  <c r="C251" i="3"/>
  <c r="N250" i="3"/>
  <c r="I250" i="3"/>
  <c r="N249" i="3"/>
  <c r="I249" i="3"/>
  <c r="N248" i="3"/>
  <c r="I248" i="3"/>
  <c r="I247" i="3"/>
  <c r="I246" i="3"/>
  <c r="L245" i="3"/>
  <c r="K245" i="3"/>
  <c r="J245" i="3"/>
  <c r="H245" i="3"/>
  <c r="G245" i="3"/>
  <c r="F245" i="3"/>
  <c r="E245" i="3"/>
  <c r="D245" i="3"/>
  <c r="C245" i="3"/>
  <c r="M244" i="3"/>
  <c r="N244" i="3" s="1"/>
  <c r="I244" i="3"/>
  <c r="D244" i="3"/>
  <c r="C244" i="3"/>
  <c r="N243" i="3"/>
  <c r="I243" i="3"/>
  <c r="D243" i="3"/>
  <c r="C243" i="3"/>
  <c r="I242" i="3"/>
  <c r="L241" i="3"/>
  <c r="K241" i="3"/>
  <c r="J241" i="3"/>
  <c r="H241" i="3"/>
  <c r="G241" i="3"/>
  <c r="F241" i="3"/>
  <c r="E241" i="3"/>
  <c r="I239" i="3"/>
  <c r="L238" i="3"/>
  <c r="K238" i="3"/>
  <c r="J238" i="3"/>
  <c r="H238" i="3"/>
  <c r="G238" i="3"/>
  <c r="F238" i="3"/>
  <c r="E238" i="3"/>
  <c r="I237" i="3"/>
  <c r="L236" i="3"/>
  <c r="K236" i="3"/>
  <c r="J236" i="3"/>
  <c r="H236" i="3"/>
  <c r="G236" i="3"/>
  <c r="F236" i="3"/>
  <c r="E236" i="3"/>
  <c r="M234" i="3"/>
  <c r="N234" i="3" s="1"/>
  <c r="I234" i="3"/>
  <c r="D234" i="3"/>
  <c r="I233" i="3"/>
  <c r="N232" i="3"/>
  <c r="I232" i="3"/>
  <c r="K231" i="3"/>
  <c r="J231" i="3"/>
  <c r="H231" i="3"/>
  <c r="G231" i="3"/>
  <c r="F231" i="3"/>
  <c r="E231" i="3"/>
  <c r="D231" i="3"/>
  <c r="C231" i="3"/>
  <c r="H230" i="3"/>
  <c r="I230" i="3" s="1"/>
  <c r="N229" i="3"/>
  <c r="I229" i="3"/>
  <c r="L228" i="3"/>
  <c r="K228" i="3"/>
  <c r="J228" i="3"/>
  <c r="G228" i="3"/>
  <c r="F228" i="3"/>
  <c r="E228" i="3"/>
  <c r="D228" i="3"/>
  <c r="C228" i="3"/>
  <c r="N227" i="3"/>
  <c r="N226" i="3" s="1"/>
  <c r="I227" i="3"/>
  <c r="I226" i="3" s="1"/>
  <c r="N225" i="3"/>
  <c r="N224" i="3" s="1"/>
  <c r="I225" i="3"/>
  <c r="I224" i="3" s="1"/>
  <c r="I222" i="3"/>
  <c r="I221" i="3"/>
  <c r="I220" i="3"/>
  <c r="I219" i="3"/>
  <c r="N215" i="3"/>
  <c r="N214" i="3" s="1"/>
  <c r="C214" i="3"/>
  <c r="A215" i="3"/>
  <c r="A217" i="3" s="1"/>
  <c r="A219" i="3" s="1"/>
  <c r="A220" i="3" s="1"/>
  <c r="A221" i="3" s="1"/>
  <c r="A222" i="3" s="1"/>
  <c r="A225" i="3" s="1"/>
  <c r="A227" i="3" s="1"/>
  <c r="A229" i="3" s="1"/>
  <c r="A230" i="3" s="1"/>
  <c r="A232" i="3" s="1"/>
  <c r="A233" i="3" s="1"/>
  <c r="A234" i="3" s="1"/>
  <c r="A235" i="3" s="1"/>
  <c r="A237" i="3" s="1"/>
  <c r="A239" i="3" s="1"/>
  <c r="A242" i="3" s="1"/>
  <c r="A243" i="3" s="1"/>
  <c r="A244" i="3" s="1"/>
  <c r="A246" i="3" s="1"/>
  <c r="A247" i="3" s="1"/>
  <c r="A248" i="3" s="1"/>
  <c r="A249" i="3" s="1"/>
  <c r="A250" i="3" s="1"/>
  <c r="A251" i="3" s="1"/>
  <c r="A252" i="3" s="1"/>
  <c r="A254" i="3" s="1"/>
  <c r="L214" i="3"/>
  <c r="K214" i="3"/>
  <c r="J214" i="3"/>
  <c r="H214" i="3"/>
  <c r="G214" i="3"/>
  <c r="F214" i="3"/>
  <c r="E214" i="3"/>
  <c r="D214" i="3"/>
  <c r="I213" i="3"/>
  <c r="H212" i="3"/>
  <c r="I212" i="3" s="1"/>
  <c r="D212" i="3"/>
  <c r="C212" i="3"/>
  <c r="L211" i="3"/>
  <c r="K211" i="3"/>
  <c r="J211" i="3"/>
  <c r="G211" i="3"/>
  <c r="F211" i="3"/>
  <c r="E211" i="3"/>
  <c r="N210" i="3"/>
  <c r="N209" i="3" s="1"/>
  <c r="I210" i="3"/>
  <c r="L209" i="3"/>
  <c r="K209" i="3"/>
  <c r="J209" i="3"/>
  <c r="H209" i="3"/>
  <c r="G209" i="3"/>
  <c r="F209" i="3"/>
  <c r="E209" i="3"/>
  <c r="D209" i="3"/>
  <c r="C209" i="3"/>
  <c r="N208" i="3"/>
  <c r="N207" i="3" s="1"/>
  <c r="I208" i="3"/>
  <c r="I207" i="3" s="1"/>
  <c r="C207" i="3"/>
  <c r="I206" i="3"/>
  <c r="I205" i="3" s="1"/>
  <c r="N203" i="3"/>
  <c r="I203" i="3"/>
  <c r="N202" i="3"/>
  <c r="I202" i="3"/>
  <c r="I201" i="3"/>
  <c r="N200" i="3"/>
  <c r="I200" i="3"/>
  <c r="I199" i="3"/>
  <c r="M198" i="3"/>
  <c r="N198" i="3" s="1"/>
  <c r="I198" i="3"/>
  <c r="D198" i="3"/>
  <c r="C198" i="3"/>
  <c r="L196" i="3"/>
  <c r="N196" i="3" s="1"/>
  <c r="I196" i="3"/>
  <c r="D196" i="3"/>
  <c r="C196" i="3"/>
  <c r="M195" i="3"/>
  <c r="H195" i="3"/>
  <c r="G195" i="3"/>
  <c r="D195" i="3"/>
  <c r="C195" i="3"/>
  <c r="N194" i="3"/>
  <c r="I194" i="3"/>
  <c r="M191" i="3"/>
  <c r="N191" i="3" s="1"/>
  <c r="I191" i="3"/>
  <c r="D191" i="3"/>
  <c r="C191" i="3"/>
  <c r="M190" i="3"/>
  <c r="N190" i="3" s="1"/>
  <c r="I190" i="3"/>
  <c r="D190" i="3"/>
  <c r="C190" i="3"/>
  <c r="A190" i="3"/>
  <c r="N183" i="3"/>
  <c r="I183" i="3"/>
  <c r="I182" i="3" s="1"/>
  <c r="L180" i="3"/>
  <c r="K180" i="3"/>
  <c r="J180" i="3"/>
  <c r="G180" i="3"/>
  <c r="I180" i="3" s="1"/>
  <c r="F180" i="3"/>
  <c r="E180" i="3"/>
  <c r="I179" i="3"/>
  <c r="I177" i="3"/>
  <c r="N175" i="3"/>
  <c r="M175" i="3"/>
  <c r="L175" i="3"/>
  <c r="K175" i="3"/>
  <c r="J175" i="3"/>
  <c r="H175" i="3"/>
  <c r="G175" i="3"/>
  <c r="F175" i="3"/>
  <c r="E175" i="3"/>
  <c r="D175" i="3"/>
  <c r="C175" i="3"/>
  <c r="N174" i="3"/>
  <c r="I174" i="3"/>
  <c r="I172" i="3" s="1"/>
  <c r="D174" i="3"/>
  <c r="C174" i="3"/>
  <c r="N173" i="3"/>
  <c r="N172" i="3" s="1"/>
  <c r="D173" i="3"/>
  <c r="C173" i="3"/>
  <c r="M171" i="3"/>
  <c r="N171" i="3" s="1"/>
  <c r="N170" i="3" s="1"/>
  <c r="H171" i="3"/>
  <c r="I171" i="3" s="1"/>
  <c r="D171" i="3"/>
  <c r="C171" i="3"/>
  <c r="C170" i="3" s="1"/>
  <c r="L170" i="3"/>
  <c r="K170" i="3"/>
  <c r="J170" i="3"/>
  <c r="G170" i="3"/>
  <c r="F170" i="3"/>
  <c r="E170" i="3"/>
  <c r="D170" i="3"/>
  <c r="I169" i="3"/>
  <c r="L168" i="3"/>
  <c r="K168" i="3"/>
  <c r="J168" i="3"/>
  <c r="H168" i="3"/>
  <c r="G168" i="3"/>
  <c r="F168" i="3"/>
  <c r="E168" i="3"/>
  <c r="H167" i="3"/>
  <c r="I167" i="3" s="1"/>
  <c r="N166" i="3"/>
  <c r="I166" i="3"/>
  <c r="I165" i="3"/>
  <c r="L164" i="3"/>
  <c r="K164" i="3"/>
  <c r="J164" i="3"/>
  <c r="G164" i="3"/>
  <c r="F164" i="3"/>
  <c r="E164" i="3"/>
  <c r="I163" i="3"/>
  <c r="I162" i="3" s="1"/>
  <c r="M161" i="3"/>
  <c r="N161" i="3" s="1"/>
  <c r="N160" i="3" s="1"/>
  <c r="H161" i="3"/>
  <c r="I161" i="3" s="1"/>
  <c r="D161" i="3"/>
  <c r="D160" i="3" s="1"/>
  <c r="C161" i="3"/>
  <c r="C160" i="3" s="1"/>
  <c r="L160" i="3"/>
  <c r="K160" i="3"/>
  <c r="J160" i="3"/>
  <c r="G160" i="3"/>
  <c r="F160" i="3"/>
  <c r="E160" i="3"/>
  <c r="I159" i="3"/>
  <c r="M158" i="3"/>
  <c r="N158" i="3" s="1"/>
  <c r="I158" i="3"/>
  <c r="D158" i="3"/>
  <c r="C158" i="3"/>
  <c r="N157" i="3"/>
  <c r="I157" i="3"/>
  <c r="N155" i="3"/>
  <c r="I155" i="3"/>
  <c r="N154" i="3"/>
  <c r="I154" i="3"/>
  <c r="I153" i="3"/>
  <c r="N152" i="3"/>
  <c r="I152" i="3"/>
  <c r="L151" i="3"/>
  <c r="K151" i="3"/>
  <c r="J151" i="3"/>
  <c r="G151" i="3"/>
  <c r="F151" i="3"/>
  <c r="E151" i="3"/>
  <c r="M150" i="3"/>
  <c r="N150" i="3" s="1"/>
  <c r="I150" i="3"/>
  <c r="D150" i="3"/>
  <c r="C150" i="3"/>
  <c r="N149" i="3"/>
  <c r="I149" i="3"/>
  <c r="L147" i="3"/>
  <c r="K147" i="3"/>
  <c r="J147" i="3"/>
  <c r="H147" i="3"/>
  <c r="G147" i="3"/>
  <c r="F147" i="3"/>
  <c r="E147" i="3"/>
  <c r="I145" i="3"/>
  <c r="L144" i="3"/>
  <c r="K144" i="3"/>
  <c r="J144" i="3"/>
  <c r="H144" i="3"/>
  <c r="G144" i="3"/>
  <c r="F144" i="3"/>
  <c r="E144" i="3"/>
  <c r="I143" i="3"/>
  <c r="C142" i="3"/>
  <c r="L142" i="3"/>
  <c r="K142" i="3"/>
  <c r="J142" i="3"/>
  <c r="H142" i="3"/>
  <c r="G142" i="3"/>
  <c r="F142" i="3"/>
  <c r="E142" i="3"/>
  <c r="I141" i="3"/>
  <c r="M140" i="3"/>
  <c r="N140" i="3" s="1"/>
  <c r="I140" i="3"/>
  <c r="D140" i="3"/>
  <c r="C140" i="3"/>
  <c r="I139" i="3"/>
  <c r="N138" i="3"/>
  <c r="I138" i="3"/>
  <c r="K137" i="3"/>
  <c r="J137" i="3"/>
  <c r="H137" i="3"/>
  <c r="G137" i="3"/>
  <c r="F137" i="3"/>
  <c r="E137" i="3"/>
  <c r="D137" i="3"/>
  <c r="C137" i="3"/>
  <c r="H136" i="3"/>
  <c r="I136" i="3" s="1"/>
  <c r="I135" i="3"/>
  <c r="L134" i="3"/>
  <c r="K134" i="3"/>
  <c r="J134" i="3"/>
  <c r="G134" i="3"/>
  <c r="F134" i="3"/>
  <c r="E134" i="3"/>
  <c r="I133" i="3"/>
  <c r="I132" i="3" s="1"/>
  <c r="N131" i="3"/>
  <c r="N130" i="3" s="1"/>
  <c r="I131" i="3"/>
  <c r="I130" i="3" s="1"/>
  <c r="N129" i="3"/>
  <c r="I129" i="3"/>
  <c r="I128" i="3"/>
  <c r="N127" i="3"/>
  <c r="I127" i="3"/>
  <c r="I126" i="3"/>
  <c r="N122" i="3"/>
  <c r="N121" i="3" s="1"/>
  <c r="I122" i="3"/>
  <c r="D121" i="3"/>
  <c r="A122" i="3"/>
  <c r="A124" i="3" s="1"/>
  <c r="A127" i="3" s="1"/>
  <c r="A128" i="3" s="1"/>
  <c r="A129" i="3" s="1"/>
  <c r="A131" i="3" s="1"/>
  <c r="A133" i="3" s="1"/>
  <c r="A135" i="3" s="1"/>
  <c r="A136" i="3" s="1"/>
  <c r="A138" i="3" s="1"/>
  <c r="A139" i="3" s="1"/>
  <c r="A140" i="3" s="1"/>
  <c r="A141" i="3" s="1"/>
  <c r="A143" i="3" s="1"/>
  <c r="A145" i="3" s="1"/>
  <c r="A148" i="3" s="1"/>
  <c r="A149" i="3" s="1"/>
  <c r="A150" i="3" s="1"/>
  <c r="A152" i="3" s="1"/>
  <c r="A153" i="3" s="1"/>
  <c r="A154" i="3" s="1"/>
  <c r="A155" i="3" s="1"/>
  <c r="A157" i="3" s="1"/>
  <c r="A158" i="3" s="1"/>
  <c r="A159" i="3" s="1"/>
  <c r="A161" i="3" s="1"/>
  <c r="M121" i="3"/>
  <c r="L121" i="3"/>
  <c r="K121" i="3"/>
  <c r="J121" i="3"/>
  <c r="H121" i="3"/>
  <c r="G121" i="3"/>
  <c r="F121" i="3"/>
  <c r="E121" i="3"/>
  <c r="C121" i="3"/>
  <c r="I120" i="3"/>
  <c r="M119" i="3"/>
  <c r="N119" i="3" s="1"/>
  <c r="H119" i="3"/>
  <c r="I119" i="3" s="1"/>
  <c r="D119" i="3"/>
  <c r="C119" i="3"/>
  <c r="L118" i="3"/>
  <c r="K118" i="3"/>
  <c r="J118" i="3"/>
  <c r="G118" i="3"/>
  <c r="F118" i="3"/>
  <c r="E118" i="3"/>
  <c r="I117" i="3"/>
  <c r="M116" i="3"/>
  <c r="L116" i="3"/>
  <c r="K116" i="3"/>
  <c r="J116" i="3"/>
  <c r="H116" i="3"/>
  <c r="G116" i="3"/>
  <c r="F116" i="3"/>
  <c r="E116" i="3"/>
  <c r="D116" i="3"/>
  <c r="C116" i="3"/>
  <c r="I115" i="3"/>
  <c r="I114" i="3" s="1"/>
  <c r="I113" i="3"/>
  <c r="I112" i="3" s="1"/>
  <c r="N110" i="3"/>
  <c r="I110" i="3"/>
  <c r="I109" i="3"/>
  <c r="I108" i="3"/>
  <c r="N107" i="3"/>
  <c r="I107" i="3"/>
  <c r="I106" i="3"/>
  <c r="M105" i="3"/>
  <c r="N105" i="3" s="1"/>
  <c r="I105" i="3"/>
  <c r="D105" i="3"/>
  <c r="C105" i="3"/>
  <c r="I89" i="3"/>
  <c r="I88" i="3" s="1"/>
  <c r="L84" i="3"/>
  <c r="K84" i="3"/>
  <c r="J84" i="3"/>
  <c r="G84" i="3"/>
  <c r="F84" i="3"/>
  <c r="E84" i="3"/>
  <c r="W1016" i="2"/>
  <c r="W518" i="2"/>
  <c r="Y777" i="2"/>
  <c r="AA226" i="2"/>
  <c r="AA225" i="2"/>
  <c r="W778" i="2"/>
  <c r="W779" i="2"/>
  <c r="W780" i="2"/>
  <c r="W782" i="2"/>
  <c r="W776" i="2"/>
  <c r="D776" i="2"/>
  <c r="D777" i="2"/>
  <c r="D778" i="2"/>
  <c r="D779" i="2"/>
  <c r="D780" i="2"/>
  <c r="D781" i="2"/>
  <c r="D782" i="2"/>
  <c r="W224" i="2"/>
  <c r="W228" i="2"/>
  <c r="W229" i="2"/>
  <c r="W230" i="2"/>
  <c r="W231" i="2"/>
  <c r="W223" i="2"/>
  <c r="W775" i="2"/>
  <c r="W774" i="2"/>
  <c r="V1521" i="2"/>
  <c r="U1521" i="2"/>
  <c r="T1521" i="2"/>
  <c r="S1521" i="2"/>
  <c r="R1521" i="2"/>
  <c r="Q1521" i="2"/>
  <c r="P1521" i="2"/>
  <c r="O1521" i="2"/>
  <c r="N1521" i="2"/>
  <c r="M1521" i="2"/>
  <c r="L1521" i="2"/>
  <c r="K1521" i="2"/>
  <c r="J1521" i="2"/>
  <c r="I1521" i="2"/>
  <c r="H1521" i="2"/>
  <c r="G1521" i="2"/>
  <c r="F1521" i="2"/>
  <c r="E1521" i="2"/>
  <c r="D1521" i="2"/>
  <c r="C1521" i="2"/>
  <c r="V1496" i="2"/>
  <c r="U1496" i="2"/>
  <c r="T1496" i="2"/>
  <c r="S1496" i="2"/>
  <c r="R1496" i="2"/>
  <c r="Q1496" i="2"/>
  <c r="P1496" i="2"/>
  <c r="O1496" i="2"/>
  <c r="N1496" i="2"/>
  <c r="M1496" i="2"/>
  <c r="L1496" i="2"/>
  <c r="K1496" i="2"/>
  <c r="J1496" i="2"/>
  <c r="I1496" i="2"/>
  <c r="H1496" i="2"/>
  <c r="G1496" i="2"/>
  <c r="F1496" i="2"/>
  <c r="E1496" i="2"/>
  <c r="D1496" i="2"/>
  <c r="C1496" i="2"/>
  <c r="U1484" i="2"/>
  <c r="T1484" i="2"/>
  <c r="S1484" i="2"/>
  <c r="R1484" i="2"/>
  <c r="Q1484" i="2"/>
  <c r="P1484" i="2"/>
  <c r="O1484" i="2"/>
  <c r="N1484" i="2"/>
  <c r="M1484" i="2"/>
  <c r="L1484" i="2"/>
  <c r="K1484" i="2"/>
  <c r="J1484" i="2"/>
  <c r="I1484" i="2"/>
  <c r="H1484" i="2"/>
  <c r="G1484" i="2"/>
  <c r="F1484" i="2"/>
  <c r="E1484" i="2"/>
  <c r="D1484" i="2"/>
  <c r="C1484" i="2"/>
  <c r="N1431" i="2"/>
  <c r="U1420" i="2"/>
  <c r="T1420" i="2"/>
  <c r="S1420" i="2"/>
  <c r="R1420" i="2"/>
  <c r="Q1420" i="2"/>
  <c r="P1420" i="2"/>
  <c r="O1420" i="2"/>
  <c r="O1402" i="2" s="1"/>
  <c r="N1420" i="2"/>
  <c r="N1402" i="2" s="1"/>
  <c r="M1420" i="2"/>
  <c r="M1402" i="2" s="1"/>
  <c r="L1420" i="2"/>
  <c r="K1420" i="2"/>
  <c r="J1420" i="2"/>
  <c r="I1420" i="2"/>
  <c r="H1420" i="2"/>
  <c r="G1420" i="2"/>
  <c r="F1420" i="2"/>
  <c r="E1420" i="2"/>
  <c r="D1420" i="2"/>
  <c r="C1420" i="2"/>
  <c r="U1360" i="2"/>
  <c r="T1360" i="2"/>
  <c r="S1360" i="2"/>
  <c r="R1360" i="2"/>
  <c r="Q1360" i="2"/>
  <c r="P1360" i="2"/>
  <c r="O1360" i="2"/>
  <c r="N1360" i="2"/>
  <c r="M1360" i="2"/>
  <c r="L1360" i="2"/>
  <c r="K1360" i="2"/>
  <c r="J1360" i="2"/>
  <c r="I1360" i="2"/>
  <c r="H1360" i="2"/>
  <c r="G1360" i="2"/>
  <c r="F1360" i="2"/>
  <c r="E1360" i="2"/>
  <c r="D1360" i="2"/>
  <c r="C1360" i="2"/>
  <c r="U1348" i="2"/>
  <c r="U1347" i="2" s="1"/>
  <c r="T1348" i="2"/>
  <c r="T1347" i="2" s="1"/>
  <c r="S1348" i="2"/>
  <c r="S1347" i="2" s="1"/>
  <c r="R1348" i="2"/>
  <c r="R1347" i="2" s="1"/>
  <c r="Q1348" i="2"/>
  <c r="Q1347" i="2" s="1"/>
  <c r="P1348" i="2"/>
  <c r="P1347" i="2" s="1"/>
  <c r="O1348" i="2"/>
  <c r="O1347" i="2" s="1"/>
  <c r="N1348" i="2"/>
  <c r="N1347" i="2" s="1"/>
  <c r="M1348" i="2"/>
  <c r="M1347" i="2" s="1"/>
  <c r="L1348" i="2"/>
  <c r="L1347" i="2" s="1"/>
  <c r="K1348" i="2"/>
  <c r="K1347" i="2" s="1"/>
  <c r="J1348" i="2"/>
  <c r="J1347" i="2" s="1"/>
  <c r="I1348" i="2"/>
  <c r="I1347" i="2" s="1"/>
  <c r="H1348" i="2"/>
  <c r="H1347" i="2" s="1"/>
  <c r="G1348" i="2"/>
  <c r="G1347" i="2" s="1"/>
  <c r="F1348" i="2"/>
  <c r="F1347" i="2" s="1"/>
  <c r="E1348" i="2"/>
  <c r="E1347" i="2" s="1"/>
  <c r="D1348" i="2"/>
  <c r="D1347" i="2" s="1"/>
  <c r="C1348" i="2"/>
  <c r="C1347" i="2" s="1"/>
  <c r="U1306" i="2"/>
  <c r="T1306" i="2"/>
  <c r="S1306" i="2"/>
  <c r="R1306" i="2"/>
  <c r="Q1306" i="2"/>
  <c r="P1306" i="2"/>
  <c r="O1306" i="2"/>
  <c r="N1306" i="2"/>
  <c r="M1306" i="2"/>
  <c r="L1306" i="2"/>
  <c r="K1306" i="2"/>
  <c r="J1306" i="2"/>
  <c r="I1306" i="2"/>
  <c r="H1306" i="2"/>
  <c r="G1306" i="2"/>
  <c r="F1306" i="2"/>
  <c r="E1306" i="2"/>
  <c r="D1306" i="2"/>
  <c r="C1306" i="2"/>
  <c r="V1221" i="2"/>
  <c r="V1220" i="2"/>
  <c r="V1219" i="2"/>
  <c r="V1218" i="2"/>
  <c r="V1217" i="2"/>
  <c r="V1216" i="2"/>
  <c r="K1216" i="2"/>
  <c r="V1215" i="2"/>
  <c r="V1214" i="2"/>
  <c r="V1213" i="2"/>
  <c r="V1212" i="2"/>
  <c r="V1211" i="2"/>
  <c r="V1210" i="2"/>
  <c r="V1209" i="2"/>
  <c r="V1208" i="2"/>
  <c r="V1207" i="2"/>
  <c r="V1206" i="2"/>
  <c r="V1205" i="2"/>
  <c r="V1204" i="2"/>
  <c r="K1204" i="2"/>
  <c r="V1203" i="2"/>
  <c r="V1202" i="2"/>
  <c r="V1201" i="2"/>
  <c r="V1200" i="2"/>
  <c r="K1200" i="2"/>
  <c r="V1199" i="2"/>
  <c r="V1198" i="2"/>
  <c r="V1197" i="2"/>
  <c r="V1196" i="2"/>
  <c r="V1195" i="2"/>
  <c r="V1194" i="2"/>
  <c r="V1193" i="2"/>
  <c r="V1192" i="2"/>
  <c r="V1191" i="2"/>
  <c r="V1190" i="2"/>
  <c r="V1189" i="2"/>
  <c r="V1188" i="2"/>
  <c r="K1188" i="2"/>
  <c r="V1187" i="2"/>
  <c r="V1186" i="2"/>
  <c r="V1185" i="2"/>
  <c r="V1184" i="2"/>
  <c r="V1183" i="2"/>
  <c r="V1182" i="2"/>
  <c r="V1181" i="2"/>
  <c r="V1180" i="2"/>
  <c r="V1179" i="2"/>
  <c r="V1178" i="2"/>
  <c r="V1177" i="2"/>
  <c r="V1176" i="2"/>
  <c r="V1175" i="2"/>
  <c r="V1174" i="2"/>
  <c r="V1173" i="2"/>
  <c r="V1172" i="2"/>
  <c r="V1171" i="2"/>
  <c r="V1170" i="2"/>
  <c r="V1169" i="2"/>
  <c r="V1168" i="2"/>
  <c r="V1167" i="2"/>
  <c r="V1166" i="2"/>
  <c r="K1165" i="2"/>
  <c r="V1165" i="2"/>
  <c r="V1164" i="2"/>
  <c r="V1163" i="2"/>
  <c r="V1162" i="2"/>
  <c r="V1161" i="2"/>
  <c r="V1160" i="2"/>
  <c r="K1159" i="2"/>
  <c r="V1159" i="2"/>
  <c r="V1158" i="2"/>
  <c r="V1157" i="2"/>
  <c r="V1156" i="2"/>
  <c r="V1155" i="2"/>
  <c r="V1154" i="2"/>
  <c r="V1153" i="2"/>
  <c r="K1153" i="2"/>
  <c r="V1152" i="2"/>
  <c r="V1151" i="2"/>
  <c r="V1150" i="2"/>
  <c r="V1149" i="2"/>
  <c r="V1148" i="2"/>
  <c r="V1147" i="2"/>
  <c r="V1146" i="2"/>
  <c r="V1145" i="2"/>
  <c r="V1144" i="2"/>
  <c r="V1143" i="2"/>
  <c r="V1142" i="2"/>
  <c r="V1141" i="2"/>
  <c r="V1140" i="2"/>
  <c r="V1139" i="2"/>
  <c r="V1138" i="2"/>
  <c r="V1137" i="2"/>
  <c r="V1136" i="2"/>
  <c r="V1135" i="2"/>
  <c r="V1134" i="2"/>
  <c r="V1133" i="2"/>
  <c r="V1132" i="2"/>
  <c r="V1131" i="2"/>
  <c r="V1130" i="2"/>
  <c r="V1129" i="2"/>
  <c r="V1128" i="2"/>
  <c r="V1127" i="2"/>
  <c r="V1126" i="2"/>
  <c r="K1126" i="2"/>
  <c r="V1125" i="2"/>
  <c r="V1124" i="2"/>
  <c r="V1123" i="2"/>
  <c r="V1122" i="2"/>
  <c r="V1121" i="2"/>
  <c r="V1120" i="2"/>
  <c r="V1119" i="2"/>
  <c r="V1118" i="2"/>
  <c r="V1117" i="2"/>
  <c r="V1116" i="2"/>
  <c r="V1115" i="2"/>
  <c r="V1114" i="2"/>
  <c r="V1113" i="2"/>
  <c r="V1112" i="2"/>
  <c r="V1111" i="2"/>
  <c r="V1110" i="2"/>
  <c r="V1109" i="2"/>
  <c r="V1108" i="2"/>
  <c r="V1107" i="2"/>
  <c r="V1106" i="2"/>
  <c r="V1105" i="2"/>
  <c r="V1104" i="2"/>
  <c r="V1103" i="2"/>
  <c r="K1102" i="2"/>
  <c r="V1102" i="2"/>
  <c r="V1101" i="2"/>
  <c r="V1100" i="2"/>
  <c r="O1100" i="2"/>
  <c r="V1099" i="2"/>
  <c r="O1099" i="2"/>
  <c r="V1098" i="2"/>
  <c r="V1097" i="2"/>
  <c r="V1096" i="2"/>
  <c r="V1095" i="2"/>
  <c r="V1094" i="2"/>
  <c r="V1093" i="2"/>
  <c r="V1092" i="2"/>
  <c r="V1091" i="2"/>
  <c r="V1090" i="2"/>
  <c r="V1089" i="2"/>
  <c r="V1088" i="2"/>
  <c r="V1087" i="2"/>
  <c r="V1086" i="2"/>
  <c r="V1085" i="2"/>
  <c r="V1084" i="2"/>
  <c r="V1083" i="2"/>
  <c r="V1082" i="2"/>
  <c r="V1081" i="2"/>
  <c r="V1080" i="2"/>
  <c r="V1079" i="2"/>
  <c r="V1078" i="2"/>
  <c r="K1078" i="2"/>
  <c r="V1076" i="2"/>
  <c r="V1075" i="2"/>
  <c r="V1074" i="2"/>
  <c r="V1073" i="2"/>
  <c r="V1072" i="2"/>
  <c r="V1071" i="2"/>
  <c r="V1070" i="2"/>
  <c r="Q1069" i="2"/>
  <c r="Q1053" i="2" s="1"/>
  <c r="V1068" i="2"/>
  <c r="V1067" i="2"/>
  <c r="V1066" i="2"/>
  <c r="V1065" i="2"/>
  <c r="V1064" i="2"/>
  <c r="V1063" i="2"/>
  <c r="V1062" i="2"/>
  <c r="K1062" i="2"/>
  <c r="V1061" i="2"/>
  <c r="O1061" i="2"/>
  <c r="V1060" i="2"/>
  <c r="M1060" i="2"/>
  <c r="M1053" i="2" s="1"/>
  <c r="V1059" i="2"/>
  <c r="V1058" i="2"/>
  <c r="V1057" i="2"/>
  <c r="V1056" i="2"/>
  <c r="V1055" i="2"/>
  <c r="V1054" i="2"/>
  <c r="S1053" i="2"/>
  <c r="R1053" i="2"/>
  <c r="P1053" i="2"/>
  <c r="N1053" i="2"/>
  <c r="C1053" i="2"/>
  <c r="V1015" i="2"/>
  <c r="U1015" i="2"/>
  <c r="T1015" i="2"/>
  <c r="S1015" i="2"/>
  <c r="R1015" i="2"/>
  <c r="Q1015" i="2"/>
  <c r="P1015" i="2"/>
  <c r="O1015" i="2"/>
  <c r="N1015" i="2"/>
  <c r="M1015" i="2"/>
  <c r="L1015" i="2"/>
  <c r="K1015" i="2"/>
  <c r="J1015" i="2"/>
  <c r="I1015" i="2"/>
  <c r="H1015" i="2"/>
  <c r="G1015" i="2"/>
  <c r="F1015" i="2"/>
  <c r="E1015" i="2"/>
  <c r="D1015" i="2"/>
  <c r="C1015" i="2"/>
  <c r="U1003" i="2"/>
  <c r="T1003" i="2"/>
  <c r="S1003" i="2"/>
  <c r="R1003" i="2"/>
  <c r="Q1003" i="2"/>
  <c r="P1003" i="2"/>
  <c r="O1003" i="2"/>
  <c r="N1003" i="2"/>
  <c r="M1003" i="2"/>
  <c r="L1003" i="2"/>
  <c r="K1003" i="2"/>
  <c r="J1003" i="2"/>
  <c r="I1003" i="2"/>
  <c r="H1003" i="2"/>
  <c r="G1003" i="2"/>
  <c r="F1003" i="2"/>
  <c r="E1003" i="2"/>
  <c r="D1003" i="2"/>
  <c r="C1003" i="2"/>
  <c r="N946" i="2"/>
  <c r="U931" i="2"/>
  <c r="U912" i="2" s="1"/>
  <c r="T931" i="2"/>
  <c r="T912" i="2" s="1"/>
  <c r="S931" i="2"/>
  <c r="S912" i="2" s="1"/>
  <c r="R931" i="2"/>
  <c r="R912" i="2" s="1"/>
  <c r="Q931" i="2"/>
  <c r="Q912" i="2" s="1"/>
  <c r="P931" i="2"/>
  <c r="P912" i="2" s="1"/>
  <c r="O931" i="2"/>
  <c r="O912" i="2" s="1"/>
  <c r="N931" i="2"/>
  <c r="N912" i="2" s="1"/>
  <c r="M931" i="2"/>
  <c r="M912" i="2" s="1"/>
  <c r="L931" i="2"/>
  <c r="L912" i="2" s="1"/>
  <c r="K931" i="2"/>
  <c r="K912" i="2" s="1"/>
  <c r="J931" i="2"/>
  <c r="J912" i="2" s="1"/>
  <c r="I931" i="2"/>
  <c r="I912" i="2" s="1"/>
  <c r="H931" i="2"/>
  <c r="H912" i="2" s="1"/>
  <c r="G931" i="2"/>
  <c r="G912" i="2" s="1"/>
  <c r="F931" i="2"/>
  <c r="F912" i="2" s="1"/>
  <c r="E931" i="2"/>
  <c r="E912" i="2" s="1"/>
  <c r="D931" i="2"/>
  <c r="D912" i="2" s="1"/>
  <c r="C931" i="2"/>
  <c r="C912" i="2" s="1"/>
  <c r="U872" i="2"/>
  <c r="T872" i="2"/>
  <c r="S872" i="2"/>
  <c r="R872" i="2"/>
  <c r="Q872" i="2"/>
  <c r="P872" i="2"/>
  <c r="O872" i="2"/>
  <c r="N872" i="2"/>
  <c r="M872" i="2"/>
  <c r="L872" i="2"/>
  <c r="K872" i="2"/>
  <c r="J872" i="2"/>
  <c r="I872" i="2"/>
  <c r="H872" i="2"/>
  <c r="G872" i="2"/>
  <c r="F872" i="2"/>
  <c r="E872" i="2"/>
  <c r="D872" i="2"/>
  <c r="C872" i="2"/>
  <c r="U859" i="2"/>
  <c r="U858" i="2" s="1"/>
  <c r="T859" i="2"/>
  <c r="T858" i="2" s="1"/>
  <c r="S859" i="2"/>
  <c r="S858" i="2" s="1"/>
  <c r="R859" i="2"/>
  <c r="R858" i="2" s="1"/>
  <c r="Q859" i="2"/>
  <c r="Q858" i="2" s="1"/>
  <c r="P859" i="2"/>
  <c r="P858" i="2" s="1"/>
  <c r="O859" i="2"/>
  <c r="O858" i="2" s="1"/>
  <c r="N859" i="2"/>
  <c r="N858" i="2" s="1"/>
  <c r="M859" i="2"/>
  <c r="M858" i="2" s="1"/>
  <c r="L859" i="2"/>
  <c r="L858" i="2" s="1"/>
  <c r="K859" i="2"/>
  <c r="K858" i="2" s="1"/>
  <c r="J859" i="2"/>
  <c r="J858" i="2" s="1"/>
  <c r="I859" i="2"/>
  <c r="I858" i="2" s="1"/>
  <c r="H859" i="2"/>
  <c r="H858" i="2" s="1"/>
  <c r="G859" i="2"/>
  <c r="G858" i="2" s="1"/>
  <c r="F859" i="2"/>
  <c r="F858" i="2" s="1"/>
  <c r="E859" i="2"/>
  <c r="E858" i="2" s="1"/>
  <c r="D859" i="2"/>
  <c r="D858" i="2" s="1"/>
  <c r="C859" i="2"/>
  <c r="C858" i="2" s="1"/>
  <c r="V841" i="2"/>
  <c r="U818" i="2"/>
  <c r="T818" i="2"/>
  <c r="S818" i="2"/>
  <c r="R818" i="2"/>
  <c r="Q818" i="2"/>
  <c r="P818" i="2"/>
  <c r="O818" i="2"/>
  <c r="N818" i="2"/>
  <c r="M818" i="2"/>
  <c r="L818" i="2"/>
  <c r="K818" i="2"/>
  <c r="J818" i="2"/>
  <c r="I818" i="2"/>
  <c r="H818" i="2"/>
  <c r="G818" i="2"/>
  <c r="F818" i="2"/>
  <c r="E818" i="2"/>
  <c r="D818" i="2"/>
  <c r="C818" i="2"/>
  <c r="N811" i="2"/>
  <c r="D775" i="2"/>
  <c r="D774" i="2"/>
  <c r="U773" i="2"/>
  <c r="T773" i="2"/>
  <c r="S773" i="2"/>
  <c r="R773" i="2"/>
  <c r="Q773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C773" i="2"/>
  <c r="V729" i="2"/>
  <c r="V728" i="2"/>
  <c r="V727" i="2"/>
  <c r="V726" i="2"/>
  <c r="V725" i="2"/>
  <c r="V724" i="2"/>
  <c r="K724" i="2"/>
  <c r="V723" i="2"/>
  <c r="V722" i="2"/>
  <c r="V721" i="2"/>
  <c r="V720" i="2"/>
  <c r="V719" i="2"/>
  <c r="V718" i="2"/>
  <c r="V717" i="2"/>
  <c r="V716" i="2"/>
  <c r="V715" i="2"/>
  <c r="V714" i="2"/>
  <c r="V713" i="2"/>
  <c r="K712" i="2"/>
  <c r="V712" i="2"/>
  <c r="V711" i="2"/>
  <c r="V710" i="2"/>
  <c r="V709" i="2"/>
  <c r="V708" i="2"/>
  <c r="K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K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3" i="2"/>
  <c r="V682" i="2"/>
  <c r="V681" i="2"/>
  <c r="V680" i="2"/>
  <c r="V679" i="2"/>
  <c r="V678" i="2"/>
  <c r="V677" i="2"/>
  <c r="V676" i="2"/>
  <c r="V675" i="2"/>
  <c r="V674" i="2"/>
  <c r="K673" i="2"/>
  <c r="V673" i="2"/>
  <c r="V672" i="2"/>
  <c r="V671" i="2"/>
  <c r="V670" i="2"/>
  <c r="V669" i="2"/>
  <c r="V668" i="2"/>
  <c r="V667" i="2"/>
  <c r="K667" i="2"/>
  <c r="V666" i="2"/>
  <c r="V665" i="2"/>
  <c r="V664" i="2"/>
  <c r="V663" i="2"/>
  <c r="V662" i="2"/>
  <c r="K661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K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K610" i="2"/>
  <c r="V610" i="2"/>
  <c r="V609" i="2"/>
  <c r="V608" i="2"/>
  <c r="O608" i="2"/>
  <c r="V607" i="2"/>
  <c r="O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7" i="2"/>
  <c r="V586" i="2"/>
  <c r="K586" i="2"/>
  <c r="V585" i="2"/>
  <c r="V584" i="2"/>
  <c r="V583" i="2"/>
  <c r="V582" i="2"/>
  <c r="V581" i="2"/>
  <c r="V580" i="2"/>
  <c r="V579" i="2"/>
  <c r="V578" i="2"/>
  <c r="V577" i="2"/>
  <c r="Q577" i="2"/>
  <c r="Q561" i="2" s="1"/>
  <c r="V576" i="2"/>
  <c r="V575" i="2"/>
  <c r="V574" i="2"/>
  <c r="V573" i="2"/>
  <c r="V571" i="2"/>
  <c r="V570" i="2"/>
  <c r="K570" i="2"/>
  <c r="V569" i="2"/>
  <c r="O569" i="2"/>
  <c r="V568" i="2"/>
  <c r="M568" i="2"/>
  <c r="M561" i="2" s="1"/>
  <c r="V567" i="2"/>
  <c r="V566" i="2"/>
  <c r="V565" i="2"/>
  <c r="V563" i="2"/>
  <c r="V562" i="2"/>
  <c r="S561" i="2"/>
  <c r="R561" i="2"/>
  <c r="P561" i="2"/>
  <c r="N561" i="2"/>
  <c r="C561" i="2"/>
  <c r="D540" i="2"/>
  <c r="D537" i="2" s="1"/>
  <c r="E540" i="2"/>
  <c r="E537" i="2" s="1"/>
  <c r="F540" i="2"/>
  <c r="F537" i="2" s="1"/>
  <c r="G540" i="2"/>
  <c r="G537" i="2" s="1"/>
  <c r="H540" i="2"/>
  <c r="H537" i="2" s="1"/>
  <c r="I540" i="2"/>
  <c r="I537" i="2" s="1"/>
  <c r="J540" i="2"/>
  <c r="J537" i="2" s="1"/>
  <c r="K540" i="2"/>
  <c r="K537" i="2" s="1"/>
  <c r="M540" i="2"/>
  <c r="M537" i="2" s="1"/>
  <c r="N540" i="2"/>
  <c r="N537" i="2" s="1"/>
  <c r="O540" i="2"/>
  <c r="O537" i="2" s="1"/>
  <c r="P540" i="2"/>
  <c r="P537" i="2" s="1"/>
  <c r="Q540" i="2"/>
  <c r="Q537" i="2" s="1"/>
  <c r="R540" i="2"/>
  <c r="R537" i="2" s="1"/>
  <c r="S540" i="2"/>
  <c r="S537" i="2" s="1"/>
  <c r="T540" i="2"/>
  <c r="T537" i="2" s="1"/>
  <c r="U540" i="2"/>
  <c r="U537" i="2" s="1"/>
  <c r="C540" i="2"/>
  <c r="C537" i="2" s="1"/>
  <c r="D510" i="2"/>
  <c r="E510" i="2"/>
  <c r="F510" i="2"/>
  <c r="G510" i="2"/>
  <c r="H510" i="2"/>
  <c r="I510" i="2"/>
  <c r="J510" i="2"/>
  <c r="K510" i="2"/>
  <c r="L510" i="2"/>
  <c r="M510" i="2"/>
  <c r="N510" i="2"/>
  <c r="O510" i="2"/>
  <c r="P510" i="2"/>
  <c r="Q510" i="2"/>
  <c r="R510" i="2"/>
  <c r="S510" i="2"/>
  <c r="T510" i="2"/>
  <c r="U510" i="2"/>
  <c r="C510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D223" i="2"/>
  <c r="D51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C517" i="2"/>
  <c r="D329" i="2"/>
  <c r="E329" i="2"/>
  <c r="F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C329" i="2"/>
  <c r="D507" i="2"/>
  <c r="E507" i="2"/>
  <c r="F507" i="2"/>
  <c r="G507" i="2"/>
  <c r="H507" i="2"/>
  <c r="I507" i="2"/>
  <c r="J507" i="2"/>
  <c r="K507" i="2"/>
  <c r="L507" i="2"/>
  <c r="M507" i="2"/>
  <c r="N507" i="2"/>
  <c r="O507" i="2"/>
  <c r="P507" i="2"/>
  <c r="Q507" i="2"/>
  <c r="R507" i="2"/>
  <c r="S507" i="2"/>
  <c r="T507" i="2"/>
  <c r="U507" i="2"/>
  <c r="C507" i="2"/>
  <c r="D312" i="2"/>
  <c r="D311" i="2" s="1"/>
  <c r="E312" i="2"/>
  <c r="E311" i="2" s="1"/>
  <c r="F312" i="2"/>
  <c r="F311" i="2" s="1"/>
  <c r="G312" i="2"/>
  <c r="G311" i="2" s="1"/>
  <c r="H312" i="2"/>
  <c r="H311" i="2" s="1"/>
  <c r="I312" i="2"/>
  <c r="I311" i="2" s="1"/>
  <c r="J312" i="2"/>
  <c r="J311" i="2" s="1"/>
  <c r="K312" i="2"/>
  <c r="K311" i="2" s="1"/>
  <c r="L312" i="2"/>
  <c r="L311" i="2" s="1"/>
  <c r="M312" i="2"/>
  <c r="M311" i="2" s="1"/>
  <c r="N312" i="2"/>
  <c r="N311" i="2" s="1"/>
  <c r="O312" i="2"/>
  <c r="O311" i="2" s="1"/>
  <c r="P312" i="2"/>
  <c r="P311" i="2" s="1"/>
  <c r="Q312" i="2"/>
  <c r="Q311" i="2" s="1"/>
  <c r="R312" i="2"/>
  <c r="R311" i="2" s="1"/>
  <c r="S312" i="2"/>
  <c r="S311" i="2" s="1"/>
  <c r="T312" i="2"/>
  <c r="T311" i="2" s="1"/>
  <c r="U312" i="2"/>
  <c r="U311" i="2" s="1"/>
  <c r="C312" i="2"/>
  <c r="C311" i="2" s="1"/>
  <c r="D397" i="2"/>
  <c r="E397" i="2"/>
  <c r="F397" i="2"/>
  <c r="G397" i="2"/>
  <c r="H397" i="2"/>
  <c r="I397" i="2"/>
  <c r="J397" i="2"/>
  <c r="K397" i="2"/>
  <c r="L397" i="2"/>
  <c r="M397" i="2"/>
  <c r="N397" i="2"/>
  <c r="O397" i="2"/>
  <c r="P397" i="2"/>
  <c r="Q397" i="2"/>
  <c r="R397" i="2"/>
  <c r="S397" i="2"/>
  <c r="T397" i="2"/>
  <c r="U397" i="2"/>
  <c r="C397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C272" i="2"/>
  <c r="D544" i="2"/>
  <c r="E544" i="2"/>
  <c r="F544" i="2"/>
  <c r="G544" i="2"/>
  <c r="H544" i="2"/>
  <c r="I544" i="2"/>
  <c r="J544" i="2"/>
  <c r="K544" i="2"/>
  <c r="L544" i="2"/>
  <c r="M544" i="2"/>
  <c r="N544" i="2"/>
  <c r="O544" i="2"/>
  <c r="P544" i="2"/>
  <c r="Q544" i="2"/>
  <c r="R544" i="2"/>
  <c r="S544" i="2"/>
  <c r="T544" i="2"/>
  <c r="U544" i="2"/>
  <c r="V544" i="2"/>
  <c r="C544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C295" i="2"/>
  <c r="C222" i="2"/>
  <c r="J796" i="1"/>
  <c r="K796" i="1"/>
  <c r="L796" i="1"/>
  <c r="M796" i="1"/>
  <c r="N796" i="1"/>
  <c r="P796" i="1"/>
  <c r="H796" i="1"/>
  <c r="I804" i="1"/>
  <c r="I231" i="1"/>
  <c r="J231" i="1"/>
  <c r="K231" i="1"/>
  <c r="L231" i="1"/>
  <c r="M231" i="1"/>
  <c r="N231" i="1"/>
  <c r="P231" i="1"/>
  <c r="H231" i="1"/>
  <c r="M263" i="3" l="1"/>
  <c r="M170" i="3"/>
  <c r="O1053" i="2"/>
  <c r="I168" i="3"/>
  <c r="H228" i="3"/>
  <c r="I228" i="3" s="1"/>
  <c r="N113" i="3"/>
  <c r="N112" i="3" s="1"/>
  <c r="N206" i="3"/>
  <c r="N205" i="3" s="1"/>
  <c r="C109" i="3"/>
  <c r="I236" i="3"/>
  <c r="I261" i="3"/>
  <c r="N265" i="3"/>
  <c r="I291" i="3"/>
  <c r="M109" i="3"/>
  <c r="AA781" i="2"/>
  <c r="D109" i="3"/>
  <c r="M89" i="3"/>
  <c r="M88" i="3" s="1"/>
  <c r="M253" i="3"/>
  <c r="C172" i="3"/>
  <c r="D172" i="3"/>
  <c r="N195" i="3"/>
  <c r="D773" i="2"/>
  <c r="I116" i="3"/>
  <c r="I195" i="3"/>
  <c r="M241" i="3"/>
  <c r="N241" i="3" s="1"/>
  <c r="N844" i="2"/>
  <c r="I124" i="3"/>
  <c r="I123" i="3" s="1"/>
  <c r="H123" i="3"/>
  <c r="I217" i="3"/>
  <c r="I216" i="3" s="1"/>
  <c r="N217" i="3"/>
  <c r="I142" i="3"/>
  <c r="I144" i="3"/>
  <c r="I245" i="3"/>
  <c r="H263" i="3"/>
  <c r="I263" i="3" s="1"/>
  <c r="I231" i="3"/>
  <c r="I241" i="3"/>
  <c r="H151" i="3"/>
  <c r="I151" i="3" s="1"/>
  <c r="H170" i="3"/>
  <c r="I170" i="3" s="1"/>
  <c r="W544" i="2"/>
  <c r="H253" i="3"/>
  <c r="I253" i="3" s="1"/>
  <c r="H257" i="3"/>
  <c r="I257" i="3" s="1"/>
  <c r="M231" i="3"/>
  <c r="M137" i="3"/>
  <c r="L291" i="3"/>
  <c r="I796" i="1"/>
  <c r="N182" i="3"/>
  <c r="I84" i="3"/>
  <c r="I175" i="3"/>
  <c r="H118" i="3"/>
  <c r="I118" i="3" s="1"/>
  <c r="O561" i="2"/>
  <c r="K561" i="2"/>
  <c r="K1053" i="2"/>
  <c r="I214" i="3"/>
  <c r="H134" i="3"/>
  <c r="I134" i="3" s="1"/>
  <c r="C241" i="3"/>
  <c r="I137" i="3"/>
  <c r="I147" i="3"/>
  <c r="H164" i="3"/>
  <c r="I164" i="3" s="1"/>
  <c r="H211" i="3"/>
  <c r="I211" i="3" s="1"/>
  <c r="I238" i="3"/>
  <c r="I268" i="3"/>
  <c r="D241" i="3"/>
  <c r="H160" i="3"/>
  <c r="I160" i="3" s="1"/>
  <c r="M160" i="3"/>
  <c r="I209" i="3"/>
  <c r="I121" i="3"/>
  <c r="L195" i="3"/>
  <c r="D222" i="2"/>
  <c r="I1048" i="1"/>
  <c r="J1048" i="1"/>
  <c r="K1048" i="1"/>
  <c r="L1048" i="1"/>
  <c r="M1048" i="1"/>
  <c r="N1048" i="1"/>
  <c r="P1048" i="1"/>
  <c r="H1048" i="1"/>
  <c r="K503" i="1"/>
  <c r="L503" i="1"/>
  <c r="M503" i="1"/>
  <c r="N503" i="1"/>
  <c r="P503" i="1"/>
  <c r="I503" i="1"/>
  <c r="J503" i="1"/>
  <c r="H503" i="1"/>
  <c r="I1545" i="1"/>
  <c r="J1545" i="1"/>
  <c r="K1545" i="1"/>
  <c r="L1545" i="1"/>
  <c r="M1545" i="1"/>
  <c r="N1545" i="1"/>
  <c r="P1545" i="1"/>
  <c r="H1545" i="1"/>
  <c r="N89" i="3" l="1"/>
  <c r="N88" i="3" s="1"/>
  <c r="O1546" i="1"/>
  <c r="Q1546" i="1"/>
  <c r="O1547" i="1"/>
  <c r="Q1547" i="1"/>
  <c r="O1548" i="1"/>
  <c r="Q1548" i="1"/>
  <c r="O1549" i="1"/>
  <c r="Q1549" i="1"/>
  <c r="O1550" i="1"/>
  <c r="Q1550" i="1"/>
  <c r="O1551" i="1"/>
  <c r="Q1551" i="1"/>
  <c r="O1552" i="1"/>
  <c r="Q1552" i="1"/>
  <c r="O1545" i="1" l="1"/>
  <c r="I1541" i="1"/>
  <c r="I1538" i="1" s="1"/>
  <c r="J1541" i="1"/>
  <c r="J1538" i="1" s="1"/>
  <c r="K1541" i="1"/>
  <c r="K1538" i="1" s="1"/>
  <c r="L1541" i="1"/>
  <c r="L1538" i="1" s="1"/>
  <c r="M1541" i="1"/>
  <c r="M1538" i="1" s="1"/>
  <c r="N1541" i="1"/>
  <c r="N1538" i="1" s="1"/>
  <c r="O1541" i="1"/>
  <c r="O1538" i="1" s="1"/>
  <c r="P1541" i="1"/>
  <c r="P1538" i="1" s="1"/>
  <c r="H1541" i="1"/>
  <c r="H1538" i="1" s="1"/>
  <c r="I1044" i="1"/>
  <c r="I1043" i="1" s="1"/>
  <c r="J1044" i="1"/>
  <c r="J1043" i="1" s="1"/>
  <c r="K1044" i="1"/>
  <c r="K1043" i="1" s="1"/>
  <c r="L1044" i="1"/>
  <c r="L1043" i="1" s="1"/>
  <c r="M1044" i="1"/>
  <c r="M1043" i="1" s="1"/>
  <c r="N1044" i="1"/>
  <c r="N1043" i="1" s="1"/>
  <c r="O1044" i="1"/>
  <c r="P1044" i="1"/>
  <c r="P1043" i="1" s="1"/>
  <c r="H1044" i="1"/>
  <c r="H1043" i="1" s="1"/>
  <c r="I470" i="1"/>
  <c r="J470" i="1"/>
  <c r="K470" i="1"/>
  <c r="D149" i="3" s="1"/>
  <c r="L470" i="1"/>
  <c r="M470" i="1"/>
  <c r="N470" i="1"/>
  <c r="O470" i="1"/>
  <c r="H470" i="1"/>
  <c r="C149" i="3" s="1"/>
  <c r="Q471" i="1"/>
  <c r="I1017" i="1"/>
  <c r="J1017" i="1"/>
  <c r="J1016" i="1" s="1"/>
  <c r="K1017" i="1"/>
  <c r="K1016" i="1" s="1"/>
  <c r="L1017" i="1"/>
  <c r="L1016" i="1" s="1"/>
  <c r="M1017" i="1"/>
  <c r="M1016" i="1" s="1"/>
  <c r="N1017" i="1"/>
  <c r="N1016" i="1" s="1"/>
  <c r="O1017" i="1"/>
  <c r="O1016" i="1" s="1"/>
  <c r="P1017" i="1"/>
  <c r="P1016" i="1" s="1"/>
  <c r="H1017" i="1"/>
  <c r="H1016" i="1" s="1"/>
  <c r="Q1018" i="1"/>
  <c r="Q1019" i="1"/>
  <c r="I1511" i="1"/>
  <c r="I1510" i="1" s="1"/>
  <c r="J1511" i="1"/>
  <c r="J1510" i="1" s="1"/>
  <c r="K1511" i="1"/>
  <c r="K1510" i="1" s="1"/>
  <c r="L1511" i="1"/>
  <c r="L1510" i="1" s="1"/>
  <c r="M1511" i="1"/>
  <c r="M1510" i="1" s="1"/>
  <c r="N1511" i="1"/>
  <c r="N1510" i="1" s="1"/>
  <c r="O1511" i="1"/>
  <c r="O1510" i="1" s="1"/>
  <c r="H1511" i="1"/>
  <c r="H1510" i="1" s="1"/>
  <c r="Q1512" i="1"/>
  <c r="Q1513" i="1"/>
  <c r="Q1514" i="1"/>
  <c r="P1514" i="1"/>
  <c r="O1578" i="1"/>
  <c r="M1578" i="1"/>
  <c r="K1578" i="1"/>
  <c r="I1578" i="1"/>
  <c r="R1578" i="1"/>
  <c r="Q1578" i="1"/>
  <c r="P1578" i="1"/>
  <c r="Q1577" i="1"/>
  <c r="O1577" i="1"/>
  <c r="J1577" i="1"/>
  <c r="J1576" i="1" s="1"/>
  <c r="J1575" i="1" s="1"/>
  <c r="N1576" i="1"/>
  <c r="N1575" i="1" s="1"/>
  <c r="M1576" i="1"/>
  <c r="M1575" i="1" s="1"/>
  <c r="L1576" i="1"/>
  <c r="O1576" i="1" s="1"/>
  <c r="O1575" i="1" s="1"/>
  <c r="K1576" i="1"/>
  <c r="K1575" i="1" s="1"/>
  <c r="I1576" i="1"/>
  <c r="I1575" i="1" s="1"/>
  <c r="H1576" i="1"/>
  <c r="H1575" i="1" s="1"/>
  <c r="R1575" i="1"/>
  <c r="Q1575" i="1"/>
  <c r="P1575" i="1"/>
  <c r="Q1572" i="1"/>
  <c r="O1572" i="1"/>
  <c r="Q1571" i="1"/>
  <c r="O1571" i="1"/>
  <c r="H1571" i="1"/>
  <c r="Q1570" i="1"/>
  <c r="O1570" i="1"/>
  <c r="Q1569" i="1"/>
  <c r="O1569" i="1"/>
  <c r="H1569" i="1"/>
  <c r="Q1568" i="1"/>
  <c r="O1568" i="1"/>
  <c r="H1568" i="1"/>
  <c r="P1567" i="1"/>
  <c r="P1566" i="1" s="1"/>
  <c r="P1565" i="1" s="1"/>
  <c r="N1567" i="1"/>
  <c r="N1566" i="1" s="1"/>
  <c r="N1565" i="1" s="1"/>
  <c r="M1567" i="1"/>
  <c r="M1566" i="1" s="1"/>
  <c r="M1565" i="1" s="1"/>
  <c r="L1567" i="1"/>
  <c r="L1566" i="1" s="1"/>
  <c r="L1565" i="1" s="1"/>
  <c r="K1567" i="1"/>
  <c r="K1566" i="1" s="1"/>
  <c r="K1565" i="1" s="1"/>
  <c r="J1567" i="1"/>
  <c r="J1566" i="1" s="1"/>
  <c r="J1565" i="1" s="1"/>
  <c r="I1567" i="1"/>
  <c r="I1566" i="1" s="1"/>
  <c r="I1565" i="1" s="1"/>
  <c r="Q1561" i="1"/>
  <c r="O1561" i="1"/>
  <c r="O1560" i="1" s="1"/>
  <c r="P1560" i="1"/>
  <c r="N1560" i="1"/>
  <c r="M1560" i="1"/>
  <c r="L1560" i="1"/>
  <c r="K1560" i="1"/>
  <c r="J1560" i="1"/>
  <c r="I1560" i="1"/>
  <c r="H1560" i="1"/>
  <c r="Q1559" i="1"/>
  <c r="P1558" i="1"/>
  <c r="O1558" i="1"/>
  <c r="N1558" i="1"/>
  <c r="M1558" i="1"/>
  <c r="L1558" i="1"/>
  <c r="K1558" i="1"/>
  <c r="J1558" i="1"/>
  <c r="I1558" i="1"/>
  <c r="H1558" i="1"/>
  <c r="Q1543" i="1"/>
  <c r="Q1542" i="1"/>
  <c r="Q1537" i="1"/>
  <c r="P1536" i="1"/>
  <c r="O1536" i="1"/>
  <c r="N1536" i="1"/>
  <c r="M1536" i="1"/>
  <c r="L1536" i="1"/>
  <c r="K1536" i="1"/>
  <c r="J1536" i="1"/>
  <c r="I1536" i="1"/>
  <c r="H1536" i="1"/>
  <c r="Q1535" i="1"/>
  <c r="P1534" i="1"/>
  <c r="O1534" i="1"/>
  <c r="N1534" i="1"/>
  <c r="M1534" i="1"/>
  <c r="L1534" i="1"/>
  <c r="K1534" i="1"/>
  <c r="J1534" i="1"/>
  <c r="I1534" i="1"/>
  <c r="H1534" i="1"/>
  <c r="Q1530" i="1"/>
  <c r="O1530" i="1"/>
  <c r="Q1529" i="1"/>
  <c r="O1529" i="1"/>
  <c r="P1527" i="1"/>
  <c r="M1527" i="1"/>
  <c r="L1527" i="1"/>
  <c r="K1527" i="1"/>
  <c r="I1527" i="1"/>
  <c r="H1527" i="1"/>
  <c r="N1527" i="1"/>
  <c r="J1527" i="1"/>
  <c r="O1522" i="1"/>
  <c r="N1522" i="1"/>
  <c r="M1522" i="1"/>
  <c r="K1522" i="1"/>
  <c r="J1522" i="1"/>
  <c r="I1522" i="1"/>
  <c r="H1522" i="1"/>
  <c r="P1522" i="1"/>
  <c r="Q1521" i="1"/>
  <c r="O1521" i="1"/>
  <c r="O1520" i="1" s="1"/>
  <c r="O1519" i="1" s="1"/>
  <c r="P1520" i="1"/>
  <c r="P1519" i="1" s="1"/>
  <c r="P1512" i="1" s="1"/>
  <c r="N1520" i="1"/>
  <c r="N1519" i="1" s="1"/>
  <c r="M1520" i="1"/>
  <c r="M1519" i="1" s="1"/>
  <c r="L1520" i="1"/>
  <c r="L1519" i="1" s="1"/>
  <c r="K1520" i="1"/>
  <c r="K1519" i="1" s="1"/>
  <c r="J1520" i="1"/>
  <c r="J1519" i="1" s="1"/>
  <c r="I1520" i="1"/>
  <c r="I1519" i="1" s="1"/>
  <c r="H1520" i="1"/>
  <c r="Q1515" i="1"/>
  <c r="Q1509" i="1"/>
  <c r="P1508" i="1"/>
  <c r="P1507" i="1" s="1"/>
  <c r="O1508" i="1"/>
  <c r="N1508" i="1"/>
  <c r="N1507" i="1" s="1"/>
  <c r="M1508" i="1"/>
  <c r="M1507" i="1" s="1"/>
  <c r="L1508" i="1"/>
  <c r="L1507" i="1" s="1"/>
  <c r="K1508" i="1"/>
  <c r="K1507" i="1" s="1"/>
  <c r="J1508" i="1"/>
  <c r="J1507" i="1" s="1"/>
  <c r="I1508" i="1"/>
  <c r="I1507" i="1" s="1"/>
  <c r="H1508" i="1"/>
  <c r="H1507" i="1" s="1"/>
  <c r="O1507" i="1"/>
  <c r="Q1506" i="1"/>
  <c r="O1506" i="1"/>
  <c r="Q1505" i="1"/>
  <c r="O1505" i="1"/>
  <c r="Q1504" i="1"/>
  <c r="O1504" i="1"/>
  <c r="Q1503" i="1"/>
  <c r="O1503" i="1"/>
  <c r="P1502" i="1"/>
  <c r="P1501" i="1" s="1"/>
  <c r="N1502" i="1"/>
  <c r="N1501" i="1" s="1"/>
  <c r="M1502" i="1"/>
  <c r="M1501" i="1" s="1"/>
  <c r="L1502" i="1"/>
  <c r="L1501" i="1" s="1"/>
  <c r="K1502" i="1"/>
  <c r="K1501" i="1" s="1"/>
  <c r="J1502" i="1"/>
  <c r="J1501" i="1" s="1"/>
  <c r="I1502" i="1"/>
  <c r="I1501" i="1" s="1"/>
  <c r="H1502" i="1"/>
  <c r="H1501" i="1" s="1"/>
  <c r="L1500" i="1"/>
  <c r="Q1500" i="1" s="1"/>
  <c r="L1499" i="1"/>
  <c r="Q1499" i="1" s="1"/>
  <c r="J1499" i="1"/>
  <c r="L1498" i="1"/>
  <c r="Q1498" i="1" s="1"/>
  <c r="L1497" i="1"/>
  <c r="Q1497" i="1" s="1"/>
  <c r="J1497" i="1"/>
  <c r="L1496" i="1"/>
  <c r="Q1496" i="1" s="1"/>
  <c r="L1495" i="1"/>
  <c r="Q1495" i="1" s="1"/>
  <c r="L1494" i="1"/>
  <c r="Q1494" i="1" s="1"/>
  <c r="J1494" i="1"/>
  <c r="L1493" i="1"/>
  <c r="Q1493" i="1" s="1"/>
  <c r="L1492" i="1"/>
  <c r="O1491" i="1"/>
  <c r="O1490" i="1" s="1"/>
  <c r="N1491" i="1"/>
  <c r="N1490" i="1" s="1"/>
  <c r="M1491" i="1"/>
  <c r="M1490" i="1" s="1"/>
  <c r="K1491" i="1"/>
  <c r="K1490" i="1" s="1"/>
  <c r="I1491" i="1"/>
  <c r="I1490" i="1" s="1"/>
  <c r="H1491" i="1"/>
  <c r="H1490" i="1" s="1"/>
  <c r="P1490" i="1"/>
  <c r="Q1489" i="1"/>
  <c r="O1489" i="1"/>
  <c r="O1488" i="1" s="1"/>
  <c r="O1487" i="1" s="1"/>
  <c r="P1487" i="1"/>
  <c r="N1487" i="1"/>
  <c r="M1487" i="1"/>
  <c r="L1487" i="1"/>
  <c r="K1487" i="1"/>
  <c r="J1487" i="1"/>
  <c r="I1487" i="1"/>
  <c r="H1487" i="1"/>
  <c r="O1486" i="1"/>
  <c r="O1485" i="1" s="1"/>
  <c r="Q1486" i="1"/>
  <c r="P1485" i="1"/>
  <c r="N1485" i="1"/>
  <c r="M1485" i="1"/>
  <c r="L1485" i="1"/>
  <c r="K1485" i="1"/>
  <c r="D260" i="3" s="1"/>
  <c r="J1485" i="1"/>
  <c r="H1485" i="1"/>
  <c r="C260" i="3" s="1"/>
  <c r="Q1484" i="1"/>
  <c r="O1484" i="1"/>
  <c r="O1483" i="1" s="1"/>
  <c r="P1483" i="1"/>
  <c r="N1483" i="1"/>
  <c r="M1483" i="1"/>
  <c r="L1483" i="1"/>
  <c r="K1483" i="1"/>
  <c r="J1483" i="1"/>
  <c r="I1483" i="1"/>
  <c r="H1483" i="1"/>
  <c r="R1476" i="1"/>
  <c r="Q1476" i="1"/>
  <c r="O1471" i="1"/>
  <c r="Q1473" i="1"/>
  <c r="P1471" i="1"/>
  <c r="N1471" i="1"/>
  <c r="L1471" i="1"/>
  <c r="K1471" i="1"/>
  <c r="J1471" i="1"/>
  <c r="I1471" i="1"/>
  <c r="H1471" i="1"/>
  <c r="R1471" i="1"/>
  <c r="Q1471" i="1"/>
  <c r="M1471" i="1"/>
  <c r="Q1470" i="1"/>
  <c r="O1470" i="1"/>
  <c r="Q1469" i="1"/>
  <c r="O1469" i="1"/>
  <c r="Q1468" i="1"/>
  <c r="O1468" i="1"/>
  <c r="P1467" i="1"/>
  <c r="P1466" i="1" s="1"/>
  <c r="N1467" i="1"/>
  <c r="N1466" i="1" s="1"/>
  <c r="M1467" i="1"/>
  <c r="M1466" i="1" s="1"/>
  <c r="L1467" i="1"/>
  <c r="L1466" i="1" s="1"/>
  <c r="K1467" i="1"/>
  <c r="K1466" i="1" s="1"/>
  <c r="J1467" i="1"/>
  <c r="J1466" i="1" s="1"/>
  <c r="I1467" i="1"/>
  <c r="I1466" i="1" s="1"/>
  <c r="H1467" i="1"/>
  <c r="H1466" i="1" s="1"/>
  <c r="Q1462" i="1"/>
  <c r="P1459" i="1"/>
  <c r="O1459" i="1"/>
  <c r="N1459" i="1"/>
  <c r="M1459" i="1"/>
  <c r="L1459" i="1"/>
  <c r="Q1460" i="1" s="1"/>
  <c r="K1459" i="1"/>
  <c r="J1459" i="1"/>
  <c r="I1459" i="1"/>
  <c r="H1459" i="1"/>
  <c r="A1460" i="1"/>
  <c r="A1462" i="1" s="1"/>
  <c r="A1468" i="1" s="1"/>
  <c r="A1469" i="1" s="1"/>
  <c r="A1470" i="1" s="1"/>
  <c r="A1478" i="1" s="1"/>
  <c r="A1479" i="1" s="1"/>
  <c r="A1480" i="1" s="1"/>
  <c r="A1481" i="1" s="1"/>
  <c r="A1482" i="1" s="1"/>
  <c r="A1484" i="1" s="1"/>
  <c r="A1486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3" i="1" s="1"/>
  <c r="A1504" i="1" s="1"/>
  <c r="A1505" i="1" s="1"/>
  <c r="A1506" i="1" s="1"/>
  <c r="A1509" i="1" s="1"/>
  <c r="A1515" i="1" s="1"/>
  <c r="A1521" i="1" s="1"/>
  <c r="A1529" i="1" s="1"/>
  <c r="A1530" i="1" s="1"/>
  <c r="A1535" i="1" s="1"/>
  <c r="A1537" i="1" s="1"/>
  <c r="A1542" i="1" s="1"/>
  <c r="A1543" i="1" s="1"/>
  <c r="A1546" i="1" s="1"/>
  <c r="A1547" i="1" s="1"/>
  <c r="A1548" i="1" s="1"/>
  <c r="A1549" i="1" s="1"/>
  <c r="A1550" i="1" s="1"/>
  <c r="A1551" i="1" s="1"/>
  <c r="A1552" i="1" s="1"/>
  <c r="A1559" i="1" s="1"/>
  <c r="A1561" i="1" s="1"/>
  <c r="A1568" i="1" s="1"/>
  <c r="A1569" i="1" s="1"/>
  <c r="A1570" i="1" s="1"/>
  <c r="A1571" i="1" s="1"/>
  <c r="A1572" i="1" s="1"/>
  <c r="A1577" i="1" s="1"/>
  <c r="Q1450" i="1"/>
  <c r="O1449" i="1"/>
  <c r="N1449" i="1"/>
  <c r="M1449" i="1"/>
  <c r="L1449" i="1"/>
  <c r="K1449" i="1"/>
  <c r="J1449" i="1"/>
  <c r="I1449" i="1"/>
  <c r="H1449" i="1"/>
  <c r="Q1448" i="1"/>
  <c r="O1448" i="1"/>
  <c r="O1447" i="1" s="1"/>
  <c r="P1447" i="1"/>
  <c r="N1447" i="1"/>
  <c r="M1447" i="1"/>
  <c r="L1447" i="1"/>
  <c r="K1447" i="1"/>
  <c r="J1447" i="1"/>
  <c r="I1447" i="1"/>
  <c r="H1447" i="1"/>
  <c r="Q1444" i="1"/>
  <c r="O1444" i="1"/>
  <c r="Q1443" i="1"/>
  <c r="O1443" i="1"/>
  <c r="Q1442" i="1"/>
  <c r="O1442" i="1"/>
  <c r="Q1441" i="1"/>
  <c r="O1441" i="1"/>
  <c r="Q1440" i="1"/>
  <c r="O1440" i="1"/>
  <c r="Q1439" i="1"/>
  <c r="O1439" i="1"/>
  <c r="Q1438" i="1"/>
  <c r="O1438" i="1"/>
  <c r="Q1437" i="1"/>
  <c r="O1437" i="1"/>
  <c r="Q1436" i="1"/>
  <c r="O1436" i="1"/>
  <c r="M246" i="3"/>
  <c r="N246" i="3" s="1"/>
  <c r="D246" i="3"/>
  <c r="C246" i="3"/>
  <c r="Q1433" i="1"/>
  <c r="O1433" i="1"/>
  <c r="O1432" i="1" s="1"/>
  <c r="P1432" i="1"/>
  <c r="N1432" i="1"/>
  <c r="M1432" i="1"/>
  <c r="L1432" i="1"/>
  <c r="K1432" i="1"/>
  <c r="J1432" i="1"/>
  <c r="I1432" i="1"/>
  <c r="H1432" i="1"/>
  <c r="Q1431" i="1"/>
  <c r="P1430" i="1"/>
  <c r="O1430" i="1"/>
  <c r="N1430" i="1"/>
  <c r="M1430" i="1"/>
  <c r="K1430" i="1"/>
  <c r="J1430" i="1"/>
  <c r="I1430" i="1"/>
  <c r="H1430" i="1"/>
  <c r="Q1428" i="1"/>
  <c r="O1428" i="1"/>
  <c r="Q1422" i="1"/>
  <c r="Q1421" i="1"/>
  <c r="Q1420" i="1"/>
  <c r="Q1419" i="1"/>
  <c r="Q1418" i="1"/>
  <c r="Q1417" i="1"/>
  <c r="Q1416" i="1"/>
  <c r="P1415" i="1"/>
  <c r="P1414" i="1" s="1"/>
  <c r="P1413" i="1" s="1"/>
  <c r="P1412" i="1" s="1"/>
  <c r="P1410" i="1" s="1"/>
  <c r="N1415" i="1"/>
  <c r="N1414" i="1" s="1"/>
  <c r="N1413" i="1" s="1"/>
  <c r="N1412" i="1" s="1"/>
  <c r="N1410" i="1" s="1"/>
  <c r="M1415" i="1"/>
  <c r="M1414" i="1" s="1"/>
  <c r="M1413" i="1" s="1"/>
  <c r="M1412" i="1" s="1"/>
  <c r="L1415" i="1"/>
  <c r="K1415" i="1"/>
  <c r="J1415" i="1"/>
  <c r="J1414" i="1" s="1"/>
  <c r="I1415" i="1"/>
  <c r="I1414" i="1" s="1"/>
  <c r="H1415" i="1"/>
  <c r="Q1413" i="1"/>
  <c r="O1413" i="1"/>
  <c r="Q1412" i="1"/>
  <c r="O1412" i="1"/>
  <c r="Q1411" i="1"/>
  <c r="O1411" i="1"/>
  <c r="Q1410" i="1"/>
  <c r="O1410" i="1"/>
  <c r="Q1409" i="1"/>
  <c r="O1409" i="1"/>
  <c r="Q1408" i="1"/>
  <c r="O1408" i="1"/>
  <c r="Q1407" i="1"/>
  <c r="O1407" i="1"/>
  <c r="Q1406" i="1"/>
  <c r="O1406" i="1"/>
  <c r="Q1405" i="1"/>
  <c r="O1405" i="1"/>
  <c r="L1404" i="1"/>
  <c r="K1404" i="1"/>
  <c r="J1404" i="1"/>
  <c r="J1403" i="1" s="1"/>
  <c r="I1404" i="1"/>
  <c r="I1403" i="1" s="1"/>
  <c r="H1404" i="1"/>
  <c r="C118" i="7" s="1"/>
  <c r="C95" i="7" s="1"/>
  <c r="Q1401" i="1"/>
  <c r="Q1399" i="1"/>
  <c r="O1399" i="1"/>
  <c r="O1398" i="1" s="1"/>
  <c r="P1398" i="1"/>
  <c r="N1398" i="1"/>
  <c r="M1398" i="1"/>
  <c r="L1398" i="1"/>
  <c r="K1398" i="1"/>
  <c r="J1398" i="1"/>
  <c r="I1398" i="1"/>
  <c r="H1398" i="1"/>
  <c r="Q1397" i="1"/>
  <c r="Q1396" i="1"/>
  <c r="P1395" i="1"/>
  <c r="O1395" i="1"/>
  <c r="N1395" i="1"/>
  <c r="M1395" i="1"/>
  <c r="L1395" i="1"/>
  <c r="K1395" i="1"/>
  <c r="J1395" i="1"/>
  <c r="I1395" i="1"/>
  <c r="H1395" i="1"/>
  <c r="Q1393" i="1"/>
  <c r="O1393" i="1"/>
  <c r="O1392" i="1" s="1"/>
  <c r="P1392" i="1"/>
  <c r="N1392" i="1"/>
  <c r="M1392" i="1"/>
  <c r="L1392" i="1"/>
  <c r="K1392" i="1"/>
  <c r="J1392" i="1"/>
  <c r="I1392" i="1"/>
  <c r="H1392" i="1"/>
  <c r="L1390" i="1"/>
  <c r="Q1390" i="1" s="1"/>
  <c r="P1389" i="1"/>
  <c r="P1386" i="1" s="1"/>
  <c r="O1389" i="1"/>
  <c r="N1389" i="1"/>
  <c r="N1386" i="1" s="1"/>
  <c r="M1389" i="1"/>
  <c r="K1389" i="1"/>
  <c r="J1389" i="1"/>
  <c r="I1389" i="1"/>
  <c r="H1389" i="1"/>
  <c r="Q1388" i="1"/>
  <c r="O1388" i="1"/>
  <c r="O1387" i="1" s="1"/>
  <c r="Q1385" i="1"/>
  <c r="O1383" i="1"/>
  <c r="N1383" i="1"/>
  <c r="M1383" i="1"/>
  <c r="L1383" i="1"/>
  <c r="K1383" i="1"/>
  <c r="J1383" i="1"/>
  <c r="I1383" i="1"/>
  <c r="H1383" i="1"/>
  <c r="O1380" i="1"/>
  <c r="O1379" i="1" s="1"/>
  <c r="Q1381" i="1"/>
  <c r="P1380" i="1"/>
  <c r="P1379" i="1" s="1"/>
  <c r="N1380" i="1"/>
  <c r="N1379" i="1" s="1"/>
  <c r="M1380" i="1"/>
  <c r="M1379" i="1" s="1"/>
  <c r="L1380" i="1"/>
  <c r="L1379" i="1" s="1"/>
  <c r="K1380" i="1"/>
  <c r="K1379" i="1" s="1"/>
  <c r="J1380" i="1"/>
  <c r="J1379" i="1" s="1"/>
  <c r="I1380" i="1"/>
  <c r="I1379" i="1" s="1"/>
  <c r="H1380" i="1"/>
  <c r="H1379" i="1" s="1"/>
  <c r="Q1376" i="1"/>
  <c r="N1375" i="1"/>
  <c r="P1375" i="1"/>
  <c r="O1375" i="1"/>
  <c r="M1375" i="1"/>
  <c r="L1375" i="1"/>
  <c r="M222" i="3" s="1"/>
  <c r="N222" i="3" s="1"/>
  <c r="K1375" i="1"/>
  <c r="D222" i="3" s="1"/>
  <c r="J1375" i="1"/>
  <c r="I1375" i="1"/>
  <c r="H1375" i="1"/>
  <c r="C222" i="3" s="1"/>
  <c r="Q1374" i="1"/>
  <c r="O1374" i="1"/>
  <c r="O1373" i="1" s="1"/>
  <c r="P1366" i="1"/>
  <c r="P1365" i="1" s="1"/>
  <c r="Q1371" i="1"/>
  <c r="O1371" i="1"/>
  <c r="Q1370" i="1"/>
  <c r="O1370" i="1"/>
  <c r="P1369" i="1"/>
  <c r="N1369" i="1"/>
  <c r="M1369" i="1"/>
  <c r="L1369" i="1"/>
  <c r="K1369" i="1"/>
  <c r="J1369" i="1"/>
  <c r="I1369" i="1"/>
  <c r="H1369" i="1"/>
  <c r="Q1366" i="1"/>
  <c r="P1360" i="1"/>
  <c r="O1360" i="1"/>
  <c r="N1360" i="1"/>
  <c r="M1360" i="1"/>
  <c r="K1360" i="1"/>
  <c r="J1360" i="1"/>
  <c r="I1360" i="1"/>
  <c r="H1360" i="1"/>
  <c r="L1359" i="1"/>
  <c r="Q1359" i="1" s="1"/>
  <c r="L1358" i="1"/>
  <c r="Q1358" i="1" s="1"/>
  <c r="P1357" i="1"/>
  <c r="P1342" i="1" s="1"/>
  <c r="P1341" i="1" s="1"/>
  <c r="O1357" i="1"/>
  <c r="N1357" i="1"/>
  <c r="M1357" i="1"/>
  <c r="K1357" i="1"/>
  <c r="J1357" i="1"/>
  <c r="I1357" i="1"/>
  <c r="H1357" i="1"/>
  <c r="Q1356" i="1"/>
  <c r="O1356" i="1"/>
  <c r="Q1355" i="1"/>
  <c r="O1355" i="1"/>
  <c r="Q1354" i="1"/>
  <c r="O1354" i="1"/>
  <c r="Q1353" i="1"/>
  <c r="O1353" i="1"/>
  <c r="J1353" i="1"/>
  <c r="J1342" i="1" s="1"/>
  <c r="Q1352" i="1"/>
  <c r="O1352" i="1"/>
  <c r="Q1351" i="1"/>
  <c r="O1351" i="1"/>
  <c r="Q1350" i="1"/>
  <c r="O1350" i="1"/>
  <c r="Q1349" i="1"/>
  <c r="O1349" i="1"/>
  <c r="Q1348" i="1"/>
  <c r="O1348" i="1"/>
  <c r="Q1347" i="1"/>
  <c r="O1347" i="1"/>
  <c r="Q1346" i="1"/>
  <c r="O1346" i="1"/>
  <c r="Q1345" i="1"/>
  <c r="O1345" i="1"/>
  <c r="Q1344" i="1"/>
  <c r="O1344" i="1"/>
  <c r="Q1343" i="1"/>
  <c r="O1343" i="1"/>
  <c r="N1342" i="1"/>
  <c r="M1342" i="1"/>
  <c r="L1342" i="1"/>
  <c r="K1342" i="1"/>
  <c r="I1342" i="1"/>
  <c r="H1342" i="1"/>
  <c r="P1339" i="1"/>
  <c r="P1338" i="1" s="1"/>
  <c r="O1339" i="1"/>
  <c r="O1338" i="1" s="1"/>
  <c r="N1339" i="1"/>
  <c r="N1338" i="1" s="1"/>
  <c r="M1339" i="1"/>
  <c r="M1338" i="1" s="1"/>
  <c r="L1339" i="1"/>
  <c r="L1338" i="1" s="1"/>
  <c r="K1339" i="1"/>
  <c r="K1338" i="1" s="1"/>
  <c r="J1339" i="1"/>
  <c r="J1338" i="1" s="1"/>
  <c r="I1339" i="1"/>
  <c r="I1338" i="1" s="1"/>
  <c r="H1339" i="1"/>
  <c r="H1338" i="1" s="1"/>
  <c r="Q1335" i="1"/>
  <c r="Q1334" i="1"/>
  <c r="Q1333" i="1"/>
  <c r="O1333" i="1"/>
  <c r="O1332" i="1" s="1"/>
  <c r="P1331" i="1"/>
  <c r="N1331" i="1"/>
  <c r="M1331" i="1"/>
  <c r="L1331" i="1"/>
  <c r="K1331" i="1"/>
  <c r="J1331" i="1"/>
  <c r="I1331" i="1"/>
  <c r="H1331" i="1"/>
  <c r="Q1327" i="1"/>
  <c r="Q1326" i="1"/>
  <c r="Q1325" i="1"/>
  <c r="Q1324" i="1"/>
  <c r="O1324" i="1"/>
  <c r="O1323" i="1" s="1"/>
  <c r="O1322" i="1" s="1"/>
  <c r="P1322" i="1"/>
  <c r="N1322" i="1"/>
  <c r="M1322" i="1"/>
  <c r="L1322" i="1"/>
  <c r="J1322" i="1"/>
  <c r="I1322" i="1"/>
  <c r="H1322" i="1"/>
  <c r="R1322" i="1"/>
  <c r="Q1322" i="1"/>
  <c r="K1322" i="1"/>
  <c r="Q1311" i="1"/>
  <c r="O1311" i="1"/>
  <c r="Q1310" i="1"/>
  <c r="O1310" i="1"/>
  <c r="Q1309" i="1"/>
  <c r="O1309" i="1"/>
  <c r="O1273" i="1"/>
  <c r="O1272" i="1"/>
  <c r="O1271" i="1"/>
  <c r="Q1270" i="1"/>
  <c r="O1270" i="1"/>
  <c r="Q1257" i="1"/>
  <c r="Q1256" i="1"/>
  <c r="P1255" i="1"/>
  <c r="O1255" i="1"/>
  <c r="N1255" i="1"/>
  <c r="M1255" i="1"/>
  <c r="L1255" i="1"/>
  <c r="M199" i="3" s="1"/>
  <c r="N199" i="3" s="1"/>
  <c r="K1255" i="1"/>
  <c r="D199" i="3" s="1"/>
  <c r="J1255" i="1"/>
  <c r="I1255" i="1"/>
  <c r="Q1254" i="1"/>
  <c r="O1254" i="1"/>
  <c r="Q1253" i="1"/>
  <c r="O1253" i="1"/>
  <c r="Q1252" i="1"/>
  <c r="O1252" i="1"/>
  <c r="Q1251" i="1"/>
  <c r="O1251" i="1"/>
  <c r="Q1250" i="1"/>
  <c r="O1250" i="1"/>
  <c r="Q1249" i="1"/>
  <c r="O1249" i="1"/>
  <c r="Q1248" i="1"/>
  <c r="O1248" i="1"/>
  <c r="Q1247" i="1"/>
  <c r="O1247" i="1"/>
  <c r="Q1246" i="1"/>
  <c r="O1246" i="1"/>
  <c r="Q1245" i="1"/>
  <c r="O1245" i="1"/>
  <c r="Q1244" i="1"/>
  <c r="O1244" i="1"/>
  <c r="Q1243" i="1"/>
  <c r="O1243" i="1"/>
  <c r="Q1242" i="1"/>
  <c r="O1242" i="1"/>
  <c r="Q1241" i="1"/>
  <c r="O1241" i="1"/>
  <c r="Q1240" i="1"/>
  <c r="O1240" i="1"/>
  <c r="Q1239" i="1"/>
  <c r="O1239" i="1"/>
  <c r="Q1238" i="1"/>
  <c r="O1238" i="1"/>
  <c r="Q1237" i="1"/>
  <c r="O1237" i="1"/>
  <c r="Q1236" i="1"/>
  <c r="O1236" i="1"/>
  <c r="Q1235" i="1"/>
  <c r="O1235" i="1"/>
  <c r="Q1234" i="1"/>
  <c r="O1234" i="1"/>
  <c r="Q1233" i="1"/>
  <c r="O1233" i="1"/>
  <c r="Q1232" i="1"/>
  <c r="O1232" i="1"/>
  <c r="Q1231" i="1"/>
  <c r="O1231" i="1"/>
  <c r="Q1230" i="1"/>
  <c r="O1230" i="1"/>
  <c r="Q1229" i="1"/>
  <c r="O1229" i="1"/>
  <c r="Q1228" i="1"/>
  <c r="O1228" i="1"/>
  <c r="Q1227" i="1"/>
  <c r="O1227" i="1"/>
  <c r="Q1226" i="1"/>
  <c r="O1226" i="1"/>
  <c r="Q1225" i="1"/>
  <c r="O1225" i="1"/>
  <c r="Q1224" i="1"/>
  <c r="O1224" i="1"/>
  <c r="Q1223" i="1"/>
  <c r="O1223" i="1"/>
  <c r="Q1222" i="1"/>
  <c r="O1222" i="1"/>
  <c r="Q1221" i="1"/>
  <c r="O1221" i="1"/>
  <c r="Q1220" i="1"/>
  <c r="O1220" i="1"/>
  <c r="Q1219" i="1"/>
  <c r="O1219" i="1"/>
  <c r="Q1218" i="1"/>
  <c r="O1218" i="1"/>
  <c r="Q1217" i="1"/>
  <c r="O1217" i="1"/>
  <c r="Q1216" i="1"/>
  <c r="O1216" i="1"/>
  <c r="Q1215" i="1"/>
  <c r="O1215" i="1"/>
  <c r="Q1214" i="1"/>
  <c r="O1214" i="1"/>
  <c r="Q1213" i="1"/>
  <c r="O1213" i="1"/>
  <c r="Q1212" i="1"/>
  <c r="O1212" i="1"/>
  <c r="Q1211" i="1"/>
  <c r="O1211" i="1"/>
  <c r="Q1210" i="1"/>
  <c r="O1210" i="1"/>
  <c r="Q1209" i="1"/>
  <c r="O1209" i="1"/>
  <c r="Q1208" i="1"/>
  <c r="O1208" i="1"/>
  <c r="Q1207" i="1"/>
  <c r="O1207" i="1"/>
  <c r="Q1206" i="1"/>
  <c r="O1206" i="1"/>
  <c r="Q1205" i="1"/>
  <c r="O1205" i="1"/>
  <c r="Q1204" i="1"/>
  <c r="O1204" i="1"/>
  <c r="Q1203" i="1"/>
  <c r="O1203" i="1"/>
  <c r="Q1202" i="1"/>
  <c r="O1202" i="1"/>
  <c r="Q1201" i="1"/>
  <c r="O1201" i="1"/>
  <c r="Q1200" i="1"/>
  <c r="O1200" i="1"/>
  <c r="Q1199" i="1"/>
  <c r="O1199" i="1"/>
  <c r="Q1198" i="1"/>
  <c r="O1198" i="1"/>
  <c r="Q1197" i="1"/>
  <c r="O1197" i="1"/>
  <c r="Q1196" i="1"/>
  <c r="O1196" i="1"/>
  <c r="Q1195" i="1"/>
  <c r="O1195" i="1"/>
  <c r="Q1194" i="1"/>
  <c r="O1194" i="1"/>
  <c r="Q1193" i="1"/>
  <c r="O1193" i="1"/>
  <c r="Q1192" i="1"/>
  <c r="O1192" i="1"/>
  <c r="Q1191" i="1"/>
  <c r="O1191" i="1"/>
  <c r="Q1190" i="1"/>
  <c r="O1190" i="1"/>
  <c r="Q1189" i="1"/>
  <c r="O1189" i="1"/>
  <c r="Q1188" i="1"/>
  <c r="O1188" i="1"/>
  <c r="Q1187" i="1"/>
  <c r="O1187" i="1"/>
  <c r="Q1186" i="1"/>
  <c r="O1186" i="1"/>
  <c r="Q1185" i="1"/>
  <c r="O1185" i="1"/>
  <c r="Q1184" i="1"/>
  <c r="O1184" i="1"/>
  <c r="Q1183" i="1"/>
  <c r="O1183" i="1"/>
  <c r="Q1182" i="1"/>
  <c r="O1182" i="1"/>
  <c r="Q1181" i="1"/>
  <c r="O1181" i="1"/>
  <c r="Q1180" i="1"/>
  <c r="O1180" i="1"/>
  <c r="Q1179" i="1"/>
  <c r="O1179" i="1"/>
  <c r="Q1178" i="1"/>
  <c r="O1178" i="1"/>
  <c r="Q1177" i="1"/>
  <c r="O1177" i="1"/>
  <c r="Q1176" i="1"/>
  <c r="O1176" i="1"/>
  <c r="Q1175" i="1"/>
  <c r="O1175" i="1"/>
  <c r="Q1174" i="1"/>
  <c r="O1174" i="1"/>
  <c r="Q1173" i="1"/>
  <c r="O1173" i="1"/>
  <c r="Q1172" i="1"/>
  <c r="O1172" i="1"/>
  <c r="Q1171" i="1"/>
  <c r="O1171" i="1"/>
  <c r="Q1170" i="1"/>
  <c r="O1170" i="1"/>
  <c r="Q1169" i="1"/>
  <c r="O1169" i="1"/>
  <c r="Q1168" i="1"/>
  <c r="O1168" i="1"/>
  <c r="Q1167" i="1"/>
  <c r="O1167" i="1"/>
  <c r="Q1166" i="1"/>
  <c r="O1166" i="1"/>
  <c r="Q1165" i="1"/>
  <c r="O1165" i="1"/>
  <c r="Q1164" i="1"/>
  <c r="O1164" i="1"/>
  <c r="Q1163" i="1"/>
  <c r="O1163" i="1"/>
  <c r="Q1162" i="1"/>
  <c r="O1162" i="1"/>
  <c r="Q1161" i="1"/>
  <c r="O1161" i="1"/>
  <c r="Q1160" i="1"/>
  <c r="O1160" i="1"/>
  <c r="Q1159" i="1"/>
  <c r="O1159" i="1"/>
  <c r="Q1158" i="1"/>
  <c r="O1158" i="1"/>
  <c r="Q1157" i="1"/>
  <c r="O1157" i="1"/>
  <c r="Q1156" i="1"/>
  <c r="O1156" i="1"/>
  <c r="Q1155" i="1"/>
  <c r="O1155" i="1"/>
  <c r="Q1154" i="1"/>
  <c r="O1154" i="1"/>
  <c r="Q1153" i="1"/>
  <c r="O1153" i="1"/>
  <c r="Q1152" i="1"/>
  <c r="O1152" i="1"/>
  <c r="Q1151" i="1"/>
  <c r="O1151" i="1"/>
  <c r="Q1150" i="1"/>
  <c r="O1150" i="1"/>
  <c r="Q1149" i="1"/>
  <c r="O1149" i="1"/>
  <c r="Q1148" i="1"/>
  <c r="O1148" i="1"/>
  <c r="Q1147" i="1"/>
  <c r="O1147" i="1"/>
  <c r="Q1146" i="1"/>
  <c r="O1146" i="1"/>
  <c r="Q1145" i="1"/>
  <c r="O1145" i="1"/>
  <c r="Q1144" i="1"/>
  <c r="O1144" i="1"/>
  <c r="Q1143" i="1"/>
  <c r="O1143" i="1"/>
  <c r="Q1142" i="1"/>
  <c r="O1142" i="1"/>
  <c r="Q1141" i="1"/>
  <c r="O1141" i="1"/>
  <c r="Q1140" i="1"/>
  <c r="O1140" i="1"/>
  <c r="Q1139" i="1"/>
  <c r="O1139" i="1"/>
  <c r="Q1138" i="1"/>
  <c r="O1138" i="1"/>
  <c r="Q1137" i="1"/>
  <c r="O1137" i="1"/>
  <c r="Q1136" i="1"/>
  <c r="O1136" i="1"/>
  <c r="Q1135" i="1"/>
  <c r="O1135" i="1"/>
  <c r="Q1134" i="1"/>
  <c r="O1134" i="1"/>
  <c r="Q1133" i="1"/>
  <c r="O1133" i="1"/>
  <c r="Q1132" i="1"/>
  <c r="O1132" i="1"/>
  <c r="Q1131" i="1"/>
  <c r="O1131" i="1"/>
  <c r="Q1130" i="1"/>
  <c r="O1130" i="1"/>
  <c r="Q1129" i="1"/>
  <c r="O1129" i="1"/>
  <c r="Q1128" i="1"/>
  <c r="O1128" i="1"/>
  <c r="Q1127" i="1"/>
  <c r="O1127" i="1"/>
  <c r="Q1126" i="1"/>
  <c r="O1126" i="1"/>
  <c r="Q1125" i="1"/>
  <c r="O1125" i="1"/>
  <c r="Q1124" i="1"/>
  <c r="O1124" i="1"/>
  <c r="Q1123" i="1"/>
  <c r="O1123" i="1"/>
  <c r="Q1122" i="1"/>
  <c r="O1122" i="1"/>
  <c r="Q1121" i="1"/>
  <c r="O1121" i="1"/>
  <c r="Q1120" i="1"/>
  <c r="O1120" i="1"/>
  <c r="Q1119" i="1"/>
  <c r="O1119" i="1"/>
  <c r="Q1118" i="1"/>
  <c r="O1118" i="1"/>
  <c r="Q1117" i="1"/>
  <c r="O1117" i="1"/>
  <c r="Q1116" i="1"/>
  <c r="O1116" i="1"/>
  <c r="Q1115" i="1"/>
  <c r="O1115" i="1"/>
  <c r="Q1114" i="1"/>
  <c r="O1114" i="1"/>
  <c r="Q1113" i="1"/>
  <c r="O1113" i="1"/>
  <c r="Q1112" i="1"/>
  <c r="O1112" i="1"/>
  <c r="Q1111" i="1"/>
  <c r="O1111" i="1"/>
  <c r="Q1110" i="1"/>
  <c r="O1110" i="1"/>
  <c r="Q1109" i="1"/>
  <c r="O1109" i="1"/>
  <c r="Q1108" i="1"/>
  <c r="O1108" i="1"/>
  <c r="Q1107" i="1"/>
  <c r="O1107" i="1"/>
  <c r="Q1106" i="1"/>
  <c r="O1106" i="1"/>
  <c r="Q1105" i="1"/>
  <c r="O1105" i="1"/>
  <c r="Q1104" i="1"/>
  <c r="O1104" i="1"/>
  <c r="Q1103" i="1"/>
  <c r="O1103" i="1"/>
  <c r="Q1102" i="1"/>
  <c r="O1102" i="1"/>
  <c r="Q1101" i="1"/>
  <c r="O1101" i="1"/>
  <c r="Q1100" i="1"/>
  <c r="O1100" i="1"/>
  <c r="Q1099" i="1"/>
  <c r="O1099" i="1"/>
  <c r="Q1098" i="1"/>
  <c r="O1098" i="1"/>
  <c r="Q1097" i="1"/>
  <c r="O1097" i="1"/>
  <c r="Q1096" i="1"/>
  <c r="O1096" i="1"/>
  <c r="Q1095" i="1"/>
  <c r="O1095" i="1"/>
  <c r="Q1094" i="1"/>
  <c r="O1094" i="1"/>
  <c r="Q1093" i="1"/>
  <c r="O1093" i="1"/>
  <c r="Q1092" i="1"/>
  <c r="O1092" i="1"/>
  <c r="Q1091" i="1"/>
  <c r="O1091" i="1"/>
  <c r="Q1090" i="1"/>
  <c r="O1090" i="1"/>
  <c r="Q1089" i="1"/>
  <c r="O1089" i="1"/>
  <c r="Q1088" i="1"/>
  <c r="O1088" i="1"/>
  <c r="A1088" i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70" i="1" s="1"/>
  <c r="A1271" i="1" s="1"/>
  <c r="A1272" i="1" s="1"/>
  <c r="A1273" i="1" s="1"/>
  <c r="A1309" i="1" s="1"/>
  <c r="A1310" i="1" s="1"/>
  <c r="A1324" i="1" s="1"/>
  <c r="A1325" i="1" s="1"/>
  <c r="A1326" i="1" s="1"/>
  <c r="A1327" i="1" s="1"/>
  <c r="A1333" i="1" s="1"/>
  <c r="A1334" i="1" s="1"/>
  <c r="A1335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8" i="1" s="1"/>
  <c r="A1359" i="1" s="1"/>
  <c r="A1366" i="1" s="1"/>
  <c r="A1370" i="1" s="1"/>
  <c r="A1371" i="1" s="1"/>
  <c r="A1374" i="1" s="1"/>
  <c r="A1376" i="1" s="1"/>
  <c r="A1381" i="1" s="1"/>
  <c r="A1385" i="1" s="1"/>
  <c r="A1388" i="1" s="1"/>
  <c r="A1390" i="1" s="1"/>
  <c r="A1393" i="1" s="1"/>
  <c r="A1396" i="1" s="1"/>
  <c r="A1397" i="1" s="1"/>
  <c r="A1399" i="1" s="1"/>
  <c r="A1401" i="1" s="1"/>
  <c r="A1405" i="1" s="1"/>
  <c r="A1406" i="1" s="1"/>
  <c r="A1407" i="1" s="1"/>
  <c r="A1408" i="1" s="1"/>
  <c r="A1409" i="1" s="1"/>
  <c r="A1410" i="1" s="1"/>
  <c r="A1411" i="1" s="1"/>
  <c r="A1412" i="1" s="1"/>
  <c r="A1416" i="1" s="1"/>
  <c r="A1417" i="1" s="1"/>
  <c r="A1418" i="1" s="1"/>
  <c r="A1419" i="1" s="1"/>
  <c r="A1420" i="1" s="1"/>
  <c r="A1421" i="1" s="1"/>
  <c r="A1422" i="1" s="1"/>
  <c r="A1428" i="1" s="1"/>
  <c r="A1431" i="1" s="1"/>
  <c r="A1433" i="1" s="1"/>
  <c r="A1437" i="1" s="1"/>
  <c r="A1438" i="1" s="1"/>
  <c r="A1439" i="1" s="1"/>
  <c r="A1440" i="1" s="1"/>
  <c r="A1441" i="1" s="1"/>
  <c r="A1442" i="1" s="1"/>
  <c r="A1443" i="1" s="1"/>
  <c r="A1444" i="1" s="1"/>
  <c r="A1448" i="1" s="1"/>
  <c r="A1450" i="1" s="1"/>
  <c r="Q1087" i="1"/>
  <c r="O1087" i="1"/>
  <c r="P1086" i="1"/>
  <c r="N1086" i="1"/>
  <c r="M1086" i="1"/>
  <c r="K1086" i="1"/>
  <c r="J1086" i="1"/>
  <c r="I1086" i="1"/>
  <c r="H1086" i="1"/>
  <c r="P1080" i="1"/>
  <c r="V1069" i="2"/>
  <c r="R1080" i="1"/>
  <c r="Q1080" i="1"/>
  <c r="Q1079" i="1"/>
  <c r="O1079" i="1"/>
  <c r="J1079" i="1"/>
  <c r="J1078" i="1" s="1"/>
  <c r="J1077" i="1" s="1"/>
  <c r="N1078" i="1"/>
  <c r="N1077" i="1" s="1"/>
  <c r="M1078" i="1"/>
  <c r="M1077" i="1" s="1"/>
  <c r="L1078" i="1"/>
  <c r="O1078" i="1" s="1"/>
  <c r="O1077" i="1" s="1"/>
  <c r="K1078" i="1"/>
  <c r="K1077" i="1" s="1"/>
  <c r="I1078" i="1"/>
  <c r="I1077" i="1" s="1"/>
  <c r="H1078" i="1"/>
  <c r="H1077" i="1" s="1"/>
  <c r="R1077" i="1"/>
  <c r="Q1077" i="1"/>
  <c r="P1077" i="1"/>
  <c r="Q1074" i="1"/>
  <c r="O1074" i="1"/>
  <c r="Q1073" i="1"/>
  <c r="O1073" i="1"/>
  <c r="H1073" i="1"/>
  <c r="Q1072" i="1"/>
  <c r="O1072" i="1"/>
  <c r="Q1071" i="1"/>
  <c r="O1071" i="1"/>
  <c r="H1071" i="1"/>
  <c r="Q1070" i="1"/>
  <c r="O1070" i="1"/>
  <c r="H1070" i="1"/>
  <c r="P1069" i="1"/>
  <c r="P1068" i="1" s="1"/>
  <c r="P1067" i="1" s="1"/>
  <c r="N1069" i="1"/>
  <c r="N1068" i="1" s="1"/>
  <c r="N1067" i="1" s="1"/>
  <c r="M1069" i="1"/>
  <c r="M1068" i="1" s="1"/>
  <c r="M1067" i="1" s="1"/>
  <c r="L1069" i="1"/>
  <c r="L1068" i="1" s="1"/>
  <c r="L1067" i="1" s="1"/>
  <c r="K1069" i="1"/>
  <c r="K1068" i="1" s="1"/>
  <c r="K1067" i="1" s="1"/>
  <c r="J1069" i="1"/>
  <c r="J1068" i="1" s="1"/>
  <c r="J1067" i="1" s="1"/>
  <c r="I1069" i="1"/>
  <c r="I1068" i="1" s="1"/>
  <c r="I1067" i="1" s="1"/>
  <c r="Q1062" i="1"/>
  <c r="P1061" i="1"/>
  <c r="P1060" i="1" s="1"/>
  <c r="O1061" i="1"/>
  <c r="O1060" i="1" s="1"/>
  <c r="N1061" i="1"/>
  <c r="N1060" i="1" s="1"/>
  <c r="M1061" i="1"/>
  <c r="M1060" i="1" s="1"/>
  <c r="L1061" i="1"/>
  <c r="L1060" i="1" s="1"/>
  <c r="K1061" i="1"/>
  <c r="K1060" i="1" s="1"/>
  <c r="J1061" i="1"/>
  <c r="I1061" i="1"/>
  <c r="I1060" i="1" s="1"/>
  <c r="H1061" i="1"/>
  <c r="H1060" i="1" s="1"/>
  <c r="Q1058" i="1"/>
  <c r="O1058" i="1"/>
  <c r="Q1057" i="1"/>
  <c r="O1057" i="1"/>
  <c r="Q1056" i="1"/>
  <c r="O1056" i="1"/>
  <c r="Q1055" i="1"/>
  <c r="O1055" i="1"/>
  <c r="Q1054" i="1"/>
  <c r="O1054" i="1"/>
  <c r="Q1053" i="1"/>
  <c r="O1053" i="1"/>
  <c r="Q1052" i="1"/>
  <c r="O1052" i="1"/>
  <c r="Q1051" i="1"/>
  <c r="O1051" i="1"/>
  <c r="Q1050" i="1"/>
  <c r="O1050" i="1"/>
  <c r="Q1049" i="1"/>
  <c r="O1049" i="1"/>
  <c r="Q1045" i="1"/>
  <c r="O1043" i="1"/>
  <c r="Q1042" i="1"/>
  <c r="P1041" i="1"/>
  <c r="O1041" i="1"/>
  <c r="N1041" i="1"/>
  <c r="M1041" i="1"/>
  <c r="L1041" i="1"/>
  <c r="K1041" i="1"/>
  <c r="J1041" i="1"/>
  <c r="I1041" i="1"/>
  <c r="H1041" i="1"/>
  <c r="Q1040" i="1"/>
  <c r="P1039" i="1"/>
  <c r="O1039" i="1"/>
  <c r="N1039" i="1"/>
  <c r="M1039" i="1"/>
  <c r="L1039" i="1"/>
  <c r="K1039" i="1"/>
  <c r="J1039" i="1"/>
  <c r="I1039" i="1"/>
  <c r="H1039" i="1"/>
  <c r="Q1037" i="1"/>
  <c r="O1037" i="1"/>
  <c r="Q1036" i="1"/>
  <c r="O1036" i="1"/>
  <c r="Q1035" i="1"/>
  <c r="O1035" i="1"/>
  <c r="Q1034" i="1"/>
  <c r="O1034" i="1"/>
  <c r="P1033" i="1"/>
  <c r="P1032" i="1" s="1"/>
  <c r="N1033" i="1"/>
  <c r="N1032" i="1" s="1"/>
  <c r="M1033" i="1"/>
  <c r="M1032" i="1" s="1"/>
  <c r="L1033" i="1"/>
  <c r="L1032" i="1" s="1"/>
  <c r="K1033" i="1"/>
  <c r="K1032" i="1" s="1"/>
  <c r="J1033" i="1"/>
  <c r="J1032" i="1" s="1"/>
  <c r="I1033" i="1"/>
  <c r="I1032" i="1" s="1"/>
  <c r="H1033" i="1"/>
  <c r="H1032" i="1" s="1"/>
  <c r="Q1031" i="1"/>
  <c r="Q1030" i="1"/>
  <c r="P1029" i="1"/>
  <c r="P1028" i="1" s="1"/>
  <c r="O1029" i="1"/>
  <c r="O1028" i="1" s="1"/>
  <c r="N1029" i="1"/>
  <c r="N1028" i="1" s="1"/>
  <c r="M1029" i="1"/>
  <c r="M1028" i="1" s="1"/>
  <c r="K1029" i="1"/>
  <c r="K1028" i="1" s="1"/>
  <c r="J1029" i="1"/>
  <c r="J1028" i="1" s="1"/>
  <c r="I1029" i="1"/>
  <c r="I1028" i="1" s="1"/>
  <c r="H1029" i="1"/>
  <c r="H1028" i="1" s="1"/>
  <c r="Q1027" i="1"/>
  <c r="O1027" i="1"/>
  <c r="O1026" i="1" s="1"/>
  <c r="O1025" i="1" s="1"/>
  <c r="P1026" i="1"/>
  <c r="P1025" i="1" s="1"/>
  <c r="N1026" i="1"/>
  <c r="N1025" i="1" s="1"/>
  <c r="M1026" i="1"/>
  <c r="M1025" i="1" s="1"/>
  <c r="L1026" i="1"/>
  <c r="L1025" i="1" s="1"/>
  <c r="K1026" i="1"/>
  <c r="K1025" i="1" s="1"/>
  <c r="J1026" i="1"/>
  <c r="J1025" i="1" s="1"/>
  <c r="I1026" i="1"/>
  <c r="I1025" i="1" s="1"/>
  <c r="H1026" i="1"/>
  <c r="Q1020" i="1"/>
  <c r="I1016" i="1"/>
  <c r="Q1015" i="1"/>
  <c r="P1014" i="1"/>
  <c r="P1013" i="1" s="1"/>
  <c r="O1014" i="1"/>
  <c r="O1013" i="1" s="1"/>
  <c r="N1014" i="1"/>
  <c r="N1013" i="1" s="1"/>
  <c r="M1014" i="1"/>
  <c r="M1013" i="1" s="1"/>
  <c r="L1014" i="1"/>
  <c r="L1013" i="1" s="1"/>
  <c r="K1014" i="1"/>
  <c r="K1013" i="1" s="1"/>
  <c r="J1014" i="1"/>
  <c r="J1013" i="1" s="1"/>
  <c r="I1014" i="1"/>
  <c r="I1013" i="1" s="1"/>
  <c r="H1014" i="1"/>
  <c r="H1013" i="1" s="1"/>
  <c r="Q1012" i="1"/>
  <c r="O1012" i="1"/>
  <c r="Q1011" i="1"/>
  <c r="O1011" i="1"/>
  <c r="Q1010" i="1"/>
  <c r="O1010" i="1"/>
  <c r="Q1009" i="1"/>
  <c r="O1009" i="1"/>
  <c r="P1008" i="1"/>
  <c r="P1007" i="1" s="1"/>
  <c r="N1008" i="1"/>
  <c r="N1007" i="1" s="1"/>
  <c r="M1008" i="1"/>
  <c r="M1007" i="1" s="1"/>
  <c r="L1008" i="1"/>
  <c r="L1007" i="1" s="1"/>
  <c r="K1008" i="1"/>
  <c r="K1007" i="1" s="1"/>
  <c r="J1008" i="1"/>
  <c r="J1007" i="1" s="1"/>
  <c r="I1008" i="1"/>
  <c r="I1007" i="1" s="1"/>
  <c r="H1008" i="1"/>
  <c r="H1007" i="1" s="1"/>
  <c r="L1006" i="1"/>
  <c r="Q1006" i="1" s="1"/>
  <c r="L1005" i="1"/>
  <c r="Q1005" i="1" s="1"/>
  <c r="J1005" i="1"/>
  <c r="L1004" i="1"/>
  <c r="Q1004" i="1" s="1"/>
  <c r="L1003" i="1"/>
  <c r="Q1003" i="1" s="1"/>
  <c r="J1003" i="1"/>
  <c r="L1002" i="1"/>
  <c r="Q1002" i="1" s="1"/>
  <c r="L1001" i="1"/>
  <c r="Q1001" i="1" s="1"/>
  <c r="L1000" i="1"/>
  <c r="Q1000" i="1" s="1"/>
  <c r="J1000" i="1"/>
  <c r="L999" i="1"/>
  <c r="Q999" i="1" s="1"/>
  <c r="L998" i="1"/>
  <c r="Q998" i="1" s="1"/>
  <c r="O997" i="1"/>
  <c r="O996" i="1" s="1"/>
  <c r="N997" i="1"/>
  <c r="N996" i="1" s="1"/>
  <c r="M997" i="1"/>
  <c r="M996" i="1" s="1"/>
  <c r="K997" i="1"/>
  <c r="K996" i="1" s="1"/>
  <c r="I997" i="1"/>
  <c r="I996" i="1" s="1"/>
  <c r="H997" i="1"/>
  <c r="H996" i="1" s="1"/>
  <c r="P996" i="1"/>
  <c r="Q995" i="1"/>
  <c r="O995" i="1"/>
  <c r="Q994" i="1"/>
  <c r="O994" i="1"/>
  <c r="P993" i="1"/>
  <c r="P992" i="1" s="1"/>
  <c r="N993" i="1"/>
  <c r="N992" i="1" s="1"/>
  <c r="M993" i="1"/>
  <c r="M992" i="1" s="1"/>
  <c r="L993" i="1"/>
  <c r="K993" i="1"/>
  <c r="J993" i="1"/>
  <c r="J992" i="1" s="1"/>
  <c r="I993" i="1"/>
  <c r="I992" i="1" s="1"/>
  <c r="H993" i="1"/>
  <c r="O991" i="1"/>
  <c r="O990" i="1" s="1"/>
  <c r="I991" i="1"/>
  <c r="Q991" i="1" s="1"/>
  <c r="P990" i="1"/>
  <c r="N990" i="1"/>
  <c r="M990" i="1"/>
  <c r="L990" i="1"/>
  <c r="K990" i="1"/>
  <c r="J990" i="1"/>
  <c r="H990" i="1"/>
  <c r="Q989" i="1"/>
  <c r="O989" i="1"/>
  <c r="O986" i="1" s="1"/>
  <c r="R978" i="1"/>
  <c r="Q978" i="1"/>
  <c r="O973" i="1"/>
  <c r="Q975" i="1"/>
  <c r="R973" i="1"/>
  <c r="Q973" i="1"/>
  <c r="P973" i="1"/>
  <c r="N973" i="1"/>
  <c r="M973" i="1"/>
  <c r="L973" i="1"/>
  <c r="K973" i="1"/>
  <c r="J973" i="1"/>
  <c r="I973" i="1"/>
  <c r="H973" i="1"/>
  <c r="Q972" i="1"/>
  <c r="O972" i="1"/>
  <c r="Q971" i="1"/>
  <c r="O971" i="1"/>
  <c r="Q970" i="1"/>
  <c r="O970" i="1"/>
  <c r="P969" i="1"/>
  <c r="P968" i="1" s="1"/>
  <c r="N969" i="1"/>
  <c r="N968" i="1" s="1"/>
  <c r="M969" i="1"/>
  <c r="M968" i="1" s="1"/>
  <c r="L969" i="1"/>
  <c r="L968" i="1" s="1"/>
  <c r="K969" i="1"/>
  <c r="K968" i="1" s="1"/>
  <c r="J969" i="1"/>
  <c r="J968" i="1" s="1"/>
  <c r="I969" i="1"/>
  <c r="I968" i="1" s="1"/>
  <c r="H969" i="1"/>
  <c r="H968" i="1" s="1"/>
  <c r="Q964" i="1"/>
  <c r="P961" i="1"/>
  <c r="O961" i="1"/>
  <c r="N961" i="1"/>
  <c r="M961" i="1"/>
  <c r="L961" i="1"/>
  <c r="Q962" i="1" s="1"/>
  <c r="K961" i="1"/>
  <c r="J961" i="1"/>
  <c r="I961" i="1"/>
  <c r="H961" i="1"/>
  <c r="A1049" i="1"/>
  <c r="A1050" i="1" s="1"/>
  <c r="A1051" i="1" s="1"/>
  <c r="A1052" i="1" s="1"/>
  <c r="A1053" i="1" s="1"/>
  <c r="A1054" i="1" s="1"/>
  <c r="A1055" i="1" s="1"/>
  <c r="A1056" i="1" s="1"/>
  <c r="A1057" i="1" s="1"/>
  <c r="A1058" i="1" s="1"/>
  <c r="A1062" i="1" s="1"/>
  <c r="A1070" i="1" s="1"/>
  <c r="A1071" i="1" s="1"/>
  <c r="A1072" i="1" s="1"/>
  <c r="A1073" i="1" s="1"/>
  <c r="A1074" i="1" s="1"/>
  <c r="A1079" i="1" s="1"/>
  <c r="Q948" i="1"/>
  <c r="O947" i="1"/>
  <c r="N947" i="1"/>
  <c r="M947" i="1"/>
  <c r="L947" i="1"/>
  <c r="K947" i="1"/>
  <c r="J947" i="1"/>
  <c r="I947" i="1"/>
  <c r="H947" i="1"/>
  <c r="Q946" i="1"/>
  <c r="O946" i="1"/>
  <c r="O945" i="1" s="1"/>
  <c r="P945" i="1"/>
  <c r="N945" i="1"/>
  <c r="M945" i="1"/>
  <c r="L945" i="1"/>
  <c r="K945" i="1"/>
  <c r="J945" i="1"/>
  <c r="I945" i="1"/>
  <c r="H945" i="1"/>
  <c r="Q944" i="1"/>
  <c r="O944" i="1"/>
  <c r="Q943" i="1"/>
  <c r="O943" i="1"/>
  <c r="Q942" i="1"/>
  <c r="O942" i="1"/>
  <c r="Q941" i="1"/>
  <c r="O941" i="1"/>
  <c r="Q940" i="1"/>
  <c r="O940" i="1"/>
  <c r="Q939" i="1"/>
  <c r="C152" i="3"/>
  <c r="Q936" i="1"/>
  <c r="O936" i="1"/>
  <c r="O935" i="1" s="1"/>
  <c r="P935" i="1"/>
  <c r="N935" i="1"/>
  <c r="M935" i="1"/>
  <c r="L935" i="1"/>
  <c r="K935" i="1"/>
  <c r="J935" i="1"/>
  <c r="I935" i="1"/>
  <c r="H935" i="1"/>
  <c r="Q934" i="1"/>
  <c r="P933" i="1"/>
  <c r="O933" i="1"/>
  <c r="N933" i="1"/>
  <c r="M933" i="1"/>
  <c r="K933" i="1"/>
  <c r="J933" i="1"/>
  <c r="I933" i="1"/>
  <c r="H933" i="1"/>
  <c r="Q931" i="1"/>
  <c r="O931" i="1"/>
  <c r="O930" i="1" s="1"/>
  <c r="L929" i="1"/>
  <c r="Q925" i="1"/>
  <c r="Q924" i="1"/>
  <c r="Q923" i="1"/>
  <c r="Q922" i="1"/>
  <c r="Q921" i="1"/>
  <c r="Q920" i="1"/>
  <c r="Q919" i="1"/>
  <c r="Q918" i="1"/>
  <c r="P917" i="1"/>
  <c r="P916" i="1" s="1"/>
  <c r="P915" i="1" s="1"/>
  <c r="N917" i="1"/>
  <c r="N916" i="1" s="1"/>
  <c r="N915" i="1" s="1"/>
  <c r="M917" i="1"/>
  <c r="M916" i="1" s="1"/>
  <c r="M915" i="1" s="1"/>
  <c r="L917" i="1"/>
  <c r="K917" i="1"/>
  <c r="J917" i="1"/>
  <c r="J916" i="1" s="1"/>
  <c r="I917" i="1"/>
  <c r="I916" i="1" s="1"/>
  <c r="H917" i="1"/>
  <c r="Q915" i="1"/>
  <c r="O915" i="1"/>
  <c r="Q914" i="1"/>
  <c r="O914" i="1"/>
  <c r="Q913" i="1"/>
  <c r="O913" i="1"/>
  <c r="Q912" i="1"/>
  <c r="O912" i="1"/>
  <c r="Q911" i="1"/>
  <c r="O911" i="1"/>
  <c r="Q910" i="1"/>
  <c r="O910" i="1"/>
  <c r="L909" i="1"/>
  <c r="K909" i="1"/>
  <c r="J909" i="1"/>
  <c r="J908" i="1" s="1"/>
  <c r="I909" i="1"/>
  <c r="I908" i="1" s="1"/>
  <c r="H908" i="1"/>
  <c r="Q906" i="1"/>
  <c r="Q904" i="1"/>
  <c r="O904" i="1"/>
  <c r="O903" i="1" s="1"/>
  <c r="P903" i="1"/>
  <c r="N903" i="1"/>
  <c r="M903" i="1"/>
  <c r="L903" i="1"/>
  <c r="K903" i="1"/>
  <c r="J903" i="1"/>
  <c r="I903" i="1"/>
  <c r="H903" i="1"/>
  <c r="Q902" i="1"/>
  <c r="Q901" i="1"/>
  <c r="P900" i="1"/>
  <c r="O900" i="1"/>
  <c r="N900" i="1"/>
  <c r="M900" i="1"/>
  <c r="L900" i="1"/>
  <c r="K900" i="1"/>
  <c r="J900" i="1"/>
  <c r="I900" i="1"/>
  <c r="H900" i="1"/>
  <c r="Q898" i="1"/>
  <c r="O898" i="1"/>
  <c r="O897" i="1" s="1"/>
  <c r="P897" i="1"/>
  <c r="N897" i="1"/>
  <c r="M897" i="1"/>
  <c r="L897" i="1"/>
  <c r="K897" i="1"/>
  <c r="J897" i="1"/>
  <c r="I897" i="1"/>
  <c r="H897" i="1"/>
  <c r="L895" i="1"/>
  <c r="Q895" i="1" s="1"/>
  <c r="P894" i="1"/>
  <c r="O894" i="1"/>
  <c r="N894" i="1"/>
  <c r="N889" i="1" s="1"/>
  <c r="M894" i="1"/>
  <c r="K894" i="1"/>
  <c r="J894" i="1"/>
  <c r="I894" i="1"/>
  <c r="H894" i="1"/>
  <c r="Q892" i="1"/>
  <c r="O892" i="1"/>
  <c r="Q891" i="1"/>
  <c r="O891" i="1"/>
  <c r="P889" i="1"/>
  <c r="Q888" i="1"/>
  <c r="O886" i="1"/>
  <c r="N886" i="1"/>
  <c r="M886" i="1"/>
  <c r="L886" i="1"/>
  <c r="K886" i="1"/>
  <c r="J886" i="1"/>
  <c r="I886" i="1"/>
  <c r="H886" i="1"/>
  <c r="O883" i="1"/>
  <c r="O882" i="1" s="1"/>
  <c r="Q884" i="1"/>
  <c r="P883" i="1"/>
  <c r="P882" i="1" s="1"/>
  <c r="N883" i="1"/>
  <c r="N882" i="1" s="1"/>
  <c r="M883" i="1"/>
  <c r="M882" i="1" s="1"/>
  <c r="L883" i="1"/>
  <c r="L882" i="1" s="1"/>
  <c r="K883" i="1"/>
  <c r="K882" i="1" s="1"/>
  <c r="J883" i="1"/>
  <c r="J882" i="1" s="1"/>
  <c r="I883" i="1"/>
  <c r="I882" i="1" s="1"/>
  <c r="H883" i="1"/>
  <c r="H882" i="1" s="1"/>
  <c r="N880" i="1"/>
  <c r="P880" i="1"/>
  <c r="O880" i="1"/>
  <c r="M880" i="1"/>
  <c r="L880" i="1"/>
  <c r="K880" i="1"/>
  <c r="J880" i="1"/>
  <c r="I880" i="1"/>
  <c r="H880" i="1"/>
  <c r="Q879" i="1"/>
  <c r="O879" i="1"/>
  <c r="O878" i="1" s="1"/>
  <c r="L128" i="3"/>
  <c r="D128" i="3"/>
  <c r="C128" i="3"/>
  <c r="Q877" i="1"/>
  <c r="N876" i="1"/>
  <c r="P876" i="1"/>
  <c r="P869" i="1" s="1"/>
  <c r="O876" i="1"/>
  <c r="M876" i="1"/>
  <c r="L876" i="1"/>
  <c r="K876" i="1"/>
  <c r="J876" i="1"/>
  <c r="I876" i="1"/>
  <c r="H876" i="1"/>
  <c r="Q875" i="1"/>
  <c r="O875" i="1"/>
  <c r="O874" i="1" s="1"/>
  <c r="Q871" i="1"/>
  <c r="O871" i="1"/>
  <c r="Q870" i="1"/>
  <c r="O870" i="1"/>
  <c r="Q869" i="1"/>
  <c r="N868" i="1"/>
  <c r="M868" i="1"/>
  <c r="L868" i="1"/>
  <c r="K868" i="1"/>
  <c r="J868" i="1"/>
  <c r="I868" i="1"/>
  <c r="H868" i="1"/>
  <c r="O863" i="1"/>
  <c r="N863" i="1"/>
  <c r="K863" i="1"/>
  <c r="J863" i="1"/>
  <c r="H863" i="1"/>
  <c r="P863" i="1"/>
  <c r="M863" i="1"/>
  <c r="I863" i="1"/>
  <c r="L862" i="1"/>
  <c r="Q862" i="1" s="1"/>
  <c r="L861" i="1"/>
  <c r="Q861" i="1" s="1"/>
  <c r="P860" i="1"/>
  <c r="P845" i="1" s="1"/>
  <c r="P844" i="1" s="1"/>
  <c r="O860" i="1"/>
  <c r="N860" i="1"/>
  <c r="M860" i="1"/>
  <c r="K860" i="1"/>
  <c r="J860" i="1"/>
  <c r="I860" i="1"/>
  <c r="H860" i="1"/>
  <c r="Q859" i="1"/>
  <c r="O859" i="1"/>
  <c r="Q858" i="1"/>
  <c r="O858" i="1"/>
  <c r="Q857" i="1"/>
  <c r="O857" i="1"/>
  <c r="Q856" i="1"/>
  <c r="O856" i="1"/>
  <c r="J856" i="1"/>
  <c r="J845" i="1" s="1"/>
  <c r="Q855" i="1"/>
  <c r="O855" i="1"/>
  <c r="Q854" i="1"/>
  <c r="O854" i="1"/>
  <c r="Q853" i="1"/>
  <c r="O853" i="1"/>
  <c r="Q852" i="1"/>
  <c r="O852" i="1"/>
  <c r="Q851" i="1"/>
  <c r="O851" i="1"/>
  <c r="Q850" i="1"/>
  <c r="O850" i="1"/>
  <c r="Q849" i="1"/>
  <c r="O849" i="1"/>
  <c r="Q848" i="1"/>
  <c r="O848" i="1"/>
  <c r="Q847" i="1"/>
  <c r="O847" i="1"/>
  <c r="Q846" i="1"/>
  <c r="O846" i="1"/>
  <c r="N845" i="1"/>
  <c r="M845" i="1"/>
  <c r="L845" i="1"/>
  <c r="K845" i="1"/>
  <c r="I845" i="1"/>
  <c r="H845" i="1"/>
  <c r="P842" i="1"/>
  <c r="P841" i="1" s="1"/>
  <c r="O842" i="1"/>
  <c r="O841" i="1" s="1"/>
  <c r="N842" i="1"/>
  <c r="N841" i="1" s="1"/>
  <c r="M842" i="1"/>
  <c r="M841" i="1" s="1"/>
  <c r="L842" i="1"/>
  <c r="K842" i="1"/>
  <c r="K841" i="1" s="1"/>
  <c r="J842" i="1"/>
  <c r="J841" i="1" s="1"/>
  <c r="I842" i="1"/>
  <c r="I841" i="1" s="1"/>
  <c r="H842" i="1"/>
  <c r="H841" i="1" s="1"/>
  <c r="Q840" i="1"/>
  <c r="Q839" i="1"/>
  <c r="Q838" i="1"/>
  <c r="Q837" i="1"/>
  <c r="Q836" i="1"/>
  <c r="O836" i="1"/>
  <c r="P835" i="1"/>
  <c r="P834" i="1" s="1"/>
  <c r="N835" i="1"/>
  <c r="N834" i="1" s="1"/>
  <c r="M835" i="1"/>
  <c r="M834" i="1" s="1"/>
  <c r="L835" i="1"/>
  <c r="L834" i="1" s="1"/>
  <c r="K835" i="1"/>
  <c r="K834" i="1" s="1"/>
  <c r="J835" i="1"/>
  <c r="J834" i="1" s="1"/>
  <c r="I835" i="1"/>
  <c r="I834" i="1" s="1"/>
  <c r="H835" i="1"/>
  <c r="Q828" i="1"/>
  <c r="O828" i="1"/>
  <c r="O826" i="1" s="1"/>
  <c r="O825" i="1" s="1"/>
  <c r="Q827" i="1"/>
  <c r="M825" i="1"/>
  <c r="K825" i="1"/>
  <c r="I825" i="1"/>
  <c r="H825" i="1"/>
  <c r="R825" i="1"/>
  <c r="Q825" i="1"/>
  <c r="P825" i="1"/>
  <c r="N825" i="1"/>
  <c r="L825" i="1"/>
  <c r="J825" i="1"/>
  <c r="Q814" i="1"/>
  <c r="O814" i="1"/>
  <c r="Q813" i="1"/>
  <c r="O813" i="1"/>
  <c r="Q812" i="1"/>
  <c r="O812" i="1"/>
  <c r="Q811" i="1"/>
  <c r="O811" i="1"/>
  <c r="Q810" i="1"/>
  <c r="O810" i="1"/>
  <c r="Q805" i="1"/>
  <c r="O805" i="1"/>
  <c r="Q804" i="1"/>
  <c r="O804" i="1"/>
  <c r="Q803" i="1"/>
  <c r="O803" i="1"/>
  <c r="Q802" i="1"/>
  <c r="O802" i="1"/>
  <c r="Q801" i="1"/>
  <c r="O801" i="1"/>
  <c r="Q800" i="1"/>
  <c r="O800" i="1"/>
  <c r="Q799" i="1"/>
  <c r="O799" i="1"/>
  <c r="Q798" i="1"/>
  <c r="O798" i="1"/>
  <c r="Q797" i="1"/>
  <c r="O797" i="1"/>
  <c r="Q772" i="1"/>
  <c r="O772" i="1"/>
  <c r="Q771" i="1"/>
  <c r="O771" i="1"/>
  <c r="Q769" i="1"/>
  <c r="Q766" i="1"/>
  <c r="Q759" i="1"/>
  <c r="Q758" i="1"/>
  <c r="Q757" i="1"/>
  <c r="Q756" i="1"/>
  <c r="Q755" i="1"/>
  <c r="Q754" i="1"/>
  <c r="P753" i="1"/>
  <c r="O753" i="1"/>
  <c r="N753" i="1"/>
  <c r="M753" i="1"/>
  <c r="L753" i="1"/>
  <c r="M106" i="3" s="1"/>
  <c r="K753" i="1"/>
  <c r="D106" i="3" s="1"/>
  <c r="J753" i="1"/>
  <c r="I753" i="1"/>
  <c r="H753" i="1"/>
  <c r="C106" i="3" s="1"/>
  <c r="Q752" i="1"/>
  <c r="O752" i="1"/>
  <c r="Q751" i="1"/>
  <c r="O751" i="1"/>
  <c r="Q750" i="1"/>
  <c r="O750" i="1"/>
  <c r="Q749" i="1"/>
  <c r="O749" i="1"/>
  <c r="Q748" i="1"/>
  <c r="O748" i="1"/>
  <c r="Q747" i="1"/>
  <c r="O747" i="1"/>
  <c r="Q746" i="1"/>
  <c r="O746" i="1"/>
  <c r="Q745" i="1"/>
  <c r="O745" i="1"/>
  <c r="Q744" i="1"/>
  <c r="O744" i="1"/>
  <c r="Q743" i="1"/>
  <c r="O743" i="1"/>
  <c r="Q742" i="1"/>
  <c r="O742" i="1"/>
  <c r="Q741" i="1"/>
  <c r="O741" i="1"/>
  <c r="Q740" i="1"/>
  <c r="O740" i="1"/>
  <c r="Q739" i="1"/>
  <c r="O739" i="1"/>
  <c r="Q738" i="1"/>
  <c r="O738" i="1"/>
  <c r="Q737" i="1"/>
  <c r="O737" i="1"/>
  <c r="Q736" i="1"/>
  <c r="O736" i="1"/>
  <c r="Q735" i="1"/>
  <c r="O735" i="1"/>
  <c r="Q734" i="1"/>
  <c r="O734" i="1"/>
  <c r="Q733" i="1"/>
  <c r="O733" i="1"/>
  <c r="Q732" i="1"/>
  <c r="O732" i="1"/>
  <c r="Q731" i="1"/>
  <c r="O731" i="1"/>
  <c r="Q730" i="1"/>
  <c r="O730" i="1"/>
  <c r="Q729" i="1"/>
  <c r="O729" i="1"/>
  <c r="Q728" i="1"/>
  <c r="O728" i="1"/>
  <c r="Q727" i="1"/>
  <c r="O727" i="1"/>
  <c r="Q726" i="1"/>
  <c r="O726" i="1"/>
  <c r="Q725" i="1"/>
  <c r="O725" i="1"/>
  <c r="Q724" i="1"/>
  <c r="O724" i="1"/>
  <c r="Q723" i="1"/>
  <c r="O723" i="1"/>
  <c r="Q722" i="1"/>
  <c r="O722" i="1"/>
  <c r="Q721" i="1"/>
  <c r="O721" i="1"/>
  <c r="Q720" i="1"/>
  <c r="O720" i="1"/>
  <c r="Q719" i="1"/>
  <c r="O719" i="1"/>
  <c r="Q718" i="1"/>
  <c r="O718" i="1"/>
  <c r="Q717" i="1"/>
  <c r="O717" i="1"/>
  <c r="Q716" i="1"/>
  <c r="O716" i="1"/>
  <c r="Q715" i="1"/>
  <c r="O715" i="1"/>
  <c r="Q714" i="1"/>
  <c r="O714" i="1"/>
  <c r="Q713" i="1"/>
  <c r="O713" i="1"/>
  <c r="Q712" i="1"/>
  <c r="O712" i="1"/>
  <c r="Q711" i="1"/>
  <c r="O711" i="1"/>
  <c r="Q710" i="1"/>
  <c r="O710" i="1"/>
  <c r="Q709" i="1"/>
  <c r="O709" i="1"/>
  <c r="Q708" i="1"/>
  <c r="O708" i="1"/>
  <c r="Q707" i="1"/>
  <c r="O707" i="1"/>
  <c r="Q706" i="1"/>
  <c r="O706" i="1"/>
  <c r="Q705" i="1"/>
  <c r="O705" i="1"/>
  <c r="Q704" i="1"/>
  <c r="O704" i="1"/>
  <c r="Q703" i="1"/>
  <c r="O703" i="1"/>
  <c r="Q702" i="1"/>
  <c r="O702" i="1"/>
  <c r="Q701" i="1"/>
  <c r="O701" i="1"/>
  <c r="Q700" i="1"/>
  <c r="O700" i="1"/>
  <c r="Q699" i="1"/>
  <c r="O699" i="1"/>
  <c r="Q698" i="1"/>
  <c r="O698" i="1"/>
  <c r="Q697" i="1"/>
  <c r="O697" i="1"/>
  <c r="Q696" i="1"/>
  <c r="O696" i="1"/>
  <c r="Q695" i="1"/>
  <c r="O695" i="1"/>
  <c r="Q694" i="1"/>
  <c r="O694" i="1"/>
  <c r="Q693" i="1"/>
  <c r="O693" i="1"/>
  <c r="Q692" i="1"/>
  <c r="O692" i="1"/>
  <c r="Q691" i="1"/>
  <c r="O691" i="1"/>
  <c r="Q690" i="1"/>
  <c r="O690" i="1"/>
  <c r="Q689" i="1"/>
  <c r="O689" i="1"/>
  <c r="Q688" i="1"/>
  <c r="O688" i="1"/>
  <c r="Q687" i="1"/>
  <c r="O687" i="1"/>
  <c r="Q686" i="1"/>
  <c r="O686" i="1"/>
  <c r="Q685" i="1"/>
  <c r="O685" i="1"/>
  <c r="Q684" i="1"/>
  <c r="O684" i="1"/>
  <c r="Q683" i="1"/>
  <c r="O683" i="1"/>
  <c r="Q682" i="1"/>
  <c r="O682" i="1"/>
  <c r="Q681" i="1"/>
  <c r="O681" i="1"/>
  <c r="Q680" i="1"/>
  <c r="O680" i="1"/>
  <c r="Q679" i="1"/>
  <c r="O679" i="1"/>
  <c r="Q678" i="1"/>
  <c r="O678" i="1"/>
  <c r="Q677" i="1"/>
  <c r="O677" i="1"/>
  <c r="Q676" i="1"/>
  <c r="O676" i="1"/>
  <c r="Q675" i="1"/>
  <c r="O675" i="1"/>
  <c r="Q674" i="1"/>
  <c r="O674" i="1"/>
  <c r="Q673" i="1"/>
  <c r="O673" i="1"/>
  <c r="Q672" i="1"/>
  <c r="O672" i="1"/>
  <c r="Q671" i="1"/>
  <c r="O671" i="1"/>
  <c r="Q670" i="1"/>
  <c r="O670" i="1"/>
  <c r="Q669" i="1"/>
  <c r="O669" i="1"/>
  <c r="Q668" i="1"/>
  <c r="O668" i="1"/>
  <c r="Q667" i="1"/>
  <c r="O667" i="1"/>
  <c r="Q666" i="1"/>
  <c r="O666" i="1"/>
  <c r="Q665" i="1"/>
  <c r="O665" i="1"/>
  <c r="Q664" i="1"/>
  <c r="O664" i="1"/>
  <c r="Q663" i="1"/>
  <c r="O663" i="1"/>
  <c r="Q662" i="1"/>
  <c r="O662" i="1"/>
  <c r="Q661" i="1"/>
  <c r="O661" i="1"/>
  <c r="Q660" i="1"/>
  <c r="O660" i="1"/>
  <c r="Q659" i="1"/>
  <c r="O659" i="1"/>
  <c r="Q658" i="1"/>
  <c r="O658" i="1"/>
  <c r="Q657" i="1"/>
  <c r="O657" i="1"/>
  <c r="Q656" i="1"/>
  <c r="O656" i="1"/>
  <c r="Q655" i="1"/>
  <c r="O655" i="1"/>
  <c r="Q654" i="1"/>
  <c r="O654" i="1"/>
  <c r="Q653" i="1"/>
  <c r="O653" i="1"/>
  <c r="Q652" i="1"/>
  <c r="O652" i="1"/>
  <c r="Q651" i="1"/>
  <c r="O651" i="1"/>
  <c r="Q650" i="1"/>
  <c r="O650" i="1"/>
  <c r="Q649" i="1"/>
  <c r="O649" i="1"/>
  <c r="Q648" i="1"/>
  <c r="O648" i="1"/>
  <c r="Q647" i="1"/>
  <c r="O647" i="1"/>
  <c r="Q646" i="1"/>
  <c r="O646" i="1"/>
  <c r="Q645" i="1"/>
  <c r="O645" i="1"/>
  <c r="Q644" i="1"/>
  <c r="O644" i="1"/>
  <c r="Q643" i="1"/>
  <c r="O643" i="1"/>
  <c r="Q642" i="1"/>
  <c r="O642" i="1"/>
  <c r="Q641" i="1"/>
  <c r="O641" i="1"/>
  <c r="Q640" i="1"/>
  <c r="O640" i="1"/>
  <c r="Q639" i="1"/>
  <c r="O639" i="1"/>
  <c r="Q638" i="1"/>
  <c r="O638" i="1"/>
  <c r="Q637" i="1"/>
  <c r="O637" i="1"/>
  <c r="Q636" i="1"/>
  <c r="O636" i="1"/>
  <c r="Q635" i="1"/>
  <c r="O635" i="1"/>
  <c r="Q634" i="1"/>
  <c r="O634" i="1"/>
  <c r="Q633" i="1"/>
  <c r="O633" i="1"/>
  <c r="Q632" i="1"/>
  <c r="O632" i="1"/>
  <c r="Q631" i="1"/>
  <c r="O631" i="1"/>
  <c r="Q630" i="1"/>
  <c r="O630" i="1"/>
  <c r="Q629" i="1"/>
  <c r="O629" i="1"/>
  <c r="Q628" i="1"/>
  <c r="O628" i="1"/>
  <c r="Q627" i="1"/>
  <c r="O627" i="1"/>
  <c r="Q626" i="1"/>
  <c r="O626" i="1"/>
  <c r="Q625" i="1"/>
  <c r="O625" i="1"/>
  <c r="Q624" i="1"/>
  <c r="O624" i="1"/>
  <c r="Q623" i="1"/>
  <c r="O623" i="1"/>
  <c r="Q622" i="1"/>
  <c r="O622" i="1"/>
  <c r="Q621" i="1"/>
  <c r="O621" i="1"/>
  <c r="Q620" i="1"/>
  <c r="O620" i="1"/>
  <c r="Q619" i="1"/>
  <c r="O619" i="1"/>
  <c r="Q618" i="1"/>
  <c r="O618" i="1"/>
  <c r="Q617" i="1"/>
  <c r="O617" i="1"/>
  <c r="Q616" i="1"/>
  <c r="O616" i="1"/>
  <c r="Q615" i="1"/>
  <c r="O615" i="1"/>
  <c r="Q614" i="1"/>
  <c r="O614" i="1"/>
  <c r="Q613" i="1"/>
  <c r="O613" i="1"/>
  <c r="Q612" i="1"/>
  <c r="O612" i="1"/>
  <c r="Q611" i="1"/>
  <c r="O611" i="1"/>
  <c r="Q610" i="1"/>
  <c r="O610" i="1"/>
  <c r="Q609" i="1"/>
  <c r="O609" i="1"/>
  <c r="Q608" i="1"/>
  <c r="O608" i="1"/>
  <c r="Q607" i="1"/>
  <c r="O607" i="1"/>
  <c r="Q606" i="1"/>
  <c r="O606" i="1"/>
  <c r="Q605" i="1"/>
  <c r="O605" i="1"/>
  <c r="Q604" i="1"/>
  <c r="O604" i="1"/>
  <c r="Q603" i="1"/>
  <c r="O603" i="1"/>
  <c r="Q602" i="1"/>
  <c r="O602" i="1"/>
  <c r="Q601" i="1"/>
  <c r="O601" i="1"/>
  <c r="Q600" i="1"/>
  <c r="O600" i="1"/>
  <c r="Q599" i="1"/>
  <c r="O599" i="1"/>
  <c r="Q598" i="1"/>
  <c r="O598" i="1"/>
  <c r="Q597" i="1"/>
  <c r="O597" i="1"/>
  <c r="Q596" i="1"/>
  <c r="O596" i="1"/>
  <c r="Q595" i="1"/>
  <c r="O595" i="1"/>
  <c r="Q594" i="1"/>
  <c r="O594" i="1"/>
  <c r="Q593" i="1"/>
  <c r="O593" i="1"/>
  <c r="Q592" i="1"/>
  <c r="O592" i="1"/>
  <c r="Q591" i="1"/>
  <c r="O591" i="1"/>
  <c r="Q590" i="1"/>
  <c r="O590" i="1"/>
  <c r="Q589" i="1"/>
  <c r="O589" i="1"/>
  <c r="Q588" i="1"/>
  <c r="O588" i="1"/>
  <c r="Q587" i="1"/>
  <c r="O587" i="1"/>
  <c r="Q586" i="1"/>
  <c r="O586" i="1"/>
  <c r="A586" i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5" i="1" s="1"/>
  <c r="A756" i="1" s="1"/>
  <c r="A758" i="1" s="1"/>
  <c r="A759" i="1" s="1"/>
  <c r="A769" i="1" s="1"/>
  <c r="A771" i="1" s="1"/>
  <c r="A772" i="1" s="1"/>
  <c r="A797" i="1" s="1"/>
  <c r="A798" i="1" s="1"/>
  <c r="A799" i="1" s="1"/>
  <c r="A800" i="1" s="1"/>
  <c r="A801" i="1" s="1"/>
  <c r="A802" i="1" s="1"/>
  <c r="A803" i="1" s="1"/>
  <c r="A804" i="1" s="1"/>
  <c r="A805" i="1" s="1"/>
  <c r="A810" i="1" s="1"/>
  <c r="A811" i="1" s="1"/>
  <c r="A812" i="1" s="1"/>
  <c r="A813" i="1" s="1"/>
  <c r="A814" i="1" s="1"/>
  <c r="A827" i="1" s="1"/>
  <c r="A828" i="1" s="1"/>
  <c r="A836" i="1" s="1"/>
  <c r="A837" i="1" s="1"/>
  <c r="A838" i="1" s="1"/>
  <c r="A839" i="1" s="1"/>
  <c r="A840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1" i="1" s="1"/>
  <c r="A862" i="1" s="1"/>
  <c r="A869" i="1" s="1"/>
  <c r="A870" i="1" s="1"/>
  <c r="A871" i="1" s="1"/>
  <c r="A875" i="1" s="1"/>
  <c r="A877" i="1" s="1"/>
  <c r="A879" i="1" s="1"/>
  <c r="A884" i="1" s="1"/>
  <c r="A888" i="1" s="1"/>
  <c r="A891" i="1" s="1"/>
  <c r="A892" i="1" s="1"/>
  <c r="A895" i="1" s="1"/>
  <c r="A898" i="1" s="1"/>
  <c r="A901" i="1" s="1"/>
  <c r="A902" i="1" s="1"/>
  <c r="A904" i="1" s="1"/>
  <c r="A906" i="1" s="1"/>
  <c r="A910" i="1" s="1"/>
  <c r="A911" i="1" s="1"/>
  <c r="A912" i="1" s="1"/>
  <c r="A913" i="1" s="1"/>
  <c r="A919" i="1" s="1"/>
  <c r="A920" i="1" s="1"/>
  <c r="A921" i="1" s="1"/>
  <c r="A922" i="1" s="1"/>
  <c r="A923" i="1" s="1"/>
  <c r="A924" i="1" s="1"/>
  <c r="A925" i="1" s="1"/>
  <c r="A931" i="1" s="1"/>
  <c r="A934" i="1" s="1"/>
  <c r="A936" i="1" s="1"/>
  <c r="A940" i="1" s="1"/>
  <c r="A941" i="1" s="1"/>
  <c r="A942" i="1" s="1"/>
  <c r="A943" i="1" s="1"/>
  <c r="A944" i="1" s="1"/>
  <c r="A946" i="1" s="1"/>
  <c r="A948" i="1" s="1"/>
  <c r="Q585" i="1"/>
  <c r="O585" i="1"/>
  <c r="P584" i="1"/>
  <c r="N584" i="1"/>
  <c r="M584" i="1"/>
  <c r="K584" i="1"/>
  <c r="D254" i="3" s="1"/>
  <c r="D253" i="3" s="1"/>
  <c r="J584" i="1"/>
  <c r="I584" i="1"/>
  <c r="H584" i="1"/>
  <c r="C254" i="3" s="1"/>
  <c r="C253" i="3" s="1"/>
  <c r="I1038" i="1" l="1"/>
  <c r="M1038" i="1"/>
  <c r="O1048" i="1"/>
  <c r="P1557" i="1"/>
  <c r="O1528" i="1"/>
  <c r="O1527" i="1" s="1"/>
  <c r="H1533" i="1"/>
  <c r="O993" i="1"/>
  <c r="O992" i="1" s="1"/>
  <c r="O938" i="1"/>
  <c r="O937" i="1" s="1"/>
  <c r="O969" i="1"/>
  <c r="O968" i="1" s="1"/>
  <c r="O1033" i="1"/>
  <c r="O1032" i="1" s="1"/>
  <c r="K1533" i="1"/>
  <c r="D273" i="3" s="1"/>
  <c r="O1533" i="1"/>
  <c r="L1533" i="1"/>
  <c r="M273" i="3" s="1"/>
  <c r="N273" i="3" s="1"/>
  <c r="J1364" i="1"/>
  <c r="H1557" i="1"/>
  <c r="L1557" i="1"/>
  <c r="O1369" i="1"/>
  <c r="O1364" i="1" s="1"/>
  <c r="P1533" i="1"/>
  <c r="O1038" i="1"/>
  <c r="O809" i="1"/>
  <c r="O929" i="1"/>
  <c r="O1008" i="1"/>
  <c r="O1007" i="1" s="1"/>
  <c r="J1038" i="1"/>
  <c r="N1038" i="1"/>
  <c r="O1557" i="1"/>
  <c r="I1364" i="1"/>
  <c r="M1364" i="1"/>
  <c r="O890" i="1"/>
  <c r="O889" i="1" s="1"/>
  <c r="O1308" i="1"/>
  <c r="O770" i="1"/>
  <c r="O796" i="1"/>
  <c r="I867" i="1"/>
  <c r="M867" i="1"/>
  <c r="O909" i="1"/>
  <c r="O908" i="1" s="1"/>
  <c r="K1038" i="1"/>
  <c r="D180" i="3" s="1"/>
  <c r="K1557" i="1"/>
  <c r="I1533" i="1"/>
  <c r="M1533" i="1"/>
  <c r="J1557" i="1"/>
  <c r="N1557" i="1"/>
  <c r="N1364" i="1"/>
  <c r="O1435" i="1"/>
  <c r="O1434" i="1" s="1"/>
  <c r="L1575" i="1"/>
  <c r="H1038" i="1"/>
  <c r="C180" i="3" s="1"/>
  <c r="L1038" i="1"/>
  <c r="M180" i="3" s="1"/>
  <c r="N180" i="3" s="1"/>
  <c r="P1038" i="1"/>
  <c r="O868" i="1"/>
  <c r="O867" i="1" s="1"/>
  <c r="D115" i="3"/>
  <c r="D114" i="3" s="1"/>
  <c r="D153" i="3"/>
  <c r="C176" i="3"/>
  <c r="C181" i="3"/>
  <c r="H1364" i="1"/>
  <c r="L1364" i="1"/>
  <c r="C247" i="3"/>
  <c r="M247" i="3"/>
  <c r="N247" i="3" s="1"/>
  <c r="C259" i="3"/>
  <c r="M259" i="3"/>
  <c r="M257" i="3" s="1"/>
  <c r="D269" i="3"/>
  <c r="C274" i="3"/>
  <c r="D293" i="3"/>
  <c r="M115" i="3"/>
  <c r="N115" i="3" s="1"/>
  <c r="N114" i="3" s="1"/>
  <c r="C153" i="3"/>
  <c r="M153" i="3"/>
  <c r="D181" i="3"/>
  <c r="K1364" i="1"/>
  <c r="D247" i="3"/>
  <c r="D259" i="3"/>
  <c r="C269" i="3"/>
  <c r="D274" i="3"/>
  <c r="C293" i="3"/>
  <c r="M293" i="3"/>
  <c r="M291" i="3" s="1"/>
  <c r="H916" i="1"/>
  <c r="C145" i="3"/>
  <c r="L916" i="1"/>
  <c r="C891" i="2" s="1"/>
  <c r="M145" i="3"/>
  <c r="H1414" i="1"/>
  <c r="C239" i="3"/>
  <c r="C238" i="3" s="1"/>
  <c r="L1414" i="1"/>
  <c r="M239" i="3"/>
  <c r="K916" i="1"/>
  <c r="D145" i="3"/>
  <c r="K1414" i="1"/>
  <c r="D239" i="3"/>
  <c r="D238" i="3" s="1"/>
  <c r="P1364" i="1"/>
  <c r="D124" i="3"/>
  <c r="K867" i="1"/>
  <c r="C124" i="3"/>
  <c r="H867" i="1"/>
  <c r="M124" i="3"/>
  <c r="N124" i="3" s="1"/>
  <c r="L867" i="1"/>
  <c r="J867" i="1"/>
  <c r="N867" i="1"/>
  <c r="O917" i="1"/>
  <c r="O916" i="1" s="1"/>
  <c r="D219" i="3"/>
  <c r="D216" i="3" s="1"/>
  <c r="C219" i="3"/>
  <c r="C216" i="3" s="1"/>
  <c r="M219" i="3"/>
  <c r="M216" i="3" s="1"/>
  <c r="K992" i="1"/>
  <c r="D169" i="3"/>
  <c r="D168" i="3" s="1"/>
  <c r="H992" i="1"/>
  <c r="C169" i="3"/>
  <c r="C168" i="3" s="1"/>
  <c r="L992" i="1"/>
  <c r="M169" i="3"/>
  <c r="L908" i="1"/>
  <c r="M143" i="3"/>
  <c r="H1403" i="1"/>
  <c r="C237" i="3"/>
  <c r="L1403" i="1"/>
  <c r="M237" i="3"/>
  <c r="K908" i="1"/>
  <c r="D143" i="3"/>
  <c r="D142" i="3" s="1"/>
  <c r="K1403" i="1"/>
  <c r="D237" i="3"/>
  <c r="I937" i="1"/>
  <c r="P887" i="1"/>
  <c r="P886" i="1" s="1"/>
  <c r="P1384" i="1"/>
  <c r="P1383" i="1" s="1"/>
  <c r="N128" i="3"/>
  <c r="L123" i="3"/>
  <c r="H834" i="1"/>
  <c r="C115" i="3"/>
  <c r="C114" i="3" s="1"/>
  <c r="O1269" i="1"/>
  <c r="H1578" i="1"/>
  <c r="H1574" i="1" s="1"/>
  <c r="L841" i="1"/>
  <c r="M117" i="3"/>
  <c r="N117" i="3" s="1"/>
  <c r="N116" i="3" s="1"/>
  <c r="H937" i="1"/>
  <c r="K937" i="1"/>
  <c r="M937" i="1"/>
  <c r="P937" i="1"/>
  <c r="L937" i="1"/>
  <c r="N937" i="1"/>
  <c r="O584" i="1"/>
  <c r="L1578" i="1"/>
  <c r="O1427" i="1"/>
  <c r="O1426" i="1" s="1"/>
  <c r="J1060" i="1"/>
  <c r="J1434" i="1"/>
  <c r="H1476" i="1"/>
  <c r="J1476" i="1"/>
  <c r="L1476" i="1"/>
  <c r="N1476" i="1"/>
  <c r="I1485" i="1"/>
  <c r="I1476" i="1" s="1"/>
  <c r="J1491" i="1"/>
  <c r="J1490" i="1" s="1"/>
  <c r="J937" i="1"/>
  <c r="I990" i="1"/>
  <c r="H1567" i="1"/>
  <c r="H1566" i="1" s="1"/>
  <c r="H1565" i="1" s="1"/>
  <c r="O1086" i="1"/>
  <c r="J1578" i="1"/>
  <c r="J1574" i="1" s="1"/>
  <c r="J1563" i="1" s="1"/>
  <c r="N1578" i="1"/>
  <c r="N1574" i="1" s="1"/>
  <c r="N1563" i="1" s="1"/>
  <c r="O978" i="1"/>
  <c r="H844" i="1"/>
  <c r="M844" i="1"/>
  <c r="O845" i="1"/>
  <c r="O844" i="1" s="1"/>
  <c r="I844" i="1"/>
  <c r="N844" i="1"/>
  <c r="I929" i="1"/>
  <c r="I978" i="1"/>
  <c r="K978" i="1"/>
  <c r="M978" i="1"/>
  <c r="H978" i="1"/>
  <c r="J978" i="1"/>
  <c r="L978" i="1"/>
  <c r="N978" i="1"/>
  <c r="P978" i="1"/>
  <c r="J997" i="1"/>
  <c r="J996" i="1" s="1"/>
  <c r="I1080" i="1"/>
  <c r="I1076" i="1" s="1"/>
  <c r="I1065" i="1" s="1"/>
  <c r="K1080" i="1"/>
  <c r="K1076" i="1" s="1"/>
  <c r="K1065" i="1" s="1"/>
  <c r="M1080" i="1"/>
  <c r="M1076" i="1" s="1"/>
  <c r="M1065" i="1" s="1"/>
  <c r="O1080" i="1"/>
  <c r="O1076" i="1" s="1"/>
  <c r="K844" i="1"/>
  <c r="M929" i="1"/>
  <c r="O1331" i="1"/>
  <c r="H1341" i="1"/>
  <c r="J1341" i="1"/>
  <c r="N1409" i="1"/>
  <c r="N1408" i="1" s="1"/>
  <c r="N1407" i="1" s="1"/>
  <c r="N1406" i="1" s="1"/>
  <c r="N1405" i="1" s="1"/>
  <c r="N1404" i="1" s="1"/>
  <c r="N1403" i="1" s="1"/>
  <c r="N896" i="1"/>
  <c r="H1025" i="1"/>
  <c r="C179" i="3"/>
  <c r="H1519" i="1"/>
  <c r="C272" i="3"/>
  <c r="P1476" i="1"/>
  <c r="J844" i="1"/>
  <c r="P871" i="1"/>
  <c r="P870" i="1" s="1"/>
  <c r="P868" i="1" s="1"/>
  <c r="P867" i="1" s="1"/>
  <c r="J889" i="1"/>
  <c r="H929" i="1"/>
  <c r="J929" i="1"/>
  <c r="K929" i="1"/>
  <c r="H1069" i="1"/>
  <c r="H1068" i="1" s="1"/>
  <c r="H1067" i="1" s="1"/>
  <c r="N1341" i="1"/>
  <c r="P1574" i="1"/>
  <c r="P1563" i="1" s="1"/>
  <c r="I1574" i="1"/>
  <c r="I1563" i="1" s="1"/>
  <c r="K1574" i="1"/>
  <c r="K1563" i="1" s="1"/>
  <c r="J896" i="1"/>
  <c r="I1341" i="1"/>
  <c r="K1341" i="1"/>
  <c r="I1391" i="1"/>
  <c r="I1426" i="1"/>
  <c r="M1574" i="1"/>
  <c r="M1563" i="1" s="1"/>
  <c r="O1574" i="1"/>
  <c r="L860" i="1"/>
  <c r="L844" i="1" s="1"/>
  <c r="L863" i="1"/>
  <c r="H889" i="1"/>
  <c r="H896" i="1"/>
  <c r="P896" i="1"/>
  <c r="M1341" i="1"/>
  <c r="L1360" i="1"/>
  <c r="H1386" i="1"/>
  <c r="J1386" i="1"/>
  <c r="O1404" i="1"/>
  <c r="O1403" i="1" s="1"/>
  <c r="P1409" i="1"/>
  <c r="P1408" i="1" s="1"/>
  <c r="P1407" i="1" s="1"/>
  <c r="P1406" i="1" s="1"/>
  <c r="P1405" i="1" s="1"/>
  <c r="P1404" i="1" s="1"/>
  <c r="P1403" i="1" s="1"/>
  <c r="O835" i="1"/>
  <c r="O834" i="1" s="1"/>
  <c r="M1434" i="1"/>
  <c r="P1513" i="1"/>
  <c r="P1511" i="1" s="1"/>
  <c r="P1510" i="1" s="1"/>
  <c r="L1357" i="1"/>
  <c r="L1341" i="1" s="1"/>
  <c r="I1434" i="1"/>
  <c r="M814" i="1"/>
  <c r="M813" i="1" s="1"/>
  <c r="M812" i="1" s="1"/>
  <c r="M811" i="1" s="1"/>
  <c r="M810" i="1" s="1"/>
  <c r="M809" i="1" s="1"/>
  <c r="I889" i="1"/>
  <c r="K889" i="1"/>
  <c r="M889" i="1"/>
  <c r="L894" i="1"/>
  <c r="L889" i="1" s="1"/>
  <c r="I896" i="1"/>
  <c r="K896" i="1"/>
  <c r="M896" i="1"/>
  <c r="O896" i="1"/>
  <c r="L896" i="1"/>
  <c r="N929" i="1"/>
  <c r="P929" i="1"/>
  <c r="L1077" i="1"/>
  <c r="L1029" i="1"/>
  <c r="L1028" i="1" s="1"/>
  <c r="N181" i="3" s="1"/>
  <c r="O1069" i="1"/>
  <c r="O1068" i="1" s="1"/>
  <c r="O1067" i="1" s="1"/>
  <c r="H1076" i="1"/>
  <c r="J1080" i="1"/>
  <c r="J1076" i="1" s="1"/>
  <c r="J1065" i="1" s="1"/>
  <c r="L1080" i="1"/>
  <c r="N1080" i="1"/>
  <c r="N1076" i="1" s="1"/>
  <c r="N1065" i="1" s="1"/>
  <c r="P1076" i="1"/>
  <c r="P1065" i="1" s="1"/>
  <c r="M1311" i="1"/>
  <c r="M1310" i="1" s="1"/>
  <c r="M1309" i="1" s="1"/>
  <c r="M1308" i="1" s="1"/>
  <c r="K1434" i="1"/>
  <c r="O1342" i="1"/>
  <c r="O1341" i="1" s="1"/>
  <c r="H1391" i="1"/>
  <c r="J1391" i="1"/>
  <c r="N1391" i="1"/>
  <c r="O1391" i="1"/>
  <c r="M1391" i="1"/>
  <c r="H1426" i="1"/>
  <c r="J1426" i="1"/>
  <c r="L1426" i="1"/>
  <c r="M1426" i="1"/>
  <c r="H1434" i="1"/>
  <c r="N914" i="1"/>
  <c r="P914" i="1"/>
  <c r="M914" i="1"/>
  <c r="L997" i="1"/>
  <c r="L996" i="1" s="1"/>
  <c r="J1533" i="1"/>
  <c r="N1533" i="1"/>
  <c r="O1567" i="1"/>
  <c r="O1566" i="1" s="1"/>
  <c r="O1565" i="1" s="1"/>
  <c r="I1386" i="1"/>
  <c r="K1386" i="1"/>
  <c r="M1386" i="1"/>
  <c r="O1386" i="1"/>
  <c r="L1389" i="1"/>
  <c r="L1386" i="1" s="1"/>
  <c r="P1391" i="1"/>
  <c r="K1391" i="1"/>
  <c r="K1426" i="1"/>
  <c r="P1426" i="1"/>
  <c r="K1476" i="1"/>
  <c r="M1476" i="1"/>
  <c r="I1557" i="1"/>
  <c r="M1557" i="1"/>
  <c r="M1410" i="1"/>
  <c r="M1409" i="1"/>
  <c r="Q1492" i="1"/>
  <c r="L1491" i="1"/>
  <c r="L1490" i="1" s="1"/>
  <c r="N1426" i="1"/>
  <c r="P1434" i="1"/>
  <c r="Q1524" i="1"/>
  <c r="L1522" i="1"/>
  <c r="N274" i="3" s="1"/>
  <c r="L1391" i="1"/>
  <c r="O1415" i="1"/>
  <c r="O1414" i="1" s="1"/>
  <c r="L1434" i="1"/>
  <c r="N1434" i="1"/>
  <c r="O1467" i="1"/>
  <c r="O1466" i="1" s="1"/>
  <c r="O1476" i="1"/>
  <c r="O1502" i="1"/>
  <c r="O1501" i="1" s="1"/>
  <c r="G40" i="3"/>
  <c r="I8" i="3"/>
  <c r="I10" i="3"/>
  <c r="I11" i="3"/>
  <c r="I17" i="3"/>
  <c r="I22" i="3"/>
  <c r="I30" i="3"/>
  <c r="I41" i="3"/>
  <c r="I43" i="3"/>
  <c r="I44" i="3"/>
  <c r="I45" i="3"/>
  <c r="I49" i="3"/>
  <c r="I52" i="3"/>
  <c r="I53" i="3"/>
  <c r="I54" i="3"/>
  <c r="I57" i="3"/>
  <c r="I59" i="3"/>
  <c r="I62" i="3"/>
  <c r="I63" i="3"/>
  <c r="I73" i="3"/>
  <c r="I97" i="3"/>
  <c r="I98" i="3"/>
  <c r="I101" i="3"/>
  <c r="I103" i="3"/>
  <c r="I104" i="3"/>
  <c r="I7" i="3"/>
  <c r="M374" i="2"/>
  <c r="O374" i="2"/>
  <c r="N412" i="2"/>
  <c r="N374" i="2" s="1"/>
  <c r="N260" i="2"/>
  <c r="C273" i="3" l="1"/>
  <c r="L1574" i="1"/>
  <c r="L1563" i="1" s="1"/>
  <c r="O1065" i="1"/>
  <c r="N293" i="3"/>
  <c r="N291" i="3" s="1"/>
  <c r="M245" i="3"/>
  <c r="N245" i="3" s="1"/>
  <c r="N259" i="3"/>
  <c r="N257" i="3" s="1"/>
  <c r="M114" i="3"/>
  <c r="N239" i="3"/>
  <c r="N238" i="3" s="1"/>
  <c r="M238" i="3"/>
  <c r="O1563" i="1"/>
  <c r="N169" i="3"/>
  <c r="N168" i="3" s="1"/>
  <c r="M168" i="3"/>
  <c r="N143" i="3"/>
  <c r="N142" i="3" s="1"/>
  <c r="M142" i="3"/>
  <c r="H1065" i="1"/>
  <c r="J583" i="1"/>
  <c r="H583" i="1"/>
  <c r="H1563" i="1"/>
  <c r="I583" i="1"/>
  <c r="K583" i="1"/>
  <c r="J1085" i="1"/>
  <c r="O583" i="1"/>
  <c r="H1085" i="1"/>
  <c r="L583" i="1"/>
  <c r="V572" i="2" s="1"/>
  <c r="L1076" i="1"/>
  <c r="L1065" i="1" s="1"/>
  <c r="N1085" i="1"/>
  <c r="P913" i="1"/>
  <c r="P912" i="1" s="1"/>
  <c r="P911" i="1" s="1"/>
  <c r="P910" i="1" s="1"/>
  <c r="P909" i="1" s="1"/>
  <c r="P908" i="1" s="1"/>
  <c r="P583" i="1" s="1"/>
  <c r="N913" i="1"/>
  <c r="N912" i="1" s="1"/>
  <c r="N911" i="1" s="1"/>
  <c r="N910" i="1" s="1"/>
  <c r="N909" i="1" s="1"/>
  <c r="N908" i="1" s="1"/>
  <c r="N583" i="1" s="1"/>
  <c r="I1085" i="1"/>
  <c r="K1085" i="1"/>
  <c r="O1085" i="1"/>
  <c r="P1085" i="1"/>
  <c r="M913" i="1"/>
  <c r="M912" i="1" s="1"/>
  <c r="M911" i="1" s="1"/>
  <c r="M910" i="1" s="1"/>
  <c r="M909" i="1" s="1"/>
  <c r="M908" i="1" s="1"/>
  <c r="M583" i="1" s="1"/>
  <c r="L1085" i="1"/>
  <c r="V1077" i="2" s="1"/>
  <c r="M1408" i="1"/>
  <c r="M1407" i="1" s="1"/>
  <c r="M1406" i="1" s="1"/>
  <c r="M1405" i="1" s="1"/>
  <c r="M1404" i="1" s="1"/>
  <c r="M1403" i="1" s="1"/>
  <c r="M1085" i="1" s="1"/>
  <c r="S8" i="2"/>
  <c r="K143" i="2" l="1"/>
  <c r="V10" i="2" l="1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4" i="2"/>
  <c r="V145" i="2"/>
  <c r="V146" i="2"/>
  <c r="V147" i="2"/>
  <c r="V148" i="2"/>
  <c r="V149" i="2"/>
  <c r="V150" i="2"/>
  <c r="V151" i="2"/>
  <c r="V152" i="2"/>
  <c r="V153" i="2"/>
  <c r="V154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9" i="2"/>
  <c r="K57" i="2"/>
  <c r="K159" i="2" l="1"/>
  <c r="K114" i="2"/>
  <c r="K33" i="2"/>
  <c r="K171" i="2"/>
  <c r="K81" i="2"/>
  <c r="K108" i="2"/>
  <c r="K120" i="2"/>
  <c r="V120" i="2" s="1"/>
  <c r="V143" i="2"/>
  <c r="K17" i="2"/>
  <c r="U7" i="2" l="1"/>
  <c r="N8" i="2"/>
  <c r="N7" i="2" s="1"/>
  <c r="P8" i="2"/>
  <c r="R8" i="2"/>
  <c r="S7" i="2"/>
  <c r="M15" i="2"/>
  <c r="Q24" i="2"/>
  <c r="K155" i="2"/>
  <c r="K8" i="2" s="1"/>
  <c r="O55" i="2"/>
  <c r="O54" i="2"/>
  <c r="O16" i="2"/>
  <c r="O8" i="2" l="1"/>
  <c r="O7" i="2" s="1"/>
  <c r="M8" i="2"/>
  <c r="M7" i="2" s="1"/>
  <c r="Q8" i="2"/>
  <c r="Q7" i="2" s="1"/>
  <c r="K7" i="2"/>
  <c r="C8" i="2"/>
  <c r="C7" i="2" s="1"/>
  <c r="V155" i="2"/>
  <c r="C139" i="3" l="1"/>
  <c r="H16" i="3" l="1"/>
  <c r="H270" i="1"/>
  <c r="I270" i="1"/>
  <c r="J270" i="1"/>
  <c r="K270" i="1"/>
  <c r="M270" i="1"/>
  <c r="N270" i="1"/>
  <c r="P270" i="1"/>
  <c r="L270" i="1"/>
  <c r="Q272" i="1"/>
  <c r="Q280" i="1"/>
  <c r="I494" i="1"/>
  <c r="J494" i="1"/>
  <c r="K494" i="1"/>
  <c r="L494" i="1"/>
  <c r="M494" i="1"/>
  <c r="N494" i="1"/>
  <c r="O494" i="1"/>
  <c r="P494" i="1"/>
  <c r="H494" i="1"/>
  <c r="I492" i="1"/>
  <c r="J492" i="1"/>
  <c r="K492" i="1"/>
  <c r="D97" i="3" s="1"/>
  <c r="L492" i="1"/>
  <c r="M97" i="3" s="1"/>
  <c r="M492" i="1"/>
  <c r="N492" i="1"/>
  <c r="O492" i="1"/>
  <c r="P492" i="1"/>
  <c r="H492" i="1"/>
  <c r="C97" i="3" s="1"/>
  <c r="Q495" i="1"/>
  <c r="Q493" i="1"/>
  <c r="A24" i="3"/>
  <c r="A26" i="3" s="1"/>
  <c r="A28" i="3" s="1"/>
  <c r="A29" i="3" s="1"/>
  <c r="A30" i="3" s="1"/>
  <c r="A31" i="3" s="1"/>
  <c r="A34" i="3" s="1"/>
  <c r="A36" i="3" s="1"/>
  <c r="A38" i="3" s="1"/>
  <c r="A39" i="3" s="1"/>
  <c r="A41" i="3" s="1"/>
  <c r="A43" i="3" s="1"/>
  <c r="A44" i="3" s="1"/>
  <c r="A45" i="3" s="1"/>
  <c r="A47" i="3" s="1"/>
  <c r="A49" i="3" s="1"/>
  <c r="A52" i="3" s="1"/>
  <c r="A53" i="3" s="1"/>
  <c r="A54" i="3" s="1"/>
  <c r="A56" i="3" s="1"/>
  <c r="A57" i="3" s="1"/>
  <c r="A58" i="3" s="1"/>
  <c r="A59" i="3" s="1"/>
  <c r="A61" i="3" s="1"/>
  <c r="A62" i="3" s="1"/>
  <c r="A63" i="3" s="1"/>
  <c r="A65" i="3" s="1"/>
  <c r="K20" i="3"/>
  <c r="L20" i="3"/>
  <c r="J20" i="3"/>
  <c r="F20" i="3"/>
  <c r="G20" i="3"/>
  <c r="E20" i="3"/>
  <c r="N285" i="1"/>
  <c r="M285" i="1"/>
  <c r="L285" i="1"/>
  <c r="N106" i="3" s="1"/>
  <c r="K285" i="1"/>
  <c r="I285" i="1"/>
  <c r="L302" i="1"/>
  <c r="L301" i="1"/>
  <c r="M300" i="1"/>
  <c r="N300" i="1"/>
  <c r="O300" i="1"/>
  <c r="P300" i="1"/>
  <c r="P285" i="1" s="1"/>
  <c r="P284" i="1" s="1"/>
  <c r="I300" i="1"/>
  <c r="J300" i="1"/>
  <c r="K300" i="1"/>
  <c r="D22" i="3" s="1"/>
  <c r="H300" i="1"/>
  <c r="C22" i="3" s="1"/>
  <c r="H285" i="1"/>
  <c r="A97" i="3"/>
  <c r="H467" i="1"/>
  <c r="I467" i="1"/>
  <c r="I466" i="1" s="1"/>
  <c r="J467" i="1"/>
  <c r="J466" i="1" s="1"/>
  <c r="K467" i="1"/>
  <c r="L467" i="1"/>
  <c r="M467" i="1"/>
  <c r="M466" i="1" s="1"/>
  <c r="N467" i="1"/>
  <c r="N466" i="1" s="1"/>
  <c r="O467" i="1"/>
  <c r="O466" i="1" s="1"/>
  <c r="P467" i="1"/>
  <c r="P466" i="1" s="1"/>
  <c r="Q468" i="1"/>
  <c r="H188" i="1"/>
  <c r="I188" i="1"/>
  <c r="J188" i="1"/>
  <c r="K188" i="1"/>
  <c r="L188" i="1"/>
  <c r="M188" i="1"/>
  <c r="N188" i="1"/>
  <c r="Q192" i="1"/>
  <c r="M101" i="3"/>
  <c r="N101" i="3" s="1"/>
  <c r="P449" i="1"/>
  <c r="K19" i="1"/>
  <c r="M19" i="1"/>
  <c r="N19" i="1"/>
  <c r="P19" i="1"/>
  <c r="H401" i="1"/>
  <c r="C123" i="3" s="1"/>
  <c r="I401" i="1"/>
  <c r="J401" i="1"/>
  <c r="K401" i="1"/>
  <c r="D123" i="3" s="1"/>
  <c r="L401" i="1"/>
  <c r="M123" i="3" s="1"/>
  <c r="M401" i="1"/>
  <c r="N401" i="1"/>
  <c r="P401" i="1"/>
  <c r="O417" i="1"/>
  <c r="P417" i="1"/>
  <c r="M417" i="1"/>
  <c r="N417" i="1"/>
  <c r="L417" i="1"/>
  <c r="Q418" i="1" s="1"/>
  <c r="K417" i="1"/>
  <c r="I417" i="1"/>
  <c r="J417" i="1"/>
  <c r="H417" i="1"/>
  <c r="A21" i="1"/>
  <c r="O297" i="1"/>
  <c r="O298" i="1"/>
  <c r="O299" i="1"/>
  <c r="O290" i="1"/>
  <c r="O291" i="1"/>
  <c r="O292" i="1"/>
  <c r="O295" i="1"/>
  <c r="O296" i="1"/>
  <c r="O289" i="1"/>
  <c r="O293" i="1"/>
  <c r="O294" i="1"/>
  <c r="O286" i="1"/>
  <c r="O288" i="1"/>
  <c r="O287" i="1"/>
  <c r="O360" i="1"/>
  <c r="Q360" i="1"/>
  <c r="H364" i="1"/>
  <c r="L466" i="1" l="1"/>
  <c r="H466" i="1"/>
  <c r="C80" i="3" s="1"/>
  <c r="C147" i="3"/>
  <c r="C98" i="3"/>
  <c r="D98" i="3"/>
  <c r="K466" i="1"/>
  <c r="D80" i="3" s="1"/>
  <c r="D147" i="3"/>
  <c r="M98" i="3"/>
  <c r="N98" i="3" s="1"/>
  <c r="N220" i="3"/>
  <c r="N126" i="3"/>
  <c r="N123" i="3" s="1"/>
  <c r="P491" i="1"/>
  <c r="L491" i="1"/>
  <c r="M7" i="3"/>
  <c r="N97" i="3"/>
  <c r="M491" i="1"/>
  <c r="I491" i="1"/>
  <c r="N491" i="1"/>
  <c r="J491" i="1"/>
  <c r="O491" i="1"/>
  <c r="K491" i="1"/>
  <c r="H491" i="1"/>
  <c r="Q302" i="1"/>
  <c r="O285" i="1"/>
  <c r="O284" i="1" s="1"/>
  <c r="M284" i="1"/>
  <c r="N284" i="1"/>
  <c r="Q301" i="1"/>
  <c r="I284" i="1"/>
  <c r="K284" i="1"/>
  <c r="L300" i="1"/>
  <c r="H284" i="1"/>
  <c r="Q442" i="1"/>
  <c r="O442" i="1"/>
  <c r="C84" i="3" l="1"/>
  <c r="D84" i="3"/>
  <c r="M84" i="3"/>
  <c r="N84" i="3" s="1"/>
  <c r="M147" i="3"/>
  <c r="N147" i="3" s="1"/>
  <c r="M22" i="3"/>
  <c r="N22" i="3" s="1"/>
  <c r="L284" i="1"/>
  <c r="H51" i="3"/>
  <c r="I382" i="1"/>
  <c r="J382" i="1"/>
  <c r="K382" i="1"/>
  <c r="D54" i="3" s="1"/>
  <c r="L382" i="1"/>
  <c r="M382" i="1"/>
  <c r="N382" i="1"/>
  <c r="P382" i="1"/>
  <c r="H382" i="1"/>
  <c r="C54" i="3" s="1"/>
  <c r="Q383" i="1"/>
  <c r="O383" i="1"/>
  <c r="O382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H446" i="1"/>
  <c r="Q186" i="1"/>
  <c r="Q28" i="1"/>
  <c r="Q69" i="1"/>
  <c r="Q43" i="1"/>
  <c r="Q89" i="1"/>
  <c r="Q83" i="1"/>
  <c r="Q154" i="1"/>
  <c r="Q166" i="1"/>
  <c r="Q123" i="1"/>
  <c r="Q160" i="1"/>
  <c r="Q156" i="1"/>
  <c r="Q168" i="1"/>
  <c r="Q109" i="1"/>
  <c r="Q94" i="1"/>
  <c r="Q35" i="1"/>
  <c r="Q56" i="1"/>
  <c r="Q38" i="1"/>
  <c r="Q153" i="1"/>
  <c r="Q131" i="1"/>
  <c r="Q133" i="1"/>
  <c r="Q149" i="1"/>
  <c r="Q91" i="1"/>
  <c r="Q42" i="1"/>
  <c r="Q70" i="1"/>
  <c r="Q184" i="1"/>
  <c r="Q127" i="1"/>
  <c r="Q108" i="1"/>
  <c r="Q47" i="1"/>
  <c r="Q178" i="1"/>
  <c r="Q128" i="1"/>
  <c r="Q117" i="1"/>
  <c r="Q143" i="1"/>
  <c r="Q79" i="1"/>
  <c r="Q71" i="1"/>
  <c r="Q115" i="1"/>
  <c r="Q187" i="1"/>
  <c r="Q48" i="1"/>
  <c r="Q34" i="1"/>
  <c r="Q119" i="1"/>
  <c r="Q136" i="1"/>
  <c r="Q82" i="1"/>
  <c r="Q141" i="1"/>
  <c r="Q37" i="1"/>
  <c r="Q164" i="1"/>
  <c r="Q173" i="1"/>
  <c r="Q100" i="1"/>
  <c r="Q142" i="1"/>
  <c r="Q52" i="1"/>
  <c r="Q140" i="1"/>
  <c r="Q76" i="1"/>
  <c r="Q146" i="1"/>
  <c r="Q92" i="1"/>
  <c r="Q135" i="1"/>
  <c r="Q87" i="1"/>
  <c r="Q39" i="1"/>
  <c r="Q174" i="1"/>
  <c r="Q90" i="1"/>
  <c r="Q148" i="1"/>
  <c r="Q75" i="1"/>
  <c r="Q180" i="1"/>
  <c r="Q152" i="1"/>
  <c r="Q134" i="1"/>
  <c r="Q65" i="1"/>
  <c r="Q120" i="1"/>
  <c r="Q112" i="1"/>
  <c r="Q138" i="1"/>
  <c r="Q78" i="1"/>
  <c r="Q73" i="1"/>
  <c r="Q32" i="1"/>
  <c r="Q129" i="1"/>
  <c r="Q62" i="1"/>
  <c r="Q147" i="1"/>
  <c r="Q163" i="1"/>
  <c r="Q84" i="1"/>
  <c r="Q155" i="1"/>
  <c r="Q74" i="1"/>
  <c r="Q49" i="1"/>
  <c r="Q99" i="1"/>
  <c r="Q150" i="1"/>
  <c r="Q72" i="1"/>
  <c r="Q169" i="1"/>
  <c r="Q122" i="1"/>
  <c r="Q95" i="1"/>
  <c r="Q183" i="1"/>
  <c r="Q177" i="1"/>
  <c r="Q171" i="1"/>
  <c r="Q159" i="1"/>
  <c r="Q110" i="1"/>
  <c r="Q101" i="1"/>
  <c r="Q179" i="1"/>
  <c r="Q145" i="1"/>
  <c r="Q137" i="1"/>
  <c r="Q98" i="1"/>
  <c r="Q158" i="1"/>
  <c r="Q63" i="1"/>
  <c r="Q25" i="1"/>
  <c r="Q185" i="1"/>
  <c r="Q59" i="1"/>
  <c r="Q67" i="1"/>
  <c r="Q139" i="1"/>
  <c r="Q41" i="1"/>
  <c r="Q170" i="1"/>
  <c r="Q103" i="1"/>
  <c r="Q57" i="1"/>
  <c r="Q85" i="1"/>
  <c r="Q60" i="1"/>
  <c r="Q80" i="1"/>
  <c r="Q118" i="1"/>
  <c r="Q53" i="1"/>
  <c r="Q86" i="1"/>
  <c r="Q181" i="1"/>
  <c r="Q33" i="1"/>
  <c r="Q104" i="1"/>
  <c r="Q23" i="1"/>
  <c r="Q88" i="1"/>
  <c r="Q121" i="1"/>
  <c r="Q66" i="1"/>
  <c r="Q46" i="1"/>
  <c r="Q24" i="1"/>
  <c r="Q97" i="1"/>
  <c r="Q27" i="1"/>
  <c r="Q182" i="1"/>
  <c r="Q162" i="1"/>
  <c r="Q54" i="1"/>
  <c r="Q61" i="1"/>
  <c r="Q58" i="1"/>
  <c r="Q161" i="1"/>
  <c r="Q20" i="1"/>
  <c r="Q111" i="1"/>
  <c r="Q126" i="1"/>
  <c r="Q106" i="1"/>
  <c r="Q151" i="1"/>
  <c r="Q172" i="1"/>
  <c r="Q130" i="1"/>
  <c r="Q157" i="1"/>
  <c r="Q116" i="1"/>
  <c r="Q50" i="1"/>
  <c r="Q176" i="1"/>
  <c r="Q30" i="1"/>
  <c r="Q165" i="1"/>
  <c r="Q64" i="1"/>
  <c r="Q21" i="1"/>
  <c r="Q44" i="1"/>
  <c r="Q175" i="1"/>
  <c r="Q68" i="1"/>
  <c r="Q51" i="1"/>
  <c r="Q29" i="1"/>
  <c r="Q102" i="1"/>
  <c r="Q40" i="1"/>
  <c r="Q45" i="1"/>
  <c r="Q77" i="1"/>
  <c r="Q125" i="1"/>
  <c r="Q124" i="1"/>
  <c r="Q26" i="1"/>
  <c r="Q36" i="1"/>
  <c r="Q107" i="1"/>
  <c r="Q81" i="1"/>
  <c r="Q144" i="1"/>
  <c r="Q55" i="1"/>
  <c r="Q113" i="1"/>
  <c r="Q105" i="1"/>
  <c r="O186" i="1"/>
  <c r="O28" i="1"/>
  <c r="O69" i="1"/>
  <c r="O43" i="1"/>
  <c r="O89" i="1"/>
  <c r="O167" i="1"/>
  <c r="O83" i="1"/>
  <c r="O154" i="1"/>
  <c r="O166" i="1"/>
  <c r="O123" i="1"/>
  <c r="O160" i="1"/>
  <c r="O156" i="1"/>
  <c r="O168" i="1"/>
  <c r="O109" i="1"/>
  <c r="O94" i="1"/>
  <c r="O35" i="1"/>
  <c r="O56" i="1"/>
  <c r="O38" i="1"/>
  <c r="O153" i="1"/>
  <c r="O131" i="1"/>
  <c r="O133" i="1"/>
  <c r="O149" i="1"/>
  <c r="O91" i="1"/>
  <c r="O42" i="1"/>
  <c r="O70" i="1"/>
  <c r="O184" i="1"/>
  <c r="O127" i="1"/>
  <c r="O108" i="1"/>
  <c r="O47" i="1"/>
  <c r="O178" i="1"/>
  <c r="O128" i="1"/>
  <c r="O117" i="1"/>
  <c r="O143" i="1"/>
  <c r="O79" i="1"/>
  <c r="O71" i="1"/>
  <c r="O115" i="1"/>
  <c r="O187" i="1"/>
  <c r="O48" i="1"/>
  <c r="O34" i="1"/>
  <c r="O119" i="1"/>
  <c r="O136" i="1"/>
  <c r="O82" i="1"/>
  <c r="O141" i="1"/>
  <c r="O37" i="1"/>
  <c r="O164" i="1"/>
  <c r="O173" i="1"/>
  <c r="O100" i="1"/>
  <c r="O142" i="1"/>
  <c r="O52" i="1"/>
  <c r="O140" i="1"/>
  <c r="O76" i="1"/>
  <c r="O146" i="1"/>
  <c r="O92" i="1"/>
  <c r="O135" i="1"/>
  <c r="O87" i="1"/>
  <c r="O39" i="1"/>
  <c r="O174" i="1"/>
  <c r="O90" i="1"/>
  <c r="O148" i="1"/>
  <c r="O75" i="1"/>
  <c r="O180" i="1"/>
  <c r="O152" i="1"/>
  <c r="O134" i="1"/>
  <c r="O65" i="1"/>
  <c r="O120" i="1"/>
  <c r="O112" i="1"/>
  <c r="O138" i="1"/>
  <c r="O78" i="1"/>
  <c r="O73" i="1"/>
  <c r="O32" i="1"/>
  <c r="O129" i="1"/>
  <c r="O62" i="1"/>
  <c r="O147" i="1"/>
  <c r="O163" i="1"/>
  <c r="O84" i="1"/>
  <c r="O155" i="1"/>
  <c r="O74" i="1"/>
  <c r="O49" i="1"/>
  <c r="O99" i="1"/>
  <c r="O150" i="1"/>
  <c r="O72" i="1"/>
  <c r="O169" i="1"/>
  <c r="O122" i="1"/>
  <c r="O95" i="1"/>
  <c r="O183" i="1"/>
  <c r="O177" i="1"/>
  <c r="O171" i="1"/>
  <c r="O159" i="1"/>
  <c r="O110" i="1"/>
  <c r="O101" i="1"/>
  <c r="O179" i="1"/>
  <c r="O145" i="1"/>
  <c r="O114" i="1"/>
  <c r="O137" i="1"/>
  <c r="O98" i="1"/>
  <c r="O158" i="1"/>
  <c r="O63" i="1"/>
  <c r="O25" i="1"/>
  <c r="O185" i="1"/>
  <c r="O59" i="1"/>
  <c r="O67" i="1"/>
  <c r="O31" i="1"/>
  <c r="O139" i="1"/>
  <c r="O41" i="1"/>
  <c r="O132" i="1"/>
  <c r="O170" i="1"/>
  <c r="O103" i="1"/>
  <c r="O57" i="1"/>
  <c r="O85" i="1"/>
  <c r="O60" i="1"/>
  <c r="O80" i="1"/>
  <c r="O118" i="1"/>
  <c r="O53" i="1"/>
  <c r="O86" i="1"/>
  <c r="O181" i="1"/>
  <c r="O33" i="1"/>
  <c r="O104" i="1"/>
  <c r="O23" i="1"/>
  <c r="O88" i="1"/>
  <c r="O22" i="1"/>
  <c r="O121" i="1"/>
  <c r="O66" i="1"/>
  <c r="O46" i="1"/>
  <c r="O24" i="1"/>
  <c r="O97" i="1"/>
  <c r="O27" i="1"/>
  <c r="O182" i="1"/>
  <c r="O162" i="1"/>
  <c r="O54" i="1"/>
  <c r="O61" i="1"/>
  <c r="O58" i="1"/>
  <c r="O161" i="1"/>
  <c r="O20" i="1"/>
  <c r="O111" i="1"/>
  <c r="O126" i="1"/>
  <c r="O106" i="1"/>
  <c r="O151" i="1"/>
  <c r="O172" i="1"/>
  <c r="O130" i="1"/>
  <c r="O157" i="1"/>
  <c r="O116" i="1"/>
  <c r="O50" i="1"/>
  <c r="O176" i="1"/>
  <c r="O96" i="1"/>
  <c r="O30" i="1"/>
  <c r="O165" i="1"/>
  <c r="O64" i="1"/>
  <c r="O21" i="1"/>
  <c r="O44" i="1"/>
  <c r="O175" i="1"/>
  <c r="O68" i="1"/>
  <c r="O51" i="1"/>
  <c r="O29" i="1"/>
  <c r="O102" i="1"/>
  <c r="O40" i="1"/>
  <c r="O93" i="1"/>
  <c r="O45" i="1"/>
  <c r="O77" i="1"/>
  <c r="O125" i="1"/>
  <c r="O124" i="1"/>
  <c r="O26" i="1"/>
  <c r="O36" i="1"/>
  <c r="O107" i="1"/>
  <c r="O81" i="1"/>
  <c r="O144" i="1"/>
  <c r="O55" i="1"/>
  <c r="O113" i="1"/>
  <c r="O105" i="1"/>
  <c r="D52" i="3"/>
  <c r="Q93" i="1"/>
  <c r="Q96" i="1"/>
  <c r="Q22" i="1"/>
  <c r="Q132" i="1"/>
  <c r="Q31" i="1"/>
  <c r="Q114" i="1"/>
  <c r="N219" i="3" l="1"/>
  <c r="N216" i="3" s="1"/>
  <c r="N153" i="3"/>
  <c r="M151" i="3"/>
  <c r="N151" i="3" s="1"/>
  <c r="M54" i="3"/>
  <c r="N54" i="3" s="1"/>
  <c r="H19" i="1"/>
  <c r="O19" i="1"/>
  <c r="J19" i="1"/>
  <c r="I19" i="1"/>
  <c r="Q167" i="1"/>
  <c r="A190" i="1" l="1"/>
  <c r="A191" i="1" s="1"/>
  <c r="A192" i="1" s="1"/>
  <c r="A193" i="1" s="1"/>
  <c r="A203" i="1" s="1"/>
  <c r="A204" i="1" s="1"/>
  <c r="H40" i="3"/>
  <c r="I40" i="3" s="1"/>
  <c r="I347" i="1"/>
  <c r="J347" i="1"/>
  <c r="K347" i="1"/>
  <c r="D44" i="3" s="1"/>
  <c r="L347" i="1"/>
  <c r="M347" i="1"/>
  <c r="N347" i="1"/>
  <c r="P347" i="1"/>
  <c r="H347" i="1"/>
  <c r="C44" i="3" s="1"/>
  <c r="Q348" i="1"/>
  <c r="O348" i="1"/>
  <c r="O347" i="1" s="1"/>
  <c r="K344" i="1"/>
  <c r="D43" i="3" s="1"/>
  <c r="I344" i="1"/>
  <c r="J344" i="1"/>
  <c r="L344" i="1"/>
  <c r="M344" i="1"/>
  <c r="N344" i="1"/>
  <c r="O344" i="1"/>
  <c r="P344" i="1"/>
  <c r="H344" i="1"/>
  <c r="C43" i="3" s="1"/>
  <c r="Q346" i="1"/>
  <c r="Q345" i="1"/>
  <c r="L43" i="3" l="1"/>
  <c r="M44" i="3"/>
  <c r="N44" i="3" s="1"/>
  <c r="A210" i="1"/>
  <c r="A211" i="1" s="1"/>
  <c r="A212" i="1" s="1"/>
  <c r="A214" i="1" s="1"/>
  <c r="A215" i="1" s="1"/>
  <c r="A216" i="1" s="1"/>
  <c r="A217" i="1" s="1"/>
  <c r="A218" i="1" s="1"/>
  <c r="A219" i="1" s="1"/>
  <c r="N43" i="3" l="1"/>
  <c r="L40" i="3"/>
  <c r="A233" i="1"/>
  <c r="A234" i="1" s="1"/>
  <c r="A235" i="1" s="1"/>
  <c r="A236" i="1" s="1"/>
  <c r="A237" i="1" s="1"/>
  <c r="A238" i="1" s="1"/>
  <c r="A239" i="1" s="1"/>
  <c r="A240" i="1" s="1"/>
  <c r="N57" i="3"/>
  <c r="Q402" i="1"/>
  <c r="O402" i="1"/>
  <c r="O401" i="1" s="1"/>
  <c r="A246" i="1" l="1"/>
  <c r="A247" i="1" s="1"/>
  <c r="D139" i="3"/>
  <c r="L139" i="3"/>
  <c r="N139" i="3" l="1"/>
  <c r="N137" i="3" s="1"/>
  <c r="L137" i="3"/>
  <c r="A263" i="1"/>
  <c r="A264" i="1" s="1"/>
  <c r="A265" i="1" s="1"/>
  <c r="A266" i="1" s="1"/>
  <c r="A267" i="1" s="1"/>
  <c r="D45" i="3"/>
  <c r="C45" i="3"/>
  <c r="F51" i="3"/>
  <c r="G51" i="3"/>
  <c r="I51" i="3" s="1"/>
  <c r="E51" i="3"/>
  <c r="C52" i="3"/>
  <c r="Q378" i="1"/>
  <c r="O378" i="1"/>
  <c r="O377" i="1" s="1"/>
  <c r="L376" i="1" l="1"/>
  <c r="A272" i="1"/>
  <c r="A273" i="1" s="1"/>
  <c r="A283" i="1" s="1"/>
  <c r="M51" i="3"/>
  <c r="N51" i="3" s="1"/>
  <c r="Q421" i="1"/>
  <c r="Q420" i="1"/>
  <c r="D59" i="3"/>
  <c r="C59" i="3"/>
  <c r="M446" i="1"/>
  <c r="N446" i="1"/>
  <c r="P446" i="1"/>
  <c r="L446" i="1"/>
  <c r="K446" i="1"/>
  <c r="J446" i="1"/>
  <c r="I446" i="1"/>
  <c r="Q448" i="1"/>
  <c r="O448" i="1"/>
  <c r="K339" i="1"/>
  <c r="K338" i="1" s="1"/>
  <c r="I339" i="1"/>
  <c r="I338" i="1" s="1"/>
  <c r="J339" i="1"/>
  <c r="J338" i="1" s="1"/>
  <c r="L339" i="1"/>
  <c r="M339" i="1"/>
  <c r="M338" i="1" s="1"/>
  <c r="N339" i="1"/>
  <c r="N338" i="1" s="1"/>
  <c r="P339" i="1"/>
  <c r="P338" i="1" s="1"/>
  <c r="H339" i="1"/>
  <c r="H338" i="1" s="1"/>
  <c r="N63" i="3" l="1"/>
  <c r="L338" i="1"/>
  <c r="D41" i="3"/>
  <c r="D40" i="3"/>
  <c r="C41" i="3"/>
  <c r="M41" i="3"/>
  <c r="M59" i="3"/>
  <c r="N59" i="3" s="1"/>
  <c r="L516" i="1"/>
  <c r="L103" i="3" s="1"/>
  <c r="N518" i="1"/>
  <c r="P518" i="1"/>
  <c r="M518" i="1"/>
  <c r="L518" i="1"/>
  <c r="K518" i="1"/>
  <c r="J518" i="1"/>
  <c r="I518" i="1"/>
  <c r="H518" i="1"/>
  <c r="Q519" i="1"/>
  <c r="O519" i="1"/>
  <c r="O518" i="1" s="1"/>
  <c r="M230" i="3" l="1"/>
  <c r="M228" i="3" s="1"/>
  <c r="D104" i="3"/>
  <c r="D230" i="3"/>
  <c r="C104" i="3"/>
  <c r="C230" i="3"/>
  <c r="N133" i="3"/>
  <c r="N132" i="3" s="1"/>
  <c r="M40" i="3"/>
  <c r="N103" i="3"/>
  <c r="L102" i="3"/>
  <c r="L515" i="1"/>
  <c r="M104" i="3"/>
  <c r="H102" i="3"/>
  <c r="H75" i="3"/>
  <c r="I75" i="3" s="1"/>
  <c r="I71" i="3"/>
  <c r="I61" i="3"/>
  <c r="I58" i="3"/>
  <c r="I56" i="3"/>
  <c r="I38" i="3"/>
  <c r="I24" i="3"/>
  <c r="H21" i="3"/>
  <c r="I12" i="3"/>
  <c r="I9" i="3"/>
  <c r="N230" i="3" l="1"/>
  <c r="N228" i="3" s="1"/>
  <c r="H20" i="3"/>
  <c r="I20" i="3" s="1"/>
  <c r="I21" i="3"/>
  <c r="N104" i="3"/>
  <c r="N102" i="3" s="1"/>
  <c r="M102" i="3"/>
  <c r="A306" i="1"/>
  <c r="A309" i="1" s="1"/>
  <c r="H55" i="3"/>
  <c r="J296" i="1"/>
  <c r="J285" i="1" s="1"/>
  <c r="J284" i="1" s="1"/>
  <c r="A327" i="1" l="1"/>
  <c r="I364" i="1"/>
  <c r="J364" i="1"/>
  <c r="K364" i="1"/>
  <c r="L364" i="1"/>
  <c r="M364" i="1"/>
  <c r="N364" i="1"/>
  <c r="P364" i="1"/>
  <c r="H363" i="1"/>
  <c r="Q366" i="1"/>
  <c r="Q367" i="1"/>
  <c r="Q370" i="1"/>
  <c r="Q371" i="1"/>
  <c r="Q372" i="1"/>
  <c r="Q365" i="1"/>
  <c r="Q369" i="1"/>
  <c r="A328" i="1" l="1"/>
  <c r="A330" i="1" s="1"/>
  <c r="A333" i="1" s="1"/>
  <c r="A334" i="1" s="1"/>
  <c r="A329" i="1"/>
  <c r="C49" i="3"/>
  <c r="Q193" i="1"/>
  <c r="Q204" i="1"/>
  <c r="Q189" i="1"/>
  <c r="Q202" i="1"/>
  <c r="Q191" i="1"/>
  <c r="Q190" i="1"/>
  <c r="Q203" i="1"/>
  <c r="Q237" i="1" l="1"/>
  <c r="Q234" i="1"/>
  <c r="Q235" i="1"/>
  <c r="Q232" i="1"/>
  <c r="Q238" i="1"/>
  <c r="Q239" i="1"/>
  <c r="Q236" i="1"/>
  <c r="Q233" i="1"/>
  <c r="Q240" i="1"/>
  <c r="O237" i="1"/>
  <c r="O234" i="1"/>
  <c r="O235" i="1"/>
  <c r="O232" i="1"/>
  <c r="O238" i="1"/>
  <c r="O239" i="1"/>
  <c r="O236" i="1"/>
  <c r="O233" i="1"/>
  <c r="O240" i="1"/>
  <c r="D11" i="3"/>
  <c r="O231" i="1" l="1"/>
  <c r="C11" i="3"/>
  <c r="O271" i="1"/>
  <c r="D17" i="3"/>
  <c r="Q273" i="1"/>
  <c r="Q271" i="1"/>
  <c r="Q279" i="1"/>
  <c r="M38" i="3" l="1"/>
  <c r="Q206" i="1"/>
  <c r="R434" i="1"/>
  <c r="Q434" i="1"/>
  <c r="Q472" i="1" l="1"/>
  <c r="G102" i="3" l="1"/>
  <c r="I102" i="3" s="1"/>
  <c r="I516" i="1"/>
  <c r="I515" i="1" s="1"/>
  <c r="J516" i="1"/>
  <c r="J515" i="1" s="1"/>
  <c r="K516" i="1"/>
  <c r="M516" i="1"/>
  <c r="M515" i="1" s="1"/>
  <c r="N516" i="1"/>
  <c r="N515" i="1" s="1"/>
  <c r="O516" i="1"/>
  <c r="O515" i="1" s="1"/>
  <c r="P516" i="1"/>
  <c r="P515" i="1" s="1"/>
  <c r="H516" i="1"/>
  <c r="Q517" i="1"/>
  <c r="M325" i="1"/>
  <c r="M324" i="1" s="1"/>
  <c r="R536" i="1"/>
  <c r="Q536" i="1"/>
  <c r="I78" i="3"/>
  <c r="I77" i="3"/>
  <c r="I70" i="3"/>
  <c r="I69" i="3"/>
  <c r="I67" i="3"/>
  <c r="I66" i="3" s="1"/>
  <c r="H65" i="3"/>
  <c r="I65" i="3" s="1"/>
  <c r="I47" i="3"/>
  <c r="H39" i="3"/>
  <c r="I34" i="3"/>
  <c r="I31" i="3"/>
  <c r="I29" i="3"/>
  <c r="I28" i="3"/>
  <c r="I19" i="3"/>
  <c r="I18" i="3" s="1"/>
  <c r="I15" i="3"/>
  <c r="I14" i="3" s="1"/>
  <c r="Q262" i="1"/>
  <c r="O263" i="1"/>
  <c r="Q263" i="1"/>
  <c r="O262" i="1"/>
  <c r="O261" i="1" l="1"/>
  <c r="I76" i="3"/>
  <c r="I26" i="3"/>
  <c r="I25" i="3" s="1"/>
  <c r="H37" i="3"/>
  <c r="I39" i="3"/>
  <c r="H35" i="3"/>
  <c r="I36" i="3"/>
  <c r="H260" i="1"/>
  <c r="C103" i="3"/>
  <c r="H515" i="1"/>
  <c r="K515" i="1"/>
  <c r="D102" i="3" s="1"/>
  <c r="D103" i="3"/>
  <c r="C102" i="3" l="1"/>
  <c r="A404" i="1"/>
  <c r="D7" i="3"/>
  <c r="Q264" i="1" l="1"/>
  <c r="E64" i="3"/>
  <c r="F64" i="3"/>
  <c r="G64" i="3"/>
  <c r="H64" i="3"/>
  <c r="J64" i="3"/>
  <c r="K64" i="3"/>
  <c r="L64" i="3"/>
  <c r="I425" i="1"/>
  <c r="I424" i="1" s="1"/>
  <c r="J425" i="1"/>
  <c r="J424" i="1" s="1"/>
  <c r="K425" i="1"/>
  <c r="L425" i="1"/>
  <c r="M425" i="1"/>
  <c r="M424" i="1" s="1"/>
  <c r="N425" i="1"/>
  <c r="N424" i="1" s="1"/>
  <c r="P425" i="1"/>
  <c r="P424" i="1" s="1"/>
  <c r="H425" i="1"/>
  <c r="Q426" i="1"/>
  <c r="Q428" i="1"/>
  <c r="Q427" i="1"/>
  <c r="O426" i="1"/>
  <c r="O428" i="1"/>
  <c r="O427" i="1"/>
  <c r="D65" i="3" l="1"/>
  <c r="D64" i="3" s="1"/>
  <c r="C65" i="3"/>
  <c r="C64" i="3" s="1"/>
  <c r="M65" i="3"/>
  <c r="M64" i="3" s="1"/>
  <c r="N135" i="3"/>
  <c r="I64" i="3"/>
  <c r="O425" i="1"/>
  <c r="O424" i="1" s="1"/>
  <c r="H424" i="1"/>
  <c r="C134" i="3" s="1"/>
  <c r="K424" i="1"/>
  <c r="D134" i="3" s="1"/>
  <c r="L424" i="1"/>
  <c r="E23" i="3" l="1"/>
  <c r="F23" i="3"/>
  <c r="G23" i="3"/>
  <c r="H23" i="3"/>
  <c r="J23" i="3"/>
  <c r="K23" i="3"/>
  <c r="L23" i="3"/>
  <c r="I304" i="1"/>
  <c r="I303" i="1" s="1"/>
  <c r="J304" i="1"/>
  <c r="J303" i="1" s="1"/>
  <c r="K304" i="1"/>
  <c r="M304" i="1"/>
  <c r="M303" i="1" s="1"/>
  <c r="N304" i="1"/>
  <c r="N303" i="1" s="1"/>
  <c r="P304" i="1"/>
  <c r="P303" i="1" s="1"/>
  <c r="H304" i="1"/>
  <c r="Q306" i="1"/>
  <c r="C24" i="3" l="1"/>
  <c r="C23" i="3" s="1"/>
  <c r="D24" i="3"/>
  <c r="D23" i="3" s="1"/>
  <c r="I23" i="3"/>
  <c r="H303" i="1"/>
  <c r="K303" i="1"/>
  <c r="H450" i="1"/>
  <c r="Q387" i="1"/>
  <c r="Q388" i="1"/>
  <c r="Q394" i="1"/>
  <c r="Q386" i="1"/>
  <c r="O387" i="1"/>
  <c r="O388" i="1"/>
  <c r="O386" i="1"/>
  <c r="H449" i="1" l="1"/>
  <c r="C144" i="3"/>
  <c r="I269" i="1"/>
  <c r="J269" i="1"/>
  <c r="K269" i="1"/>
  <c r="M269" i="1"/>
  <c r="N269" i="1"/>
  <c r="P269" i="1"/>
  <c r="O270" i="1"/>
  <c r="E79" i="3"/>
  <c r="F79" i="3"/>
  <c r="G79" i="3"/>
  <c r="H79" i="3"/>
  <c r="J79" i="3"/>
  <c r="K79" i="3"/>
  <c r="Q462" i="1"/>
  <c r="Q464" i="1"/>
  <c r="Q463" i="1"/>
  <c r="I461" i="1"/>
  <c r="I460" i="1" s="1"/>
  <c r="J461" i="1"/>
  <c r="J460" i="1" s="1"/>
  <c r="K461" i="1"/>
  <c r="L461" i="1"/>
  <c r="M461" i="1"/>
  <c r="M460" i="1" s="1"/>
  <c r="N461" i="1"/>
  <c r="N460" i="1" s="1"/>
  <c r="P461" i="1"/>
  <c r="P460" i="1" s="1"/>
  <c r="H461" i="1"/>
  <c r="H460" i="1" s="1"/>
  <c r="O462" i="1"/>
  <c r="O464" i="1"/>
  <c r="O463" i="1"/>
  <c r="I79" i="3" l="1"/>
  <c r="C79" i="3"/>
  <c r="L460" i="1"/>
  <c r="L79" i="3" s="1"/>
  <c r="O269" i="1"/>
  <c r="K460" i="1"/>
  <c r="D79" i="3" s="1"/>
  <c r="O461" i="1"/>
  <c r="O460" i="1" s="1"/>
  <c r="L269" i="1"/>
  <c r="H269" i="1"/>
  <c r="A517" i="1" l="1"/>
  <c r="A519" i="1" s="1"/>
  <c r="A526" i="1" s="1"/>
  <c r="A527" i="1" s="1"/>
  <c r="A528" i="1" s="1"/>
  <c r="A529" i="1" s="1"/>
  <c r="A530" i="1" s="1"/>
  <c r="A535" i="1" s="1"/>
  <c r="A539" i="1" s="1"/>
  <c r="A540" i="1" s="1"/>
  <c r="A541" i="1" s="1"/>
  <c r="A542" i="1" s="1"/>
  <c r="A543" i="1" s="1"/>
  <c r="A544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C17" i="3"/>
  <c r="M17" i="3"/>
  <c r="M16" i="3"/>
  <c r="M79" i="3"/>
  <c r="N79" i="3"/>
  <c r="E55" i="3"/>
  <c r="F55" i="3"/>
  <c r="G55" i="3"/>
  <c r="I55" i="3" s="1"/>
  <c r="J55" i="3"/>
  <c r="K55" i="3"/>
  <c r="L55" i="3"/>
  <c r="O450" i="1"/>
  <c r="O449" i="1" s="1"/>
  <c r="L452" i="1"/>
  <c r="L451" i="1"/>
  <c r="L454" i="1"/>
  <c r="L455" i="1"/>
  <c r="M209" i="3" s="1"/>
  <c r="L456" i="1"/>
  <c r="L457" i="1"/>
  <c r="L458" i="1"/>
  <c r="L459" i="1"/>
  <c r="M212" i="3" s="1"/>
  <c r="L453" i="1"/>
  <c r="Q535" i="1"/>
  <c r="O535" i="1"/>
  <c r="Q530" i="1"/>
  <c r="Q528" i="1"/>
  <c r="Q526" i="1"/>
  <c r="Q527" i="1"/>
  <c r="Q529" i="1"/>
  <c r="O530" i="1"/>
  <c r="O528" i="1"/>
  <c r="O526" i="1"/>
  <c r="O527" i="1"/>
  <c r="O529" i="1"/>
  <c r="N212" i="3" l="1"/>
  <c r="N145" i="3"/>
  <c r="N144" i="3" s="1"/>
  <c r="M144" i="3"/>
  <c r="I525" i="1"/>
  <c r="I524" i="1" s="1"/>
  <c r="I523" i="1" s="1"/>
  <c r="J525" i="1"/>
  <c r="J524" i="1" s="1"/>
  <c r="J523" i="1" s="1"/>
  <c r="K525" i="1"/>
  <c r="K524" i="1" s="1"/>
  <c r="L525" i="1"/>
  <c r="M525" i="1"/>
  <c r="M524" i="1" s="1"/>
  <c r="M523" i="1" s="1"/>
  <c r="N525" i="1"/>
  <c r="N524" i="1" s="1"/>
  <c r="N523" i="1" s="1"/>
  <c r="O525" i="1"/>
  <c r="O524" i="1" s="1"/>
  <c r="O523" i="1" s="1"/>
  <c r="P525" i="1"/>
  <c r="P524" i="1" s="1"/>
  <c r="P523" i="1" s="1"/>
  <c r="H527" i="1"/>
  <c r="C234" i="3" s="1"/>
  <c r="H526" i="1"/>
  <c r="H529" i="1"/>
  <c r="K523" i="1" l="1"/>
  <c r="D164" i="3" s="1"/>
  <c r="D233" i="3"/>
  <c r="L524" i="1"/>
  <c r="N65" i="3"/>
  <c r="N64" i="3" s="1"/>
  <c r="H525" i="1"/>
  <c r="H403" i="1"/>
  <c r="I403" i="1"/>
  <c r="J403" i="1"/>
  <c r="K403" i="1"/>
  <c r="L403" i="1"/>
  <c r="M403" i="1"/>
  <c r="N403" i="1"/>
  <c r="O403" i="1"/>
  <c r="Q404" i="1"/>
  <c r="H415" i="1"/>
  <c r="I415" i="1"/>
  <c r="J415" i="1"/>
  <c r="K415" i="1"/>
  <c r="L415" i="1"/>
  <c r="M415" i="1"/>
  <c r="N415" i="1"/>
  <c r="O415" i="1"/>
  <c r="M62" i="3"/>
  <c r="M61" i="3" l="1"/>
  <c r="L384" i="1"/>
  <c r="M120" i="3" s="1"/>
  <c r="H384" i="1"/>
  <c r="C120" i="3" s="1"/>
  <c r="C118" i="3" s="1"/>
  <c r="M384" i="1"/>
  <c r="I384" i="1"/>
  <c r="N384" i="1"/>
  <c r="K384" i="1"/>
  <c r="L523" i="1"/>
  <c r="L233" i="3"/>
  <c r="H524" i="1"/>
  <c r="M58" i="3"/>
  <c r="N62" i="3"/>
  <c r="J384" i="1"/>
  <c r="Q393" i="1"/>
  <c r="O393" i="1"/>
  <c r="Q390" i="1"/>
  <c r="O390" i="1"/>
  <c r="Q392" i="1"/>
  <c r="O392" i="1"/>
  <c r="Q389" i="1"/>
  <c r="O389" i="1"/>
  <c r="P384" i="1"/>
  <c r="O385" i="1" l="1"/>
  <c r="O384" i="1" s="1"/>
  <c r="N233" i="3"/>
  <c r="N231" i="3" s="1"/>
  <c r="L231" i="3"/>
  <c r="H523" i="1"/>
  <c r="C164" i="3" s="1"/>
  <c r="C233" i="3"/>
  <c r="N165" i="3"/>
  <c r="N120" i="3"/>
  <c r="N118" i="3" s="1"/>
  <c r="M118" i="3"/>
  <c r="D55" i="3"/>
  <c r="D120" i="3"/>
  <c r="D118" i="3" s="1"/>
  <c r="C55" i="3"/>
  <c r="M56" i="3"/>
  <c r="M55" i="3" s="1"/>
  <c r="N61" i="3"/>
  <c r="C67" i="3"/>
  <c r="C66" i="3" s="1"/>
  <c r="Q432" i="1"/>
  <c r="O432" i="1"/>
  <c r="O430" i="1" s="1"/>
  <c r="E74" i="3"/>
  <c r="F74" i="3"/>
  <c r="G74" i="3"/>
  <c r="H74" i="3"/>
  <c r="J74" i="3"/>
  <c r="K74" i="3"/>
  <c r="L74" i="3"/>
  <c r="Q533" i="1"/>
  <c r="R533" i="1"/>
  <c r="S533" i="1"/>
  <c r="I534" i="1"/>
  <c r="I533" i="1" s="1"/>
  <c r="K534" i="1"/>
  <c r="M534" i="1"/>
  <c r="M533" i="1" s="1"/>
  <c r="N534" i="1"/>
  <c r="N533" i="1" s="1"/>
  <c r="P533" i="1"/>
  <c r="H534" i="1"/>
  <c r="J535" i="1"/>
  <c r="J534" i="1" s="1"/>
  <c r="J533" i="1" s="1"/>
  <c r="I450" i="1"/>
  <c r="I449" i="1" s="1"/>
  <c r="K450" i="1"/>
  <c r="M450" i="1"/>
  <c r="M449" i="1" s="1"/>
  <c r="N450" i="1"/>
  <c r="N449" i="1" s="1"/>
  <c r="Q459" i="1"/>
  <c r="Q458" i="1"/>
  <c r="J458" i="1"/>
  <c r="Q457" i="1"/>
  <c r="Q456" i="1"/>
  <c r="J456" i="1"/>
  <c r="Q455" i="1"/>
  <c r="Q454" i="1"/>
  <c r="Q451" i="1"/>
  <c r="Q452" i="1"/>
  <c r="L450" i="1"/>
  <c r="L449" i="1" s="1"/>
  <c r="J453" i="1"/>
  <c r="K449" i="1" l="1"/>
  <c r="D144" i="3"/>
  <c r="I74" i="3"/>
  <c r="H533" i="1"/>
  <c r="C236" i="3" s="1"/>
  <c r="C75" i="3"/>
  <c r="N55" i="3"/>
  <c r="N58" i="3"/>
  <c r="D75" i="3"/>
  <c r="J450" i="1"/>
  <c r="J449" i="1" s="1"/>
  <c r="K533" i="1"/>
  <c r="Q453" i="1"/>
  <c r="D74" i="3" l="1"/>
  <c r="D236" i="3"/>
  <c r="C74" i="3"/>
  <c r="M75" i="3"/>
  <c r="N75" i="3" s="1"/>
  <c r="N74" i="3" s="1"/>
  <c r="N56" i="3"/>
  <c r="I205" i="1"/>
  <c r="J205" i="1"/>
  <c r="K205" i="1"/>
  <c r="L205" i="1"/>
  <c r="M205" i="1"/>
  <c r="N205" i="1"/>
  <c r="O205" i="1"/>
  <c r="P205" i="1"/>
  <c r="H205" i="1"/>
  <c r="Q488" i="1"/>
  <c r="O488" i="1"/>
  <c r="I486" i="1"/>
  <c r="I485" i="1" s="1"/>
  <c r="J486" i="1"/>
  <c r="J485" i="1" s="1"/>
  <c r="K486" i="1"/>
  <c r="L486" i="1"/>
  <c r="M486" i="1"/>
  <c r="M485" i="1" s="1"/>
  <c r="N486" i="1"/>
  <c r="N485" i="1" s="1"/>
  <c r="H486" i="1"/>
  <c r="P486" i="1"/>
  <c r="P485" i="1" s="1"/>
  <c r="Q489" i="1"/>
  <c r="Q490" i="1"/>
  <c r="Q487" i="1"/>
  <c r="O490" i="1"/>
  <c r="O487" i="1"/>
  <c r="O489" i="1"/>
  <c r="D89" i="3" l="1"/>
  <c r="H485" i="1"/>
  <c r="C89" i="3"/>
  <c r="D9" i="3"/>
  <c r="M74" i="3"/>
  <c r="M9" i="3"/>
  <c r="K485" i="1"/>
  <c r="L485" i="1"/>
  <c r="N53" i="3"/>
  <c r="C9" i="3"/>
  <c r="O486" i="1"/>
  <c r="O485" i="1" s="1"/>
  <c r="C88" i="3" l="1"/>
  <c r="D88" i="3"/>
  <c r="Q355" i="1"/>
  <c r="Q354" i="1"/>
  <c r="Q359" i="1"/>
  <c r="Q356" i="1"/>
  <c r="Q358" i="1"/>
  <c r="Q361" i="1"/>
  <c r="Q357" i="1"/>
  <c r="Q362" i="1"/>
  <c r="O355" i="1"/>
  <c r="O354" i="1"/>
  <c r="O359" i="1"/>
  <c r="O356" i="1"/>
  <c r="O358" i="1"/>
  <c r="O361" i="1"/>
  <c r="O357" i="1"/>
  <c r="O362" i="1"/>
  <c r="L353" i="1"/>
  <c r="N41" i="3" l="1"/>
  <c r="N40" i="3" s="1"/>
  <c r="Q431" i="1"/>
  <c r="Q429" i="1"/>
  <c r="R429" i="1"/>
  <c r="I429" i="1"/>
  <c r="J429" i="1"/>
  <c r="D67" i="3"/>
  <c r="D66" i="3" s="1"/>
  <c r="M429" i="1"/>
  <c r="N429" i="1"/>
  <c r="O429" i="1"/>
  <c r="P429" i="1"/>
  <c r="Q265" i="1"/>
  <c r="Q266" i="1"/>
  <c r="Q267" i="1"/>
  <c r="Q260" i="1"/>
  <c r="R260" i="1"/>
  <c r="I260" i="1"/>
  <c r="J260" i="1"/>
  <c r="K260" i="1"/>
  <c r="M260" i="1"/>
  <c r="N260" i="1"/>
  <c r="O260" i="1"/>
  <c r="P260" i="1"/>
  <c r="C14" i="3"/>
  <c r="L260" i="1" l="1"/>
  <c r="H429" i="1"/>
  <c r="C136" i="3" s="1"/>
  <c r="L429" i="1"/>
  <c r="M136" i="3" s="1"/>
  <c r="K429" i="1"/>
  <c r="D136" i="3" s="1"/>
  <c r="D167" i="3"/>
  <c r="C167" i="3"/>
  <c r="N136" i="3" l="1"/>
  <c r="N134" i="3" s="1"/>
  <c r="M134" i="3"/>
  <c r="M15" i="3"/>
  <c r="M14" i="3" s="1"/>
  <c r="N38" i="3"/>
  <c r="D77" i="3"/>
  <c r="D76" i="3" s="1"/>
  <c r="C77" i="3"/>
  <c r="C76" i="3" s="1"/>
  <c r="I532" i="1"/>
  <c r="I521" i="1" s="1"/>
  <c r="J532" i="1"/>
  <c r="J521" i="1" s="1"/>
  <c r="N532" i="1"/>
  <c r="N521" i="1" s="1"/>
  <c r="P532" i="1"/>
  <c r="P521" i="1" s="1"/>
  <c r="M8" i="3"/>
  <c r="P188" i="1"/>
  <c r="C8" i="3"/>
  <c r="N78" i="3" l="1"/>
  <c r="V564" i="2"/>
  <c r="M532" i="1"/>
  <c r="M521" i="1" s="1"/>
  <c r="D8" i="3"/>
  <c r="Q334" i="1"/>
  <c r="Q333" i="1"/>
  <c r="D38" i="3"/>
  <c r="C38" i="3"/>
  <c r="O333" i="1"/>
  <c r="O216" i="1"/>
  <c r="Q481" i="1"/>
  <c r="I480" i="1"/>
  <c r="I479" i="1" s="1"/>
  <c r="J480" i="1"/>
  <c r="J479" i="1" s="1"/>
  <c r="K480" i="1"/>
  <c r="M480" i="1"/>
  <c r="M479" i="1" s="1"/>
  <c r="N480" i="1"/>
  <c r="N479" i="1" s="1"/>
  <c r="O480" i="1"/>
  <c r="O479" i="1" s="1"/>
  <c r="P480" i="1"/>
  <c r="P479" i="1" s="1"/>
  <c r="H480" i="1"/>
  <c r="H479" i="1" s="1"/>
  <c r="Q381" i="1"/>
  <c r="Q327" i="1"/>
  <c r="Q328" i="1"/>
  <c r="Q330" i="1"/>
  <c r="Q326" i="1"/>
  <c r="Q322" i="1"/>
  <c r="C85" i="3" l="1"/>
  <c r="M77" i="3"/>
  <c r="M76" i="3" s="1"/>
  <c r="M167" i="3"/>
  <c r="H532" i="1"/>
  <c r="H521" i="1" s="1"/>
  <c r="K532" i="1"/>
  <c r="K521" i="1" s="1"/>
  <c r="D10" i="3"/>
  <c r="K479" i="1"/>
  <c r="L480" i="1"/>
  <c r="M214" i="3" s="1"/>
  <c r="Q482" i="1"/>
  <c r="C10" i="3"/>
  <c r="Q315" i="1"/>
  <c r="Q313" i="1"/>
  <c r="Q309" i="1"/>
  <c r="Q283" i="1"/>
  <c r="Q245" i="1"/>
  <c r="Q246" i="1"/>
  <c r="Q247" i="1"/>
  <c r="Q507" i="1"/>
  <c r="Q508" i="1"/>
  <c r="Q509" i="1"/>
  <c r="Q510" i="1"/>
  <c r="Q505" i="1"/>
  <c r="Q504" i="1"/>
  <c r="Q506" i="1"/>
  <c r="Q500" i="1"/>
  <c r="Q502" i="1"/>
  <c r="Q501" i="1"/>
  <c r="Q478" i="1"/>
  <c r="Q447" i="1"/>
  <c r="Q368" i="1"/>
  <c r="Q340" i="1"/>
  <c r="D85" i="3" l="1"/>
  <c r="N77" i="3"/>
  <c r="N76" i="3" s="1"/>
  <c r="N167" i="3"/>
  <c r="N164" i="3" s="1"/>
  <c r="M164" i="3"/>
  <c r="L479" i="1"/>
  <c r="N85" i="3" s="1"/>
  <c r="D31" i="3" l="1"/>
  <c r="C31" i="3"/>
  <c r="E37" i="3"/>
  <c r="F37" i="3"/>
  <c r="G37" i="3"/>
  <c r="I37" i="3" s="1"/>
  <c r="J37" i="3"/>
  <c r="K37" i="3"/>
  <c r="L37" i="3"/>
  <c r="I336" i="1"/>
  <c r="J336" i="1"/>
  <c r="K336" i="1"/>
  <c r="D39" i="3" s="1"/>
  <c r="M336" i="1"/>
  <c r="N336" i="1"/>
  <c r="O336" i="1"/>
  <c r="P336" i="1"/>
  <c r="H336" i="1"/>
  <c r="L337" i="1"/>
  <c r="H321" i="1"/>
  <c r="M31" i="3" l="1"/>
  <c r="N31" i="3" s="1"/>
  <c r="L336" i="1"/>
  <c r="Q337" i="1"/>
  <c r="C39" i="3"/>
  <c r="H331" i="1"/>
  <c r="I321" i="1"/>
  <c r="J321" i="1"/>
  <c r="K321" i="1"/>
  <c r="L321" i="1"/>
  <c r="M321" i="1"/>
  <c r="N321" i="1"/>
  <c r="P321" i="1"/>
  <c r="C34" i="3"/>
  <c r="O321" i="1"/>
  <c r="M34" i="3" l="1"/>
  <c r="N34" i="3" s="1"/>
  <c r="N33" i="3" s="1"/>
  <c r="M39" i="3"/>
  <c r="M37" i="3" s="1"/>
  <c r="C37" i="3"/>
  <c r="D30" i="3"/>
  <c r="C30" i="3"/>
  <c r="I314" i="1"/>
  <c r="I307" i="1" s="1"/>
  <c r="J314" i="1"/>
  <c r="J307" i="1" s="1"/>
  <c r="K314" i="1"/>
  <c r="L314" i="1"/>
  <c r="M314" i="1"/>
  <c r="M307" i="1" s="1"/>
  <c r="O314" i="1"/>
  <c r="P314" i="1"/>
  <c r="H314" i="1"/>
  <c r="N314" i="1"/>
  <c r="N307" i="1" s="1"/>
  <c r="D26" i="3"/>
  <c r="C26" i="3"/>
  <c r="O313" i="1"/>
  <c r="O312" i="1" s="1"/>
  <c r="O307" i="1" l="1"/>
  <c r="L307" i="1"/>
  <c r="C29" i="3"/>
  <c r="H307" i="1"/>
  <c r="D29" i="3"/>
  <c r="K307" i="1"/>
  <c r="N39" i="3"/>
  <c r="N37" i="3" s="1"/>
  <c r="M33" i="3"/>
  <c r="M29" i="3"/>
  <c r="N29" i="3" s="1"/>
  <c r="M28" i="3"/>
  <c r="N28" i="3" s="1"/>
  <c r="M26" i="3"/>
  <c r="M30" i="3"/>
  <c r="N30" i="3" s="1"/>
  <c r="P309" i="1"/>
  <c r="P308" i="1" s="1"/>
  <c r="P307" i="1" s="1"/>
  <c r="M11" i="3"/>
  <c r="D28" i="3"/>
  <c r="C28" i="3"/>
  <c r="D25" i="3" l="1"/>
  <c r="C25" i="3"/>
  <c r="M25" i="3"/>
  <c r="N26" i="3"/>
  <c r="N25" i="3" s="1"/>
  <c r="D21" i="3"/>
  <c r="D20" i="3" s="1"/>
  <c r="N17" i="3" l="1"/>
  <c r="N16" i="3" s="1"/>
  <c r="E46" i="3"/>
  <c r="F46" i="3"/>
  <c r="G46" i="3"/>
  <c r="H46" i="3"/>
  <c r="J46" i="3"/>
  <c r="K46" i="3"/>
  <c r="E48" i="3"/>
  <c r="F48" i="3"/>
  <c r="G48" i="3"/>
  <c r="H48" i="3"/>
  <c r="J48" i="3"/>
  <c r="K48" i="3"/>
  <c r="L48" i="3"/>
  <c r="I363" i="1"/>
  <c r="K363" i="1"/>
  <c r="M49" i="3"/>
  <c r="M363" i="1"/>
  <c r="M362" i="1" s="1"/>
  <c r="N363" i="1"/>
  <c r="N362" i="1" s="1"/>
  <c r="P363" i="1"/>
  <c r="P362" i="1" s="1"/>
  <c r="J363" i="1"/>
  <c r="I46" i="3" l="1"/>
  <c r="I48" i="3"/>
  <c r="D49" i="3"/>
  <c r="D48" i="3" s="1"/>
  <c r="O364" i="1"/>
  <c r="O363" i="1" s="1"/>
  <c r="M48" i="3"/>
  <c r="N49" i="3"/>
  <c r="N48" i="3" s="1"/>
  <c r="N15" i="3"/>
  <c r="N14" i="3" s="1"/>
  <c r="L363" i="1"/>
  <c r="C48" i="3"/>
  <c r="E33" i="3"/>
  <c r="F33" i="3"/>
  <c r="G33" i="3"/>
  <c r="H33" i="3"/>
  <c r="J33" i="3"/>
  <c r="K33" i="3"/>
  <c r="L33" i="3"/>
  <c r="I320" i="1"/>
  <c r="J320" i="1"/>
  <c r="K320" i="1"/>
  <c r="M320" i="1"/>
  <c r="N320" i="1"/>
  <c r="O320" i="1"/>
  <c r="P320" i="1"/>
  <c r="H320" i="1"/>
  <c r="D33" i="3" l="1"/>
  <c r="I33" i="3"/>
  <c r="C33" i="3"/>
  <c r="D34" i="3"/>
  <c r="L320" i="1"/>
  <c r="N109" i="3" s="1"/>
  <c r="O507" i="1"/>
  <c r="O508" i="1"/>
  <c r="O509" i="1"/>
  <c r="O510" i="1"/>
  <c r="O505" i="1"/>
  <c r="O504" i="1"/>
  <c r="O506" i="1"/>
  <c r="O503" i="1" l="1"/>
  <c r="N11" i="3"/>
  <c r="C101" i="3"/>
  <c r="D101" i="3"/>
  <c r="I353" i="1"/>
  <c r="I352" i="1" s="1"/>
  <c r="J353" i="1"/>
  <c r="J352" i="1" s="1"/>
  <c r="K353" i="1"/>
  <c r="L352" i="1"/>
  <c r="H353" i="1"/>
  <c r="C32" i="7" s="1"/>
  <c r="C9" i="7" s="1"/>
  <c r="C7" i="7" l="1"/>
  <c r="K352" i="1"/>
  <c r="D32" i="7"/>
  <c r="D9" i="7" s="1"/>
  <c r="M47" i="3"/>
  <c r="N47" i="3" s="1"/>
  <c r="N46" i="3" s="1"/>
  <c r="H352" i="1"/>
  <c r="C47" i="3"/>
  <c r="O353" i="1"/>
  <c r="O352" i="1" s="1"/>
  <c r="D47" i="3"/>
  <c r="D7" i="7" l="1"/>
  <c r="M46" i="3"/>
  <c r="N9" i="3"/>
  <c r="L46" i="3"/>
  <c r="D46" i="3"/>
  <c r="C46" i="3"/>
  <c r="E35" i="3"/>
  <c r="F35" i="3"/>
  <c r="G35" i="3"/>
  <c r="I35" i="3" s="1"/>
  <c r="J35" i="3"/>
  <c r="K35" i="3"/>
  <c r="L35" i="3"/>
  <c r="N8" i="3" l="1"/>
  <c r="N7" i="3"/>
  <c r="I325" i="1"/>
  <c r="I324" i="1" s="1"/>
  <c r="J325" i="1"/>
  <c r="J324" i="1" s="1"/>
  <c r="K325" i="1"/>
  <c r="L325" i="1"/>
  <c r="N325" i="1"/>
  <c r="N324" i="1" s="1"/>
  <c r="O325" i="1"/>
  <c r="O324" i="1" s="1"/>
  <c r="H325" i="1"/>
  <c r="M36" i="3" l="1"/>
  <c r="N36" i="3" s="1"/>
  <c r="N35" i="3" s="1"/>
  <c r="L324" i="1"/>
  <c r="C36" i="3"/>
  <c r="H324" i="1"/>
  <c r="D36" i="3"/>
  <c r="K324" i="1"/>
  <c r="E68" i="3"/>
  <c r="F68" i="3"/>
  <c r="G68" i="3"/>
  <c r="H68" i="3"/>
  <c r="J68" i="3"/>
  <c r="K68" i="3"/>
  <c r="D69" i="3"/>
  <c r="M69" i="3"/>
  <c r="C69" i="3"/>
  <c r="J443" i="1"/>
  <c r="K443" i="1"/>
  <c r="D71" i="3" s="1"/>
  <c r="L443" i="1"/>
  <c r="M443" i="1"/>
  <c r="N443" i="1"/>
  <c r="P443" i="1"/>
  <c r="H443" i="1"/>
  <c r="C71" i="3" s="1"/>
  <c r="O443" i="1"/>
  <c r="D35" i="3" l="1"/>
  <c r="I68" i="3"/>
  <c r="M35" i="3"/>
  <c r="C35" i="3"/>
  <c r="N69" i="3"/>
  <c r="I443" i="1"/>
  <c r="Q444" i="1"/>
  <c r="L68" i="3"/>
  <c r="I441" i="1"/>
  <c r="J441" i="1"/>
  <c r="J434" i="1" s="1"/>
  <c r="K441" i="1"/>
  <c r="L441" i="1"/>
  <c r="M441" i="1"/>
  <c r="M434" i="1" s="1"/>
  <c r="N441" i="1"/>
  <c r="O441" i="1"/>
  <c r="P441" i="1"/>
  <c r="P434" i="1" s="1"/>
  <c r="H434" i="1"/>
  <c r="M70" i="3" l="1"/>
  <c r="N70" i="3" s="1"/>
  <c r="N68" i="3" s="1"/>
  <c r="I434" i="1"/>
  <c r="C68" i="3"/>
  <c r="O434" i="1"/>
  <c r="L434" i="1"/>
  <c r="C70" i="3"/>
  <c r="D70" i="3"/>
  <c r="K434" i="1"/>
  <c r="D68" i="3" s="1"/>
  <c r="M68" i="3" l="1"/>
  <c r="J51" i="3"/>
  <c r="K51" i="3"/>
  <c r="I380" i="1"/>
  <c r="I376" i="1" s="1"/>
  <c r="J380" i="1"/>
  <c r="J376" i="1" s="1"/>
  <c r="K380" i="1"/>
  <c r="M380" i="1"/>
  <c r="M376" i="1" s="1"/>
  <c r="N380" i="1"/>
  <c r="N376" i="1" s="1"/>
  <c r="O380" i="1"/>
  <c r="O376" i="1" s="1"/>
  <c r="P380" i="1"/>
  <c r="P376" i="1" s="1"/>
  <c r="H380" i="1"/>
  <c r="K376" i="1" l="1"/>
  <c r="H376" i="1"/>
  <c r="C53" i="3"/>
  <c r="D53" i="3"/>
  <c r="D51" i="3" s="1"/>
  <c r="L51" i="3"/>
  <c r="C51" i="3" l="1"/>
  <c r="O245" i="1"/>
  <c r="O246" i="1"/>
  <c r="O247" i="1"/>
  <c r="N499" i="1"/>
  <c r="N496" i="1" s="1"/>
  <c r="J499" i="1"/>
  <c r="J496" i="1" s="1"/>
  <c r="I499" i="1"/>
  <c r="I496" i="1" s="1"/>
  <c r="K499" i="1"/>
  <c r="K496" i="1" s="1"/>
  <c r="L499" i="1"/>
  <c r="L496" i="1" s="1"/>
  <c r="M499" i="1"/>
  <c r="M496" i="1" s="1"/>
  <c r="O499" i="1"/>
  <c r="O496" i="1" s="1"/>
  <c r="P499" i="1"/>
  <c r="P496" i="1" s="1"/>
  <c r="H499" i="1"/>
  <c r="H496" i="1" s="1"/>
  <c r="E72" i="3"/>
  <c r="F72" i="3"/>
  <c r="G72" i="3"/>
  <c r="H72" i="3"/>
  <c r="J72" i="3"/>
  <c r="K72" i="3"/>
  <c r="L72" i="3"/>
  <c r="I445" i="1"/>
  <c r="J445" i="1"/>
  <c r="D73" i="3"/>
  <c r="D72" i="3" s="1"/>
  <c r="M445" i="1"/>
  <c r="N445" i="1"/>
  <c r="P445" i="1"/>
  <c r="H445" i="1"/>
  <c r="O447" i="1"/>
  <c r="D62" i="3"/>
  <c r="C62" i="3"/>
  <c r="I282" i="1"/>
  <c r="I281" i="1" s="1"/>
  <c r="J282" i="1"/>
  <c r="J281" i="1" s="1"/>
  <c r="K282" i="1"/>
  <c r="L282" i="1"/>
  <c r="M282" i="1"/>
  <c r="M281" i="1" s="1"/>
  <c r="N282" i="1"/>
  <c r="N281" i="1" s="1"/>
  <c r="O282" i="1"/>
  <c r="O281" i="1" s="1"/>
  <c r="P282" i="1"/>
  <c r="P281" i="1" s="1"/>
  <c r="H282" i="1"/>
  <c r="I477" i="1"/>
  <c r="I476" i="1" s="1"/>
  <c r="J477" i="1"/>
  <c r="J476" i="1" s="1"/>
  <c r="K477" i="1"/>
  <c r="L477" i="1"/>
  <c r="M213" i="3" s="1"/>
  <c r="M477" i="1"/>
  <c r="M476" i="1" s="1"/>
  <c r="N477" i="1"/>
  <c r="N476" i="1" s="1"/>
  <c r="P477" i="1"/>
  <c r="P476" i="1" s="1"/>
  <c r="P471" i="1" s="1"/>
  <c r="P470" i="1" s="1"/>
  <c r="H477" i="1"/>
  <c r="O478" i="1"/>
  <c r="O477" i="1" s="1"/>
  <c r="O476" i="1" s="1"/>
  <c r="D61" i="3"/>
  <c r="C61" i="3"/>
  <c r="C40" i="3"/>
  <c r="E40" i="3"/>
  <c r="F40" i="3"/>
  <c r="J40" i="3"/>
  <c r="K40" i="3"/>
  <c r="O340" i="1"/>
  <c r="I331" i="1"/>
  <c r="J331" i="1"/>
  <c r="K331" i="1"/>
  <c r="D37" i="3" s="1"/>
  <c r="L331" i="1"/>
  <c r="N331" i="1"/>
  <c r="O334" i="1"/>
  <c r="O332" i="1" s="1"/>
  <c r="D16" i="3"/>
  <c r="E16" i="3"/>
  <c r="F16" i="3"/>
  <c r="G16" i="3"/>
  <c r="J16" i="3"/>
  <c r="K16" i="3"/>
  <c r="L16" i="3"/>
  <c r="C16" i="3"/>
  <c r="C19" i="3" l="1"/>
  <c r="C18" i="3" s="1"/>
  <c r="D19" i="3"/>
  <c r="D18" i="3" s="1"/>
  <c r="O244" i="1"/>
  <c r="C213" i="3"/>
  <c r="C211" i="3" s="1"/>
  <c r="C151" i="3"/>
  <c r="N213" i="3"/>
  <c r="N211" i="3" s="1"/>
  <c r="M211" i="3"/>
  <c r="K476" i="1"/>
  <c r="D213" i="3"/>
  <c r="D211" i="3" s="1"/>
  <c r="D151" i="3"/>
  <c r="K6" i="3"/>
  <c r="I16" i="3"/>
  <c r="G6" i="3"/>
  <c r="I72" i="3"/>
  <c r="H6" i="3"/>
  <c r="J6" i="3"/>
  <c r="E6" i="3"/>
  <c r="F6" i="3"/>
  <c r="O339" i="1"/>
  <c r="O338" i="1" s="1"/>
  <c r="O446" i="1"/>
  <c r="O445" i="1" s="1"/>
  <c r="L281" i="1"/>
  <c r="M19" i="3"/>
  <c r="M18" i="3" s="1"/>
  <c r="O331" i="1"/>
  <c r="P331" i="1"/>
  <c r="P330" i="1" s="1"/>
  <c r="M331" i="1"/>
  <c r="L445" i="1"/>
  <c r="C73" i="3"/>
  <c r="K445" i="1"/>
  <c r="K281" i="1"/>
  <c r="H281" i="1"/>
  <c r="L476" i="1"/>
  <c r="H476" i="1"/>
  <c r="C83" i="3" l="1"/>
  <c r="M73" i="3"/>
  <c r="M72" i="3" s="1"/>
  <c r="D83" i="3"/>
  <c r="P328" i="1"/>
  <c r="P329" i="1"/>
  <c r="I6" i="3"/>
  <c r="C72" i="3"/>
  <c r="N19" i="3"/>
  <c r="N18" i="3" s="1"/>
  <c r="N73" i="3" l="1"/>
  <c r="N72" i="3" s="1"/>
  <c r="P327" i="1"/>
  <c r="P326" i="1" s="1"/>
  <c r="P325" i="1" s="1"/>
  <c r="P324" i="1" s="1"/>
  <c r="I469" i="1"/>
  <c r="J469" i="1"/>
  <c r="K469" i="1"/>
  <c r="L469" i="1"/>
  <c r="M469" i="1"/>
  <c r="N469" i="1"/>
  <c r="P469" i="1"/>
  <c r="H469" i="1"/>
  <c r="D58" i="3"/>
  <c r="J18" i="1"/>
  <c r="J16" i="1" s="1"/>
  <c r="K18" i="1"/>
  <c r="K16" i="1" s="1"/>
  <c r="C81" i="3" l="1"/>
  <c r="D81" i="3"/>
  <c r="I18" i="1"/>
  <c r="I16" i="1" s="1"/>
  <c r="H18" i="1"/>
  <c r="H16" i="1" s="1"/>
  <c r="M12" i="3"/>
  <c r="C58" i="3"/>
  <c r="O469" i="1"/>
  <c r="N12" i="3" l="1"/>
  <c r="D6" i="3" l="1"/>
  <c r="L534" i="1" l="1"/>
  <c r="L533" i="1" l="1"/>
  <c r="O534" i="1"/>
  <c r="O533" i="1" s="1"/>
  <c r="Q297" i="1"/>
  <c r="C7" i="3"/>
  <c r="Q298" i="1"/>
  <c r="Q290" i="1"/>
  <c r="Q292" i="1"/>
  <c r="Q296" i="1"/>
  <c r="Q293" i="1"/>
  <c r="Q286" i="1"/>
  <c r="Q289" i="1"/>
  <c r="Q294" i="1"/>
  <c r="L532" i="1" l="1"/>
  <c r="O532" i="1"/>
  <c r="O521" i="1" s="1"/>
  <c r="Q288" i="1"/>
  <c r="Q295" i="1"/>
  <c r="Q291" i="1"/>
  <c r="Q299" i="1"/>
  <c r="L521" i="1" l="1"/>
  <c r="Q287" i="1"/>
  <c r="N237" i="3" l="1"/>
  <c r="N236" i="3" s="1"/>
  <c r="M236" i="3"/>
  <c r="Q305" i="1"/>
  <c r="L304" i="1"/>
  <c r="O304" i="1"/>
  <c r="O303" i="1" s="1"/>
  <c r="L303" i="1" l="1"/>
  <c r="M23" i="3" l="1"/>
  <c r="M24" i="3"/>
  <c r="N24" i="3" s="1"/>
  <c r="N23" i="3" s="1"/>
  <c r="M21" i="3" l="1"/>
  <c r="N21" i="3" l="1"/>
  <c r="N20" i="3" s="1"/>
  <c r="M20" i="3"/>
  <c r="M6" i="3" s="1"/>
  <c r="C21" i="3" l="1"/>
  <c r="C20" i="3" l="1"/>
  <c r="C6" i="3" l="1"/>
  <c r="M247" i="1"/>
  <c r="M246" i="1" s="1"/>
  <c r="M245" i="1" s="1"/>
  <c r="M244" i="1" s="1"/>
  <c r="M361" i="1"/>
  <c r="P361" i="1"/>
  <c r="N361" i="1"/>
  <c r="M358" i="1" l="1"/>
  <c r="M359" i="1"/>
  <c r="N359" i="1"/>
  <c r="N358" i="1"/>
  <c r="P359" i="1"/>
  <c r="P358" i="1"/>
  <c r="M357" i="1" l="1"/>
  <c r="M356" i="1" s="1"/>
  <c r="M355" i="1" s="1"/>
  <c r="M354" i="1" s="1"/>
  <c r="M353" i="1" s="1"/>
  <c r="M352" i="1" s="1"/>
  <c r="M18" i="1" s="1"/>
  <c r="M16" i="1" s="1"/>
  <c r="P357" i="1"/>
  <c r="P356" i="1" s="1"/>
  <c r="P355" i="1" s="1"/>
  <c r="P354" i="1" s="1"/>
  <c r="P353" i="1" s="1"/>
  <c r="P352" i="1" s="1"/>
  <c r="N357" i="1"/>
  <c r="N356" i="1" s="1"/>
  <c r="N355" i="1" s="1"/>
  <c r="N354" i="1" s="1"/>
  <c r="N353" i="1" s="1"/>
  <c r="N352" i="1" s="1"/>
  <c r="P16" i="1" l="1"/>
  <c r="P18" i="1"/>
  <c r="N434" i="1"/>
  <c r="N18" i="1" s="1"/>
  <c r="N16" i="1" s="1"/>
  <c r="O208" i="1"/>
  <c r="Q209" i="1"/>
  <c r="O209" i="1"/>
  <c r="O210" i="1"/>
  <c r="O211" i="1"/>
  <c r="O212" i="1"/>
  <c r="O213" i="1"/>
  <c r="O214" i="1"/>
  <c r="O215" i="1"/>
  <c r="O217" i="1"/>
  <c r="O218" i="1"/>
  <c r="O219" i="1"/>
  <c r="L18" i="1"/>
  <c r="L16" i="1" s="1"/>
  <c r="N6" i="3"/>
  <c r="O207" i="1" l="1"/>
  <c r="O18" i="1" s="1"/>
  <c r="O16" i="1" s="1"/>
  <c r="L6" i="3"/>
  <c r="F62" i="7" l="1"/>
  <c r="F59" i="7" s="1"/>
  <c r="M89" i="5"/>
  <c r="M16" i="5" s="1"/>
  <c r="M284" i="5"/>
  <c r="M213" i="5" s="1"/>
  <c r="N284" i="5"/>
  <c r="N213" i="5" s="1"/>
  <c r="M14" i="5" l="1"/>
  <c r="F7" i="7"/>
  <c r="Q284" i="5"/>
  <c r="N423" i="5"/>
  <c r="N351" i="5" s="1"/>
  <c r="M423" i="5"/>
  <c r="M351" i="5" s="1"/>
  <c r="Q423" i="5"/>
  <c r="Q351" i="5" s="1"/>
  <c r="Q348" i="5" l="1"/>
  <c r="Q347" i="5" s="1"/>
  <c r="Q346" i="5" s="1"/>
  <c r="Q345" i="5" s="1"/>
  <c r="Q213" i="5" s="1"/>
  <c r="C643" i="6"/>
  <c r="L500" i="5"/>
  <c r="O791" i="5"/>
  <c r="O789" i="5" s="1"/>
  <c r="O788" i="5" l="1"/>
  <c r="O502" i="5" s="1"/>
  <c r="C640" i="6"/>
  <c r="C477" i="6" s="1"/>
  <c r="O500" i="5" l="1"/>
</calcChain>
</file>

<file path=xl/sharedStrings.xml><?xml version="1.0" encoding="utf-8"?>
<sst xmlns="http://schemas.openxmlformats.org/spreadsheetml/2006/main" count="8836" uniqueCount="2168">
  <si>
    <t>№ п/п</t>
  </si>
  <si>
    <t>Год</t>
  </si>
  <si>
    <t>Материал стен</t>
  </si>
  <si>
    <t>Количество этажей</t>
  </si>
  <si>
    <t>Количество подъездов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</si>
  <si>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</si>
  <si>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</si>
  <si>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</si>
  <si>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</si>
  <si>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</si>
  <si>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</si>
  <si>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</si>
  <si>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всего:</t>
  </si>
  <si>
    <t>в том числе жилых помещений, находящихся в собственности граждан</t>
  </si>
  <si>
    <t>за счет средств местного бюджета</t>
  </si>
  <si>
    <t>за счет средств собственников помещений в МКД</t>
  </si>
  <si>
    <t>чел.</t>
  </si>
  <si>
    <t>руб.</t>
  </si>
  <si>
    <t>в том числе</t>
  </si>
  <si>
    <t>за счет привлеченных средств</t>
  </si>
  <si>
    <t>Всего</t>
  </si>
  <si>
    <t>кв. м</t>
  </si>
  <si>
    <t>Адрес МКД</t>
  </si>
  <si>
    <t>ед.</t>
  </si>
  <si>
    <t>куб. м</t>
  </si>
  <si>
    <t>Наименование муниципального образования</t>
  </si>
  <si>
    <t>Количество МКД</t>
  </si>
  <si>
    <t>I квартал</t>
  </si>
  <si>
    <t>II квартал</t>
  </si>
  <si>
    <t>III квартал</t>
  </si>
  <si>
    <t>IV квартал</t>
  </si>
  <si>
    <t xml:space="preserve">Приложение </t>
  </si>
  <si>
    <t>завершения последнего капитального ремонта</t>
  </si>
  <si>
    <t>Общая площадь МКД, всего</t>
  </si>
  <si>
    <t>Формирование фонда капитального ремонта многоквартирного дома на счете некоммерческой организации - Фонд капитального ремонта многоквартирных домов Тверской области (далее - региональный оператор)</t>
  </si>
  <si>
    <t>Формирование фонда капитального ремонта многоквартирного дома на специальном счете, владельцем которого является региональный оператор</t>
  </si>
  <si>
    <t>Стоимость капитального ремонта: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</si>
  <si>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иной специализированный потребительский кооператив, управляющая компания</t>
  </si>
  <si>
    <t>I. Перечень многоквартирных домов, которые подлежат капитальному ремонту</t>
  </si>
  <si>
    <t xml:space="preserve">II. Реестр многоквартирных домов, которые подлежат капитальному ремонту по видам ремонта </t>
  </si>
  <si>
    <t>Х</t>
  </si>
  <si>
    <t>Бежецкий район</t>
  </si>
  <si>
    <t>Итого по Тверской области</t>
  </si>
  <si>
    <t>Бологовский район</t>
  </si>
  <si>
    <t>Весьегонский район</t>
  </si>
  <si>
    <t>Вышневолоцкий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</si>
  <si>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</si>
  <si>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</si>
  <si>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</si>
  <si>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</si>
  <si>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</si>
  <si>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</si>
  <si>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Кимрский район</t>
  </si>
  <si>
    <t>Конаковский район</t>
  </si>
  <si>
    <t>Краснохолмский район</t>
  </si>
  <si>
    <t>Кувшиновский район</t>
  </si>
  <si>
    <t xml:space="preserve">Лихославльский район </t>
  </si>
  <si>
    <t>Максатихинский район</t>
  </si>
  <si>
    <t>Нелидовский район</t>
  </si>
  <si>
    <t>Оленинский район</t>
  </si>
  <si>
    <t>Осташковский район</t>
  </si>
  <si>
    <t>Рамешковский район</t>
  </si>
  <si>
    <t>Сандовский район</t>
  </si>
  <si>
    <t>Селижаровский район</t>
  </si>
  <si>
    <t>Старицкий район</t>
  </si>
  <si>
    <t>Торжокской район</t>
  </si>
  <si>
    <t>Торопецкий район</t>
  </si>
  <si>
    <t>Фировский район</t>
  </si>
  <si>
    <t>Бельский район</t>
  </si>
  <si>
    <t>электрика</t>
  </si>
  <si>
    <t>2 </t>
  </si>
  <si>
    <t> 2</t>
  </si>
  <si>
    <t>Андреапольский район</t>
  </si>
  <si>
    <t>3</t>
  </si>
  <si>
    <t>4</t>
  </si>
  <si>
    <t>пер. Адрианова, д. 19</t>
  </si>
  <si>
    <t>пер. 1-й Путейский, д. 21</t>
  </si>
  <si>
    <t>ул. Володарского, д. 27</t>
  </si>
  <si>
    <t>ул. Дзержинского, д. 5</t>
  </si>
  <si>
    <t>ул. Дзержинского, д. 14</t>
  </si>
  <si>
    <t>ул. Матросова, д. 23</t>
  </si>
  <si>
    <t>ул. Нахимова, д. 21</t>
  </si>
  <si>
    <t>ул. Пионерская, д. 8</t>
  </si>
  <si>
    <t>ул. Шменкеля, д. 14/12</t>
  </si>
  <si>
    <t>ул. Матросова, д. 32</t>
  </si>
  <si>
    <t>Итого по Мостовское сельское поселение</t>
  </si>
  <si>
    <t>Итого по городское поселение поселок Оленино</t>
  </si>
  <si>
    <t>Итого по городское поселение город Нелидово</t>
  </si>
  <si>
    <t>Итого по городское поселение город Конаково</t>
  </si>
  <si>
    <t>Итого по город Тверь</t>
  </si>
  <si>
    <t>Итого по городское поселение поселок Фирово</t>
  </si>
  <si>
    <t>Итого по город Вышний Волочек</t>
  </si>
  <si>
    <t>Итого по город Кимры</t>
  </si>
  <si>
    <t>Итого по город Ржев</t>
  </si>
  <si>
    <t>Итого по город Торжок</t>
  </si>
  <si>
    <t>Итого по городское поселение город Андреаполь</t>
  </si>
  <si>
    <t>Итого по городское поселение город Бежецк</t>
  </si>
  <si>
    <t>Итого по городское поселение город Белый</t>
  </si>
  <si>
    <t>Итого по городское поселение поселок Красномайский</t>
  </si>
  <si>
    <t>Итого по Коломенское сельское поселение</t>
  </si>
  <si>
    <t>Итого по Солнечное сельское поселение</t>
  </si>
  <si>
    <t>Итого по Сорокинское сельское поселение</t>
  </si>
  <si>
    <t>Итого по Городское поселение поселок Жарковский</t>
  </si>
  <si>
    <t>Итого по городское поселение город Западная Двина</t>
  </si>
  <si>
    <t>Итого по Погорельское сельское поселение</t>
  </si>
  <si>
    <t>Итого по городское поселение поселок Орша</t>
  </si>
  <si>
    <t>Итого по городское поселение город Калязин</t>
  </si>
  <si>
    <t>Итого по городское поселение город Зубцов</t>
  </si>
  <si>
    <t>Итого по городское поселение город Кашин</t>
  </si>
  <si>
    <t>Итого по Быковское сельское поселение</t>
  </si>
  <si>
    <t>Итого по городское поселение поселок Козлово</t>
  </si>
  <si>
    <t>Итого по Дмитровогорское сельское поселение</t>
  </si>
  <si>
    <t>Итого по городское поселение город Красный Холм</t>
  </si>
  <si>
    <t xml:space="preserve">Итого по городское поселение город Осташков </t>
  </si>
  <si>
    <t>Итого по городское поселение город Торопец</t>
  </si>
  <si>
    <t>Итого по городское поселение город Старица</t>
  </si>
  <si>
    <t>Итого по городское поселение поселок Селижарово</t>
  </si>
  <si>
    <t>Итого по городское поселение поселок Сандово</t>
  </si>
  <si>
    <t>Итого по городское поселение поселок Рамешки</t>
  </si>
  <si>
    <t>Итого по городское поселение поселок Максатиха</t>
  </si>
  <si>
    <t>Итого по Ильинское сельское поселение</t>
  </si>
  <si>
    <t>Итого по городское поселение поселок Калашниково</t>
  </si>
  <si>
    <t>Итого по городское поселение город Кувшиново</t>
  </si>
  <si>
    <t>Итого по ЗАТО Озерный</t>
  </si>
  <si>
    <t>III. Планируемые показатели выполнения работ по капитальному ремонту многоквартирных домов</t>
  </si>
  <si>
    <t>Итого по городскому поселению город Бологое</t>
  </si>
  <si>
    <t>Итого по Терелесовское  сельское поселение</t>
  </si>
  <si>
    <t>Итого по городское поселение поселок Великооктябрьский</t>
  </si>
  <si>
    <t>Итого по городское поселение поселок Редкино</t>
  </si>
  <si>
    <t>Итого по сельское поселение "Завидово"</t>
  </si>
  <si>
    <t>Итого по городское поселение поселок Белый Городок</t>
  </si>
  <si>
    <t>Итого по Эммаусское сельское поселение</t>
  </si>
  <si>
    <t>Итого по городское поселение поселок Изоплит</t>
  </si>
  <si>
    <t>г.Андреаполь</t>
  </si>
  <si>
    <t>г.Бежецк</t>
  </si>
  <si>
    <t xml:space="preserve">г.Белый </t>
  </si>
  <si>
    <t>г.Бологое</t>
  </si>
  <si>
    <t>г.Весьегонск</t>
  </si>
  <si>
    <t>г.В.Волочек</t>
  </si>
  <si>
    <t>пгт.Красномайский</t>
  </si>
  <si>
    <t>Коломенское с/п</t>
  </si>
  <si>
    <t>Солнечное с/п</t>
  </si>
  <si>
    <t>Сорокинское с/п</t>
  </si>
  <si>
    <t>Терелесовское с/п</t>
  </si>
  <si>
    <t>пгт.Жарковский</t>
  </si>
  <si>
    <t xml:space="preserve">г.Западная Двина </t>
  </si>
  <si>
    <t xml:space="preserve">Зубцовский район </t>
  </si>
  <si>
    <t xml:space="preserve">г.Зубцов </t>
  </si>
  <si>
    <t>Погорельское с/п</t>
  </si>
  <si>
    <t xml:space="preserve">Калининский район </t>
  </si>
  <si>
    <t xml:space="preserve">пгт.Орша </t>
  </si>
  <si>
    <t>Эммаусское с/п</t>
  </si>
  <si>
    <t xml:space="preserve">г.Калязин </t>
  </si>
  <si>
    <t xml:space="preserve">г.Кашин </t>
  </si>
  <si>
    <t xml:space="preserve">Кимрский район </t>
  </si>
  <si>
    <t>г.Кимры</t>
  </si>
  <si>
    <t>пгт.Белый Городок</t>
  </si>
  <si>
    <t>Быковское с/п</t>
  </si>
  <si>
    <t xml:space="preserve">Конаковский район </t>
  </si>
  <si>
    <t>г.Конаково</t>
  </si>
  <si>
    <t xml:space="preserve">пгт.Изоплит </t>
  </si>
  <si>
    <t>пгт.Козлово</t>
  </si>
  <si>
    <t>пгт.Редкино</t>
  </si>
  <si>
    <t>Козловское с/п</t>
  </si>
  <si>
    <t>Дмитровогорское с/п</t>
  </si>
  <si>
    <t>"Завидово" с/п</t>
  </si>
  <si>
    <t>г.Красный Холм</t>
  </si>
  <si>
    <t>г.Кувшиново</t>
  </si>
  <si>
    <t>Лихославльский район</t>
  </si>
  <si>
    <t>г.Лихославль</t>
  </si>
  <si>
    <t>пгт.Калашниково</t>
  </si>
  <si>
    <t>Ильинское с/п</t>
  </si>
  <si>
    <t>пгт.Максатиха</t>
  </si>
  <si>
    <t>г.Нелидово</t>
  </si>
  <si>
    <t xml:space="preserve">Оленинский район </t>
  </si>
  <si>
    <t>пгт.Оленино</t>
  </si>
  <si>
    <t>Мостовское с/п</t>
  </si>
  <si>
    <t>г.Осташков</t>
  </si>
  <si>
    <t>ЗАТО "ОЗЕРНЫЙ"</t>
  </si>
  <si>
    <t>г.Ржев</t>
  </si>
  <si>
    <t>пгт.Сандово</t>
  </si>
  <si>
    <t xml:space="preserve">пгт.Селижарово </t>
  </si>
  <si>
    <t xml:space="preserve">г.Старица </t>
  </si>
  <si>
    <t>г.Торопец</t>
  </si>
  <si>
    <t xml:space="preserve">г.Удомля </t>
  </si>
  <si>
    <t xml:space="preserve">Фировский район </t>
  </si>
  <si>
    <t>пгт.Фирово</t>
  </si>
  <si>
    <t>пгт.Великооктябрьский</t>
  </si>
  <si>
    <t>Итого по Верхневолжское сельское поселение</t>
  </si>
  <si>
    <t>Итого по Щербининское сельское поселение</t>
  </si>
  <si>
    <t>до 1917</t>
  </si>
  <si>
    <t>4-5</t>
  </si>
  <si>
    <t>"Вышневолоцкий район"</t>
  </si>
  <si>
    <t>Верхневолжское с/п</t>
  </si>
  <si>
    <t>Щербининское с/п</t>
  </si>
  <si>
    <t>г.ТВЕРЬ</t>
  </si>
  <si>
    <t>г.Торжок</t>
  </si>
  <si>
    <t>КП  2016 г</t>
  </si>
  <si>
    <t>Итого по Приволжское сельское поселение</t>
  </si>
  <si>
    <t>№ 1</t>
  </si>
  <si>
    <t>№ 2</t>
  </si>
  <si>
    <t>№ 3</t>
  </si>
  <si>
    <t>№ 4</t>
  </si>
  <si>
    <t>№ 5</t>
  </si>
  <si>
    <t>Приволжское с/п</t>
  </si>
  <si>
    <t>Всего по Тверской области</t>
  </si>
  <si>
    <t>Формирование фонда капитального ремонта многоквартирного дома на специальном счете</t>
  </si>
  <si>
    <t>Удомельский городской округ</t>
  </si>
  <si>
    <t>Пеновский район</t>
  </si>
  <si>
    <t>Итого по городское поселение поселок Пено</t>
  </si>
  <si>
    <t>Итого по Валдайскому сельскому поселению</t>
  </si>
  <si>
    <t>Торжокский район</t>
  </si>
  <si>
    <t>Итого по Мирновское сельское поселение</t>
  </si>
  <si>
    <t>Итого по Рудниковское сельское поселение</t>
  </si>
  <si>
    <t>к постановлению Правительства Тверской области 
Тверской области
от 24.02.2016 № 82-пп</t>
  </si>
  <si>
    <t>ремонт или замена лифтового оборудования, признанного непригодным для эксплуатации, ремонт лифтовых шахт</t>
  </si>
  <si>
    <t xml:space="preserve">ремонт крыши, в том числе устройство выходов на кровлю
</t>
  </si>
  <si>
    <t>ремонт подвальных помещений, относящихся к общему имуществу в многоквартирном доме</t>
  </si>
  <si>
    <t>Каменные, кирпичные</t>
  </si>
  <si>
    <t>Панельные</t>
  </si>
  <si>
    <t>Блочные</t>
  </si>
  <si>
    <t>Деревянные</t>
  </si>
  <si>
    <t>Прочие</t>
  </si>
  <si>
    <t>ул. Екатерины Фарафоновой, д. 37</t>
  </si>
  <si>
    <t>ул. Вагжанова, д. 4</t>
  </si>
  <si>
    <t>ул. Советская, д. 60</t>
  </si>
  <si>
    <t>ул. Бобкова, д. 2</t>
  </si>
  <si>
    <t>ул. Румянцева, д. 24/40</t>
  </si>
  <si>
    <t>ул. Советская, д. 24</t>
  </si>
  <si>
    <t xml:space="preserve">ул. Маршала Буденого, д. 4 </t>
  </si>
  <si>
    <t>ул. Скворцова-Степанова, д. 16</t>
  </si>
  <si>
    <t>ул. Седова, д. 120А</t>
  </si>
  <si>
    <t>ул. Советская, д. 8</t>
  </si>
  <si>
    <t>ул. Ипподромная, д. 22</t>
  </si>
  <si>
    <t>ул. Горького, д. 106</t>
  </si>
  <si>
    <t>ул. Ротмистрова, д. 20</t>
  </si>
  <si>
    <t>ул. Мусоргского, д. 38/33</t>
  </si>
  <si>
    <t>ул. Озерная, д. 23</t>
  </si>
  <si>
    <t xml:space="preserve">ул. Прядильная, д. 13 </t>
  </si>
  <si>
    <t>ул. Гвардейская, д. 5</t>
  </si>
  <si>
    <t>ул. Мичурина, д. 37/23</t>
  </si>
  <si>
    <t>ул. Ипподромная, д. 10</t>
  </si>
  <si>
    <t>ул. Хромова, д. 16</t>
  </si>
  <si>
    <t xml:space="preserve">ул. Можайского, д. 51 </t>
  </si>
  <si>
    <t>ул. Королева, д. 24</t>
  </si>
  <si>
    <t>ул. Орджоникидзе, д. 8</t>
  </si>
  <si>
    <t>ул. Академическая, д. 22</t>
  </si>
  <si>
    <t>ул. 15 лет Октября, д. 47</t>
  </si>
  <si>
    <t>ул. Коробкова, д. 18</t>
  </si>
  <si>
    <t>ул. Крылова, д. 5</t>
  </si>
  <si>
    <t>ул. Орджоникидзе, д. 12/1</t>
  </si>
  <si>
    <t>ул. Благоева, д. 6А</t>
  </si>
  <si>
    <t>ул. Склизкова, д. 88</t>
  </si>
  <si>
    <t>ул. Терещенко, д. 28</t>
  </si>
  <si>
    <t>ул. Громова, д. 30</t>
  </si>
  <si>
    <t>ул. Орджоникидзе, д. 5</t>
  </si>
  <si>
    <t>ул. Орджоникидзе, д. 4/2</t>
  </si>
  <si>
    <t>ул. 15 лет Октября, д. 64/23</t>
  </si>
  <si>
    <t>ул. Орджоникидзе, д. 11</t>
  </si>
  <si>
    <t>ул. Бориса Полевого, д. 10/11</t>
  </si>
  <si>
    <t>ул. Терещенко, д. 35</t>
  </si>
  <si>
    <t>ул. Веселова, д. 34/28</t>
  </si>
  <si>
    <t>ул. Чудова, д. 14</t>
  </si>
  <si>
    <t>ул. Ротмистрова, д. 17</t>
  </si>
  <si>
    <t>ул. Орджоникидзе, д. 1</t>
  </si>
  <si>
    <t>ул. Лукина, д. 14</t>
  </si>
  <si>
    <t>ул. Кайкова, д. 4А</t>
  </si>
  <si>
    <t>ул. Орджоникидзе, д. 14</t>
  </si>
  <si>
    <t>ул. Академическая, д. 16</t>
  </si>
  <si>
    <t>ул. Московская, д. 78</t>
  </si>
  <si>
    <t>ул. Склизкова, д. 80</t>
  </si>
  <si>
    <t>ул. Богданова, д. 26/17</t>
  </si>
  <si>
    <t>ул. 15 лет Октября, д. 60</t>
  </si>
  <si>
    <t>ул. Резинстроя, д. 2/7</t>
  </si>
  <si>
    <t>ул. 15 лет Октября, д. 56</t>
  </si>
  <si>
    <t>ул. Спартака, д. 4/2</t>
  </si>
  <si>
    <t>ул. Маршала Буденого, д. 19/1</t>
  </si>
  <si>
    <t>ул. Горького, д. 4А</t>
  </si>
  <si>
    <t>ул. Ипподромная, д. 6Б</t>
  </si>
  <si>
    <t>ул. Хромова, д. 8</t>
  </si>
  <si>
    <t>ул. Паши Савельевой, д. 7</t>
  </si>
  <si>
    <t>ул. Кирова, д. 3А</t>
  </si>
  <si>
    <t>ул. Орджоникидзе, д. 13/26</t>
  </si>
  <si>
    <t>ул. Седова, д. 1Б</t>
  </si>
  <si>
    <t>ул. Орджоникидзе, д. 3</t>
  </si>
  <si>
    <t xml:space="preserve">ул. Новоторжская, д. 7 </t>
  </si>
  <si>
    <t>ул. Строителей, д. 12</t>
  </si>
  <si>
    <t>ул. Богданова, д. 29</t>
  </si>
  <si>
    <t>ул. Королева, д. 4</t>
  </si>
  <si>
    <t>ул. Богданова, д. 33/15</t>
  </si>
  <si>
    <t>ул. Чудова, д. 19</t>
  </si>
  <si>
    <t>ул. Брагина, д. 44</t>
  </si>
  <si>
    <t>ул. Лукина, д. 8</t>
  </si>
  <si>
    <t>ул. Горького, д. 89</t>
  </si>
  <si>
    <t>ул. Склизкова, д. 60</t>
  </si>
  <si>
    <t>ул. Склизкова, д. 54/25</t>
  </si>
  <si>
    <t>ул. Машинистов, д. 3</t>
  </si>
  <si>
    <t>ул. Ржевская, д. 14</t>
  </si>
  <si>
    <t>ул. Тамары Ильиной, д. 9/19</t>
  </si>
  <si>
    <t>ул. Мусоргского, д. 32/32</t>
  </si>
  <si>
    <t>ул. Седова, д. 120Б</t>
  </si>
  <si>
    <t>ул. Королева, д. 16/1</t>
  </si>
  <si>
    <t>ул. Учительская, д. 39</t>
  </si>
  <si>
    <t>ул. Горького, д. 70</t>
  </si>
  <si>
    <t>ул. Склизкова, д. 94</t>
  </si>
  <si>
    <t>ул. Дарвина, д. 2</t>
  </si>
  <si>
    <t>ул. Горького, д. 10</t>
  </si>
  <si>
    <t>ул. Академика Туполева, д. 112/24</t>
  </si>
  <si>
    <t>ул. Маршала Василевского, д. 20</t>
  </si>
  <si>
    <t>ул. Маршала Василевского, д. 18</t>
  </si>
  <si>
    <t>ул. Карла Маркса, д. 5</t>
  </si>
  <si>
    <t>пер. Перекопский, д. 11А</t>
  </si>
  <si>
    <t>пер. Никитина, д. 5</t>
  </si>
  <si>
    <t>пер. Коллективный, д. 6</t>
  </si>
  <si>
    <t>пер. Университетский, д. 3</t>
  </si>
  <si>
    <t>пер. Перекопский, д. 15</t>
  </si>
  <si>
    <t>пер. Артиллерийский, д. 12</t>
  </si>
  <si>
    <t>тер. Двор Пролетарки, д. 43</t>
  </si>
  <si>
    <t>ш. Петербургское, д. 7А</t>
  </si>
  <si>
    <t>б-р Радищева, д. 26</t>
  </si>
  <si>
    <t>б-р Ногина, д. 2</t>
  </si>
  <si>
    <t>б-р Гусева, д. 41</t>
  </si>
  <si>
    <t>б-р Гусева, д. 9</t>
  </si>
  <si>
    <t>б-р Профсоюзов, д. 21</t>
  </si>
  <si>
    <t>б-р Гусева, д. 25</t>
  </si>
  <si>
    <t>б-р Гусева, д. 39</t>
  </si>
  <si>
    <t>б-р Цанова, д. 10</t>
  </si>
  <si>
    <t>б-р Ногина, д. 4</t>
  </si>
  <si>
    <t>п. Химинститута, д. 20</t>
  </si>
  <si>
    <t>п. Химинститута, д. 7</t>
  </si>
  <si>
    <t>п. Химинститута, д. 13</t>
  </si>
  <si>
    <t>п. Химинститута, д. 38</t>
  </si>
  <si>
    <t>п. Химинститута, д. 9</t>
  </si>
  <si>
    <t>п. Химинститута, д. 32</t>
  </si>
  <si>
    <t>п. Литвинки, д. 27</t>
  </si>
  <si>
    <t>ул. Орджоникидзе, д. 46, корп. 4</t>
  </si>
  <si>
    <t>ул. Гвардейская, д. 9, корп. 1</t>
  </si>
  <si>
    <t>ул. 15 лет Октября, д. 62, корп. 1</t>
  </si>
  <si>
    <t>ул. 15 лет Октября, д. 58, корп. 1</t>
  </si>
  <si>
    <t>ул. Севастьянова, д. 7, корп. 1</t>
  </si>
  <si>
    <t>ул. Громова, д. 28, корп. 2</t>
  </si>
  <si>
    <t>ул. Фадеева, д. 34, корп. 1</t>
  </si>
  <si>
    <t>ул. Тамары Ильиной, д. 7, корп. 1</t>
  </si>
  <si>
    <t>ул. Громова, д. 36, корп. 2</t>
  </si>
  <si>
    <t xml:space="preserve">проезд Зеленый, д. 47, корп. 1 </t>
  </si>
  <si>
    <t>ул. Дарвина, д. 4, корп. 1</t>
  </si>
  <si>
    <t>б-р Гусева, д. 45, корп. 1</t>
  </si>
  <si>
    <t>ул. Ипподромная, д. 7, корп. 1</t>
  </si>
  <si>
    <t>проезд Зеленый, д. 47, корп. 2</t>
  </si>
  <si>
    <t>ул. Терещенко, д. 41, корп. 1</t>
  </si>
  <si>
    <t>ул. Благоева, д. 4, корп. 2</t>
  </si>
  <si>
    <t>пер. Смоленский, д. 8, корп. 1</t>
  </si>
  <si>
    <t>ш. Петербургское, д. 50</t>
  </si>
  <si>
    <t>ш. Петербургское, д. 86</t>
  </si>
  <si>
    <t>ш. Петербургское, д. 14, корп. 1</t>
  </si>
  <si>
    <t>ш. Петербургское, д. 60</t>
  </si>
  <si>
    <t>ш. Московское, д. 13</t>
  </si>
  <si>
    <t>ул. Советская, д. 4</t>
  </si>
  <si>
    <t>ул. Энергетиков, д. 31</t>
  </si>
  <si>
    <t>п. Энергетик, д. 2</t>
  </si>
  <si>
    <t>п. Энергетик, д. 4</t>
  </si>
  <si>
    <t>ул. Чехова, д. 11</t>
  </si>
  <si>
    <t>ул. Ленина, д. 54</t>
  </si>
  <si>
    <t>ул. Строителей, д. 7</t>
  </si>
  <si>
    <t>ул. Кузьмина, д. 83</t>
  </si>
  <si>
    <t>ул. Кузьмина, д. 85</t>
  </si>
  <si>
    <t>ул. Чехова, д. 21</t>
  </si>
  <si>
    <t>ул. Пролетарская 6-я, д. 16</t>
  </si>
  <si>
    <t>пр-кт Победы, д. 32/3</t>
  </si>
  <si>
    <t>пр-кт 50 лет Октября, д. 2/19</t>
  </si>
  <si>
    <t>пр-кт Калинина, д. 9</t>
  </si>
  <si>
    <t>пр-кт Ленина, д. 43А</t>
  </si>
  <si>
    <t>пр-кт Чайковского, д. 37</t>
  </si>
  <si>
    <t>пр-кт Ленина, д. 14, корп. 2</t>
  </si>
  <si>
    <t>пр-кт Победы, д. 4А</t>
  </si>
  <si>
    <t>пр-кт Победы, д. 36/46</t>
  </si>
  <si>
    <t>пр-кт Победы, до 22/15</t>
  </si>
  <si>
    <t>пр-кт Октябрьский, д. 69</t>
  </si>
  <si>
    <t>пр-кт Победы, д. 28, корп. 1</t>
  </si>
  <si>
    <t>пр-кт Чайковского, д. 24/2Б</t>
  </si>
  <si>
    <t>пр-кт Победы, д. 38/45</t>
  </si>
  <si>
    <t>пр-кт Ленина, д. 40</t>
  </si>
  <si>
    <t>пр-кт Ленина, д. 43</t>
  </si>
  <si>
    <t>пр-кт Победы, д. 2А</t>
  </si>
  <si>
    <t>тер. Товарный двор, д. 483А</t>
  </si>
  <si>
    <t>ул. Пролетарская 6-я, д. 19</t>
  </si>
  <si>
    <t>проезд Карпинского 1-й, д. 2/60</t>
  </si>
  <si>
    <t>наб. Мигаловская, д. 10А</t>
  </si>
  <si>
    <t>наб. Афанасия Никитина, д. 24</t>
  </si>
  <si>
    <t>тер. Двор Пролетарки, д. 119</t>
  </si>
  <si>
    <t>ул. Советская, д. 3</t>
  </si>
  <si>
    <t>ул. Октябрьская, д. 60</t>
  </si>
  <si>
    <t>ул. Половчени, д. 8</t>
  </si>
  <si>
    <t>мкр. Заозерный, д. 15</t>
  </si>
  <si>
    <t>ш. Куженкинское, д. 47</t>
  </si>
  <si>
    <t>ш. Куженкинское, д. 48</t>
  </si>
  <si>
    <t>ш. Куженкинское, д. 49</t>
  </si>
  <si>
    <t>ул. Дзержинского, д. 44</t>
  </si>
  <si>
    <t>ул. Дзержинского, д. 46</t>
  </si>
  <si>
    <t>ул. Кирова, д. 2</t>
  </si>
  <si>
    <t>ул. Народная, д. 2</t>
  </si>
  <si>
    <t>ул. Народная, д. 3</t>
  </si>
  <si>
    <t>ул. 1-я Социалистическая, д. 1</t>
  </si>
  <si>
    <t>ул. Кирова, д. 53</t>
  </si>
  <si>
    <t>ул. Ленинская, д. 1</t>
  </si>
  <si>
    <t>мкр. Заводской, д. 4</t>
  </si>
  <si>
    <t>мкр. Западный, д. 5</t>
  </si>
  <si>
    <t>д. Корыхново, ул. Советская, д. 1</t>
  </si>
  <si>
    <t>д. Корыхново, ул. Советская, д. 2</t>
  </si>
  <si>
    <t>ул. Комсомолькая, д. 14</t>
  </si>
  <si>
    <t>д. Квакшино, д. 9</t>
  </si>
  <si>
    <t>д. Квакшино, д. 12</t>
  </si>
  <si>
    <t>ж/д ст. Кузьминка, д.  3</t>
  </si>
  <si>
    <t>ул. Декабристов, д. 9</t>
  </si>
  <si>
    <t>д. Радомино, д. 3</t>
  </si>
  <si>
    <t>п. Приволжский, ул. Песочная, д. 2</t>
  </si>
  <si>
    <t>ул. Васильковского, д. 29</t>
  </si>
  <si>
    <t>ул. Баскакова, д. 17</t>
  </si>
  <si>
    <t>ул. Баскакова, д. 19</t>
  </si>
  <si>
    <t>наб. Афанасия Никитина, д. 24А</t>
  </si>
  <si>
    <t>с. Дмитрова Гора, ул. Новая, д. 2</t>
  </si>
  <si>
    <t>ул. Мясникова, д. 36А</t>
  </si>
  <si>
    <t>ул. Базарная, д. 67</t>
  </si>
  <si>
    <t>ул. Октябрьская, д. 11</t>
  </si>
  <si>
    <t>Итого по городское поселение город Лихославль</t>
  </si>
  <si>
    <t>пр-кт Ленина, д. 4</t>
  </si>
  <si>
    <t>ул. Лесная, д. 6А</t>
  </si>
  <si>
    <t>ул. Рябочкина, д. 38А</t>
  </si>
  <si>
    <t>г. Удомля, ул. Автодорожная, д. 2/1</t>
  </si>
  <si>
    <t>ул. Советская, д. 17</t>
  </si>
  <si>
    <t>ул. Кооперативная, д. 7</t>
  </si>
  <si>
    <t>пр-кт Ленина, д. 9</t>
  </si>
  <si>
    <t>пр-кт Ленина, д. 13</t>
  </si>
  <si>
    <t>пр-кт Ленина, д. 7/15</t>
  </si>
  <si>
    <t>ул. Ленина, д. 50/2</t>
  </si>
  <si>
    <t>Итого по городское поселение город Весьегонск</t>
  </si>
  <si>
    <t xml:space="preserve">ремонт фасада
</t>
  </si>
  <si>
    <t>от                       №</t>
  </si>
  <si>
    <t>Краткосрочный план</t>
  </si>
  <si>
    <t>руб/кв. м</t>
  </si>
  <si>
    <t>всего</t>
  </si>
  <si>
    <t>Количество жителей, зарегистрированных в МКД 
на дату утверждения краткосрочного плана</t>
  </si>
  <si>
    <t>Адрес многоквартирного дома 
(далее - МКД)</t>
  </si>
  <si>
    <t>ул. Октябрьская, д. 59</t>
  </si>
  <si>
    <r>
      <t>п. Приволжский, ул. Песочная, д.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Times New Roman"/>
        <family val="1"/>
        <charset val="204"/>
      </rPr>
      <t>2</t>
    </r>
  </si>
  <si>
    <t>с. Ильинское, ул. Мира, д. 1</t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</si>
  <si>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14</t>
    </r>
  </si>
  <si>
    <r>
      <t>ул. Евгения Пичугина, д. 21,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</si>
  <si>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19, корп. 2</t>
    </r>
  </si>
  <si>
    <r>
      <t>ул. Паши Савельевой, д. 39,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</si>
  <si>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t>ул. Скворцова-Степанова, д. 10</t>
  </si>
  <si>
    <t>ул. Паши Савельевой, д. 39, корп. 3</t>
  </si>
  <si>
    <t>с. Погорелое Городище, ул. Советская, д. 6</t>
  </si>
  <si>
    <t>с. Дмитрова Гора, ул. Новая, д. 2</t>
  </si>
  <si>
    <r>
      <t>ул. Евгения Пичугина, д. 21, корп.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</t>
    </r>
  </si>
  <si>
    <r>
      <t>ул. Екатерины Фарафоновой,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37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</si>
  <si>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14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</si>
  <si>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19, корп. 2</t>
    </r>
  </si>
  <si>
    <r>
      <t>с. Погорелое Городище, ул.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Советская, д. 6</t>
    </r>
  </si>
  <si>
    <t>Стоимость капитального ремонта,
всего</t>
  </si>
  <si>
    <t>Общая площадь МКД, 
всего</t>
  </si>
  <si>
    <t>проезд Карпинского 1-й, д. 4</t>
  </si>
  <si>
    <t>проезд Розы Люксембург 1-й, д. 6</t>
  </si>
  <si>
    <t>ул. Грибоедова 2-я, д. 8/1</t>
  </si>
  <si>
    <t>ул. Пролетарская 6-я, д. 17</t>
  </si>
  <si>
    <t>реализации в 2016 году региональной программы по проведению капитального ремонта общего имущества</t>
  </si>
  <si>
    <t>в многоквартирных домах на территории Тверской области на 2014-2043 годы</t>
  </si>
  <si>
    <t>хвс</t>
  </si>
  <si>
    <t>гвс</t>
  </si>
  <si>
    <t>пр-кт Победы, д. 22/15</t>
  </si>
  <si>
    <t>ул. Артюхиной, д. 7</t>
  </si>
  <si>
    <t>за счет средств областного бюджета Тверской области</t>
  </si>
  <si>
    <t>ул. Прядильщиков, д. 2а</t>
  </si>
  <si>
    <t>Кирпичные</t>
  </si>
  <si>
    <t xml:space="preserve">2018 год </t>
  </si>
  <si>
    <t>Дачный пер., д. 2</t>
  </si>
  <si>
    <t xml:space="preserve">2019 год </t>
  </si>
  <si>
    <t>ул. Прядильщиков, д. 4а</t>
  </si>
  <si>
    <t>ул. Красноармейская, д. 11</t>
  </si>
  <si>
    <t>ул. Лизы Чайкиной, д. 32Б</t>
  </si>
  <si>
    <t>ул. Парковая, д. 3</t>
  </si>
  <si>
    <t>ул. Ленина, д. 13</t>
  </si>
  <si>
    <t>ул. Октябрьская, д. 10/5</t>
  </si>
  <si>
    <t>ул. Октябрьская, д. 4</t>
  </si>
  <si>
    <t>ул. Доватора, д. 8</t>
  </si>
  <si>
    <t>ул. Доватора, д. 11</t>
  </si>
  <si>
    <t>ул. Заводская, д. 8</t>
  </si>
  <si>
    <t>ул. 50 лет Октября, д. 1</t>
  </si>
  <si>
    <t>ул. Заречная, д. 3</t>
  </si>
  <si>
    <t>ул. Бежецкая, д. 18</t>
  </si>
  <si>
    <t>ул. Советская, д. 68</t>
  </si>
  <si>
    <t>ул. Пионерская, д. 30</t>
  </si>
  <si>
    <t>ул. Бежецкая, д. 20</t>
  </si>
  <si>
    <t>ул. Комсомольская, д. 86</t>
  </si>
  <si>
    <t>ул. Бежецкая, д. 32</t>
  </si>
  <si>
    <t>ул. Советская, д. 20А</t>
  </si>
  <si>
    <t>ул. Советская, д. 62</t>
  </si>
  <si>
    <t xml:space="preserve"> ул. Советская, д. 20</t>
  </si>
  <si>
    <t xml:space="preserve"> ул. Октябрьская, д. 52</t>
  </si>
  <si>
    <t xml:space="preserve"> ул. Комсомольская, д. 121</t>
  </si>
  <si>
    <t>пл. 1 Мая, д. 1</t>
  </si>
  <si>
    <t>ул. Гоголя, д. 4</t>
  </si>
  <si>
    <t>ул. Ст. Торопец, д. 20</t>
  </si>
  <si>
    <t>пер. Строителей, д. 1</t>
  </si>
  <si>
    <t>ул. Правды, д. 8</t>
  </si>
  <si>
    <t>ул. Ленина, д. 50</t>
  </si>
  <si>
    <t>г. Удомля, пр-кт Энергетиков, д. 10</t>
  </si>
  <si>
    <t>г. Удомля, ул. Автодорожная, д. 7</t>
  </si>
  <si>
    <t>г. Удомля, ул. Левитана, д. 5</t>
  </si>
  <si>
    <t>г. Удомля, ул. Автодорожная, д. 9</t>
  </si>
  <si>
    <t>г. Удомля, ул. Венецианова, д. 5а</t>
  </si>
  <si>
    <t>г. Удомля, ул. Александрова, д. 9</t>
  </si>
  <si>
    <t>г. Удомля, пр-т Энергетиков, д. 3</t>
  </si>
  <si>
    <t>г. Удомля, пр-т Энергетиков, д. 4а</t>
  </si>
  <si>
    <t>г. Удомля, ул. Энтузиастов, д. 28</t>
  </si>
  <si>
    <t>г. Удомля, ул. Автодорожная, д. 7а</t>
  </si>
  <si>
    <t>г. Удомля, ул. Попова, д. 17</t>
  </si>
  <si>
    <t>г. Удомля, ул. Левитана, д. 3</t>
  </si>
  <si>
    <t>г. Удомля, ул. Энтузиастов, д. 6/3</t>
  </si>
  <si>
    <t>г. Удомля, ул. Энтузиастов, д. 10</t>
  </si>
  <si>
    <t>г. Удомля, ул. Венецианова, д. 7а</t>
  </si>
  <si>
    <t>г. Удомля, ул. Энтузиастов, д. 8</t>
  </si>
  <si>
    <t>г. Удомля, пр-т Энергетиков, д. 5а</t>
  </si>
  <si>
    <t>г. Удомля, пер. Автодорожный, д. 3а</t>
  </si>
  <si>
    <t>г. Удомля, пр-т Энергетиков, д. 8</t>
  </si>
  <si>
    <t>г. Удомля, ул. Энтузиастов, д. 6/1</t>
  </si>
  <si>
    <t>г. Удомля, пр-т Энергетиков, д. 6</t>
  </si>
  <si>
    <t>г. Удомля, пр-т Энергетиков, д. 4</t>
  </si>
  <si>
    <t>г. Удомля, пр-т Энергетиков, д. 12</t>
  </si>
  <si>
    <t>г. Торжок, ул. Красноармейская, д.44</t>
  </si>
  <si>
    <t>г. Торжок, ул. М.Горького, д.59</t>
  </si>
  <si>
    <t>г. Торжок, Ленинградское шоссе, д.16</t>
  </si>
  <si>
    <t>г. Торжок, Ленинградское шоссе, д.87б</t>
  </si>
  <si>
    <t>г. Торжок, Ленинградское шоссе, д.87в</t>
  </si>
  <si>
    <t>г. Торжок, ул. Падерина, д.3</t>
  </si>
  <si>
    <t>г. Торжок, пер. Железнодорожный, д. 9</t>
  </si>
  <si>
    <t>г. Торжок, ул. М. Горького, д.38</t>
  </si>
  <si>
    <t>г. Торжок, ул. М.Горького, д.45</t>
  </si>
  <si>
    <t>шлак</t>
  </si>
  <si>
    <t>г. Торжок, ул. Дзержинского, д.52</t>
  </si>
  <si>
    <t>г. Торжок, ул. Красноармейская, д.48</t>
  </si>
  <si>
    <t>г. Торжок, ул. Падерина, д.5</t>
  </si>
  <si>
    <t>г. Торжок, ул. Володарского, д.49а</t>
  </si>
  <si>
    <t>г. Торжок, Ленинградское шоссе, д.41</t>
  </si>
  <si>
    <t>г. Торжок, Зеленый городок, д.7б</t>
  </si>
  <si>
    <t>г. Торжок, Ленинградское шоссе, д.85б</t>
  </si>
  <si>
    <t>г. Торжок, ул. Мира, д.46</t>
  </si>
  <si>
    <t>г. Торжок, ул. Энгельса, д.8</t>
  </si>
  <si>
    <t>Деревянные, кирпичные</t>
  </si>
  <si>
    <t>электроснабжения</t>
  </si>
  <si>
    <t>теплоснабжения</t>
  </si>
  <si>
    <t>газоснабжения</t>
  </si>
  <si>
    <t>холодного водоснабжения</t>
  </si>
  <si>
    <t>горячего водоснабжения</t>
  </si>
  <si>
    <t>водоотведения</t>
  </si>
  <si>
    <t>установка коллективных (общедомовых) приборов учета и узлов управления</t>
  </si>
  <si>
    <t>Итого</t>
  </si>
  <si>
    <t>ремонт фундамента</t>
  </si>
  <si>
    <t>Виды, установленные нормативным правовым актом субъекта РФ:</t>
  </si>
  <si>
    <t>ремонт внутридомовых инженерных систем</t>
  </si>
  <si>
    <t>Ленинградское шоссе, д.87в</t>
  </si>
  <si>
    <t>ул. Красноармейская, д.44</t>
  </si>
  <si>
    <t>ул. М.Горького, д.59</t>
  </si>
  <si>
    <t>Ленинградское шоссе, д.16</t>
  </si>
  <si>
    <t>Ленинградское шоссе, д.87б</t>
  </si>
  <si>
    <t>ул. Падерина, д.3</t>
  </si>
  <si>
    <t>пер. Железнодорожный, д. 9</t>
  </si>
  <si>
    <t>ул. М. Горького, д.38</t>
  </si>
  <si>
    <t>ул. М.Горького, д.45</t>
  </si>
  <si>
    <t>пр-т Энергетиков, д. 5а</t>
  </si>
  <si>
    <t>пер. Автодорожный, д. 3а</t>
  </si>
  <si>
    <t>пр-т Энергетиков, д. 8</t>
  </si>
  <si>
    <t>ул. Энтузиастов, д. 6/1</t>
  </si>
  <si>
    <t>пр-т Энергетиков, д. 6</t>
  </si>
  <si>
    <t>пр-т Энергетиков, д. 4</t>
  </si>
  <si>
    <t>пр-т Энергетиков, д. 12</t>
  </si>
  <si>
    <t>кровля 3342,75</t>
  </si>
  <si>
    <t>ул. Дзержинского, д.52</t>
  </si>
  <si>
    <t>ул. Красноармейская, д.48</t>
  </si>
  <si>
    <t>ул. Падерина, д.5</t>
  </si>
  <si>
    <t>ул. Володарского, д.49а</t>
  </si>
  <si>
    <t>Ленинградское шоссе, д.41</t>
  </si>
  <si>
    <t>Зеленый городок, д.7б</t>
  </si>
  <si>
    <t>Ленинградское шоссе, д.85б</t>
  </si>
  <si>
    <t>ул. Мира, д.46</t>
  </si>
  <si>
    <t>ул. Энгельса, д.8</t>
  </si>
  <si>
    <t>Итого пр Терелесовское сельское поселение</t>
  </si>
  <si>
    <t>Итого по городское поселение поселок Жарковский</t>
  </si>
  <si>
    <t>Итого пео городское поселение поселок Орша</t>
  </si>
  <si>
    <t>Итого по Эмаусское сельское поселение</t>
  </si>
  <si>
    <t>Итого по тгородское поселение город Кувшиново</t>
  </si>
  <si>
    <t>фасад  1600,33</t>
  </si>
  <si>
    <t>ул. Комсомольская, д. 14</t>
  </si>
  <si>
    <t>Итого по городское поселение поселок Новозавидовский</t>
  </si>
  <si>
    <t>ул. Юбилейная, д. 8</t>
  </si>
  <si>
    <t xml:space="preserve"> ул. Гоголя, д. 4</t>
  </si>
  <si>
    <t xml:space="preserve"> ул. Ст. Торопец, д. 20</t>
  </si>
  <si>
    <t>ул. Бежецкая. Д.20</t>
  </si>
  <si>
    <t>пер. Маяковского, д. 7</t>
  </si>
  <si>
    <t>пер. Маяковского, д. 8</t>
  </si>
  <si>
    <t>1971</t>
  </si>
  <si>
    <t>1969</t>
  </si>
  <si>
    <t>пер. Маяковского, д. 5</t>
  </si>
  <si>
    <t>1973</t>
  </si>
  <si>
    <t>1956</t>
  </si>
  <si>
    <t>газоснабжение</t>
  </si>
  <si>
    <t>тепло</t>
  </si>
  <si>
    <t>водоотв.</t>
  </si>
  <si>
    <t>ул. Городище, д. 1</t>
  </si>
  <si>
    <t>ул. Адмирала Октябрьского, д. 61</t>
  </si>
  <si>
    <t>ул. Карла Маркса, д. 61</t>
  </si>
  <si>
    <t>ул. Карла Маркса, д. 63</t>
  </si>
  <si>
    <t>ул. Адмирала Октябрьского, д. 70</t>
  </si>
  <si>
    <t>ул. Адмирала Октябрьского, д. 70а</t>
  </si>
  <si>
    <t>ул. Ленина, д. 14</t>
  </si>
  <si>
    <t>ул. Ленина, д. 14а</t>
  </si>
  <si>
    <t>ул. Пушкина, д. 12</t>
  </si>
  <si>
    <t>ул. Карла Маркса, д. 79</t>
  </si>
  <si>
    <t>ул. Пушкина, д. 5</t>
  </si>
  <si>
    <t>ул. Советская, д. 65а</t>
  </si>
  <si>
    <t>ул. Театральная, д. 3</t>
  </si>
  <si>
    <t>ул. Театральная, д. 11</t>
  </si>
  <si>
    <t>ул. Гагарина, д. 17</t>
  </si>
  <si>
    <t>ул. Театральная, д. 8</t>
  </si>
  <si>
    <t>ул. Октябрьская, д. 56</t>
  </si>
  <si>
    <t>ул. Кленовая, д. 19</t>
  </si>
  <si>
    <t>ул. Кленовая, д. 4</t>
  </si>
  <si>
    <t>пл. Гвардейская, д. 9</t>
  </si>
  <si>
    <t>ул. Половчени, д. 5а</t>
  </si>
  <si>
    <t>Итого по Мошковское сельское поселение</t>
  </si>
  <si>
    <t>д. Мошки, д. 36</t>
  </si>
  <si>
    <t>Итого по Яконовское сельское поселение</t>
  </si>
  <si>
    <t>с. Яконово, ул. Поселковая, д. 1</t>
  </si>
  <si>
    <t>Итого по Высоковское сельское поселение</t>
  </si>
  <si>
    <t>п. Высокое, ул. Советская, д. 16</t>
  </si>
  <si>
    <t>Итого по Пироговское сельское поселение</t>
  </si>
  <si>
    <t>д. Пирогово, ул. Надежды, д. 1</t>
  </si>
  <si>
    <t>Итого по Марьинское сельское поселение</t>
  </si>
  <si>
    <t>п. Зеленый, д. 19</t>
  </si>
  <si>
    <t>Итого по Масловское сельское поселение</t>
  </si>
  <si>
    <t>д. Селихово, ул. Новая, д. 2</t>
  </si>
  <si>
    <t>Итого по Речанское сельское поселение</t>
  </si>
  <si>
    <t>д. Лесная, д. 3</t>
  </si>
  <si>
    <t>д. Лесная, д. 2</t>
  </si>
  <si>
    <t>д. Лесная, л. 2</t>
  </si>
  <si>
    <t>ул. Кириллова, д. 14</t>
  </si>
  <si>
    <t>щитовые</t>
  </si>
  <si>
    <t>ул. Кириллова, д. 2</t>
  </si>
  <si>
    <t>ул. Кропоткина, д. 10</t>
  </si>
  <si>
    <t>Ржевский район</t>
  </si>
  <si>
    <t>Итого по сельское поселение  "Победа"</t>
  </si>
  <si>
    <t>д. Леонтьево, д. 26</t>
  </si>
  <si>
    <t>Итого по сельское поселение "Итомля"</t>
  </si>
  <si>
    <t>д. Итомля, ул. Школьная, д. 40</t>
  </si>
  <si>
    <t>д. Итомля, ул. Школьная, д. 41</t>
  </si>
  <si>
    <t>Итого по сельское поселение "Есинка"</t>
  </si>
  <si>
    <t>д. Домашино, Библиотечный пер., д. 112</t>
  </si>
  <si>
    <t>д. Домашино, Библиотечный пер.,      д. 112</t>
  </si>
  <si>
    <t>Итого по сельское поселение "Победа"</t>
  </si>
  <si>
    <t>п. Эммаусс, д. 7</t>
  </si>
  <si>
    <t>п. Эммаусс, д. 18</t>
  </si>
  <si>
    <t>блочные</t>
  </si>
  <si>
    <t>п. Эммаусс, д. 33</t>
  </si>
  <si>
    <t>Сонковский район</t>
  </si>
  <si>
    <t>пгт Сонково, ул. Красноармейская, д. 35</t>
  </si>
  <si>
    <t>брусчатые</t>
  </si>
  <si>
    <t>пгт Сонково, ул. Сельхозтехника, д. 1а</t>
  </si>
  <si>
    <t>Итого по городское поселение поселок Сонково</t>
  </si>
  <si>
    <t>Итого по городское поселение поселок Радченко</t>
  </si>
  <si>
    <t>п. Радченко, д. 12</t>
  </si>
  <si>
    <t>п. Радченко, д. 49</t>
  </si>
  <si>
    <t>п. Радченко, д. 48</t>
  </si>
  <si>
    <t>ул. Лесная, д. 9</t>
  </si>
  <si>
    <t>ул. Лесная, д. 18</t>
  </si>
  <si>
    <t>ул. Лесная, д. 6</t>
  </si>
  <si>
    <t xml:space="preserve">ул. Пионерская, д. 14 </t>
  </si>
  <si>
    <t>ул. Микрорайон, д. 6</t>
  </si>
  <si>
    <t xml:space="preserve">ул. Ст. Разина, д. 2а </t>
  </si>
  <si>
    <t>ул. Пушкина, д. 52</t>
  </si>
  <si>
    <t xml:space="preserve">ул. Пушкина, д. 52 </t>
  </si>
  <si>
    <t>с. Завидово, ул. Школьная, д. 4</t>
  </si>
  <si>
    <t>с. Завидово, ул. Школьная, д. 5</t>
  </si>
  <si>
    <t>д. Мокшино, ул. Солнечная, д. 3</t>
  </si>
  <si>
    <t>д. Мокшино, ул. Ленинградская д. 2</t>
  </si>
  <si>
    <t>д. Мокшино, ул. Ленинградская д. 2</t>
  </si>
  <si>
    <t>д. Мокшино, ул. Солнечная, д. 3</t>
  </si>
  <si>
    <t>ул. Кооперативная, д. 22</t>
  </si>
  <si>
    <t>ул. Кооперативная, д. 5</t>
  </si>
  <si>
    <t>Итого по Горняцкое сельское поселение</t>
  </si>
  <si>
    <t>п. Белый Омут, ул. Советская, д. 3</t>
  </si>
  <si>
    <t>п. Белый Омут,  ул. Советская, д. 2</t>
  </si>
  <si>
    <t>п. Белый Омут, ул. Советская, д. 1</t>
  </si>
  <si>
    <t>п. Белый Омут, ул. Советская, д. 2</t>
  </si>
  <si>
    <t>п. Солнечный, ул. Центральная, д. 5</t>
  </si>
  <si>
    <t>п. Солнечный, ул. Молодежная, д. 4</t>
  </si>
  <si>
    <r>
      <t>п. Солнечный, ул. Центральная, д.</t>
    </r>
    <r>
      <rPr>
        <sz val="11"/>
        <color theme="1"/>
        <rFont val="Calibri"/>
        <family val="2"/>
        <charset val="204"/>
      </rPr>
      <t> 5</t>
    </r>
  </si>
  <si>
    <r>
      <t>п. Солнечный, ул. Молодежная, д.</t>
    </r>
    <r>
      <rPr>
        <sz val="11"/>
        <color theme="1"/>
        <rFont val="Calibri"/>
        <family val="2"/>
        <charset val="204"/>
      </rPr>
      <t> 4</t>
    </r>
  </si>
  <si>
    <t xml:space="preserve">п. Озерки, ул. Локомотивная, д. 5 </t>
  </si>
  <si>
    <t>п. Озерки, ул. Школьная, д. 3</t>
  </si>
  <si>
    <t>п. Изоплит, ул. Пионерская, д. 2</t>
  </si>
  <si>
    <t>каркасно-засыпные</t>
  </si>
  <si>
    <t>п. Озерки, проезд Железнодорожный, д. 3</t>
  </si>
  <si>
    <t>п. Изоплит, ул. Пионерская, д. 12</t>
  </si>
  <si>
    <t>ул. Гагарина, д. 37</t>
  </si>
  <si>
    <t xml:space="preserve">ул. Карла Маркса, д. 25 </t>
  </si>
  <si>
    <t>ул. Лихославльская, дом тяговой подстанции</t>
  </si>
  <si>
    <t>ул. Лихославльская, д. 30 МПС</t>
  </si>
  <si>
    <t xml:space="preserve">ул. Разъезжая, д. 12 </t>
  </si>
  <si>
    <t>ул. Бежецкая, д. 25</t>
  </si>
  <si>
    <t xml:space="preserve">ул. Красноармейская, д. 4А </t>
  </si>
  <si>
    <t xml:space="preserve">ул. Первомайская, д. 14 </t>
  </si>
  <si>
    <t>пер. Привокзальный, д. 5</t>
  </si>
  <si>
    <t>пер. Театральный, д. 1</t>
  </si>
  <si>
    <t xml:space="preserve">ул. Школьная, д. 4 </t>
  </si>
  <si>
    <t>до 1918</t>
  </si>
  <si>
    <t>пос. Льнозавод, д. 26</t>
  </si>
  <si>
    <t>ул. Первомайская, д. 27</t>
  </si>
  <si>
    <t>ул. Советская, д. 33 МПС</t>
  </si>
  <si>
    <t>ул. Юбилейная, д. 2</t>
  </si>
  <si>
    <t>ул. Юбилейная, д. РСУ</t>
  </si>
  <si>
    <t>подвал   1012,19</t>
  </si>
  <si>
    <t>ул. Академическая, д. 5</t>
  </si>
  <si>
    <t>ул. Диева, д. 25</t>
  </si>
  <si>
    <t>ул. Фадеева, д. 3</t>
  </si>
  <si>
    <t>ул. Гагарина, д. 7</t>
  </si>
  <si>
    <t>ул. Академическая, дом 9</t>
  </si>
  <si>
    <t>ул. Академическая, дом 10</t>
  </si>
  <si>
    <t>ул. Геофизиков, дом 7</t>
  </si>
  <si>
    <t>ул. Геофизиков, дом 2</t>
  </si>
  <si>
    <t>пр-кт Химиков, д. 41</t>
  </si>
  <si>
    <t>ул. Гагарина, д. 11</t>
  </si>
  <si>
    <t>ул. Гагарина, д. 12</t>
  </si>
  <si>
    <t>ул. Ленинградская, д. 21</t>
  </si>
  <si>
    <t>ул. Труда, д. 10</t>
  </si>
  <si>
    <t>панельные</t>
  </si>
  <si>
    <t>монолитные</t>
  </si>
  <si>
    <t>ул. Московская, д. 15</t>
  </si>
  <si>
    <t>ул. Московская, д. 17</t>
  </si>
  <si>
    <t>ул. Александрова, д. 10</t>
  </si>
  <si>
    <t>ул. Ленинградская, д. 16</t>
  </si>
  <si>
    <t>ул. Киевская, д. 13</t>
  </si>
  <si>
    <t>ул. Ленинградская, д. 20</t>
  </si>
  <si>
    <t>ул. Труда, д. 6</t>
  </si>
  <si>
    <t>ул. Горького, д. 3а</t>
  </si>
  <si>
    <t>ул. Энергетиков, д. 16</t>
  </si>
  <si>
    <t>ул. Энергетиков, д. 18</t>
  </si>
  <si>
    <t>ул. Горького, д. 8</t>
  </si>
  <si>
    <t>пр. Ленина, д. 38</t>
  </si>
  <si>
    <t>ул. Учебная, д. 5</t>
  </si>
  <si>
    <t>ул. Баскакова, д. 31</t>
  </si>
  <si>
    <t>ул. Баскакова, д. 21</t>
  </si>
  <si>
    <t>ул. Баскакова, д. 11</t>
  </si>
  <si>
    <t>ул. Гагарина, д. 33</t>
  </si>
  <si>
    <t>ул. Набережная Волги, д. 40</t>
  </si>
  <si>
    <t>Торговый проезд, д. 1</t>
  </si>
  <si>
    <t>Торговый проезд, д. 2</t>
  </si>
  <si>
    <t>ул. Баскакова, д. 1</t>
  </si>
  <si>
    <t>ул. Гагарина, д. 5</t>
  </si>
  <si>
    <t>ул. Гагарина, д. 6</t>
  </si>
  <si>
    <t>ул. Гагарина, д. 16</t>
  </si>
  <si>
    <t>ул. Энергетиков, д. 8</t>
  </si>
  <si>
    <t>ул. Энергетиков, д. 10</t>
  </si>
  <si>
    <t>ул. Энергетиков, д. 11</t>
  </si>
  <si>
    <t>ул. Энергетиков, д. 27</t>
  </si>
  <si>
    <t>ул. Энергетиков, д. 34</t>
  </si>
  <si>
    <t>пр. Ленина, д. 4</t>
  </si>
  <si>
    <t>пр. Ленина, д. 12</t>
  </si>
  <si>
    <t>ул. Радищева, д. 1</t>
  </si>
  <si>
    <t>ул. П. Морозова, д. 28</t>
  </si>
  <si>
    <t>ул. Кирова, д. 8</t>
  </si>
  <si>
    <t>ул. Садово-Набережная, д. 3</t>
  </si>
  <si>
    <t>ул. Советская, д. 11</t>
  </si>
  <si>
    <t>ул. Советская, д. 19</t>
  </si>
  <si>
    <t>ул. Мира, д. 9</t>
  </si>
  <si>
    <t>ул. Советская, д. 22</t>
  </si>
  <si>
    <t>Селижаровский проезд, 8</t>
  </si>
  <si>
    <t>Осташковский проезд, 3</t>
  </si>
  <si>
    <t>шлакозаливные</t>
  </si>
  <si>
    <t>ул. Тертия Филиппова, 86а</t>
  </si>
  <si>
    <t>ул. Карла Маркса, 20/16</t>
  </si>
  <si>
    <t>ул. Садовая, 20/30</t>
  </si>
  <si>
    <t>ул. Большая Спасская, 18/50</t>
  </si>
  <si>
    <t>ул. Чернышевского, 19</t>
  </si>
  <si>
    <t>ул. Большая Спасская, 15</t>
  </si>
  <si>
    <t>ул. Садовая, 18а</t>
  </si>
  <si>
    <t>ул. Карла Маркса, 14</t>
  </si>
  <si>
    <t>пос. Нижний Бор,7</t>
  </si>
  <si>
    <t>ул. Мира, 2</t>
  </si>
  <si>
    <t>ул. Торопецкий тракт, д. 5</t>
  </si>
  <si>
    <t>ул. Чернышевского, 10а</t>
  </si>
  <si>
    <t>ул. Большевистская, д. 9/16</t>
  </si>
  <si>
    <t>ул. Тимирязева, д. 32</t>
  </si>
  <si>
    <t>ул. Челюскинцев, д. 17</t>
  </si>
  <si>
    <t>ул. Гагарина, д. 160</t>
  </si>
  <si>
    <t>ул. Кирова, д. 39а</t>
  </si>
  <si>
    <t>ул. Школьная, д. 6</t>
  </si>
  <si>
    <t>Рабочая пл., д. 8</t>
  </si>
  <si>
    <t>ул. Железнодорожная, д.11</t>
  </si>
  <si>
    <t>ул. Кирова, д. 25</t>
  </si>
  <si>
    <t>п. Академический, ул. Пионерская, д. 4 </t>
  </si>
  <si>
    <t>п. Академический, ул. Фабричная, д. 3 </t>
  </si>
  <si>
    <t>п. Академический, ул. Пионерская, д. 11 </t>
  </si>
  <si>
    <t>п. Академический, ул. Пионерская, д. 3</t>
  </si>
  <si>
    <t>п. Академический, ул. Пионерская, д. 11 </t>
  </si>
  <si>
    <t>п. Академический, ул. Пионерская, д. 3</t>
  </si>
  <si>
    <t>п. Академический, ул. Фабричная, д. 3 </t>
  </si>
  <si>
    <t>п. Академический, ул. Пионерская, д. 4 </t>
  </si>
  <si>
    <t>Итого по Вескинское сельское поселение</t>
  </si>
  <si>
    <t>д. Вески, ул. Боровикова, д. 3</t>
  </si>
  <si>
    <t>п. Осиновая Гряда, д. 14</t>
  </si>
  <si>
    <t>д. Вески, ул. Боровикова, д.3</t>
  </si>
  <si>
    <t>п. Терелесовский, ул. Центральная, д. 11/8</t>
  </si>
  <si>
    <t>п. Терелесовский, ул. Центральная, д. 11/8</t>
  </si>
  <si>
    <t>г. Бежецк, наб. рядового Николаева, д. 13</t>
  </si>
  <si>
    <t>г. Бежецк, пер. Остречинский, д. 15</t>
  </si>
  <si>
    <t>г. Бежецк, ул. М.И. Кузнецова, д. 8</t>
  </si>
  <si>
    <t>г. Бежецк, ул. Нечаева, д. 30</t>
  </si>
  <si>
    <t>городское поселение - г. Бежецк, д. Ивановское, ул. 1-ая, д. 39а</t>
  </si>
  <si>
    <t>г. Бежецк, ул. Нечаева, д. 2/7</t>
  </si>
  <si>
    <t>г. Бежецк, ул. Песочная, д. 4</t>
  </si>
  <si>
    <t>г. Бежецк, ул. Чехова, д. 7</t>
  </si>
  <si>
    <t>г. Бежецк, пер. Остречинский, д. 17</t>
  </si>
  <si>
    <t>г. Бежецк, ул. Энергетическая, д. 3</t>
  </si>
  <si>
    <t>Шлакоблочные</t>
  </si>
  <si>
    <t>Бревенчатые</t>
  </si>
  <si>
    <t>г. Бежецк, ул. Заводская, д. 4</t>
  </si>
  <si>
    <t>г. Бежецк, ул. М.И. Кузнецова, д. 16</t>
  </si>
  <si>
    <t>г. Бежецк, ул. Инженерная, д. 3</t>
  </si>
  <si>
    <t>г. Бежецк, ул. Инженерная, д. 6</t>
  </si>
  <si>
    <t>г. Бежецк, ул. Л. Толстого, д. 18</t>
  </si>
  <si>
    <t>каркасно-щитовые</t>
  </si>
  <si>
    <t>г. Бежецк, ул. Л. Толстого, д. 4</t>
  </si>
  <si>
    <t>г. Бежецк, ул. Остречинская, д. 4</t>
  </si>
  <si>
    <t>г. Бежецк, ул. Песочная, д. 10</t>
  </si>
  <si>
    <t>Крупнопанельные</t>
  </si>
  <si>
    <t>ул. Красноармейская, д. 35</t>
  </si>
  <si>
    <t>ул. Тургенева, д. 19</t>
  </si>
  <si>
    <t>ул. Ленина, д. 39а</t>
  </si>
  <si>
    <t>ул. Коминтерна, д. 47/21</t>
  </si>
  <si>
    <t>ул. Декабристов, д. 3а</t>
  </si>
  <si>
    <t>ул. Школьная, д. 39</t>
  </si>
  <si>
    <t>ул. Володарского, д. 7</t>
  </si>
  <si>
    <t>ул. Коминтерна, д. 2/26</t>
  </si>
  <si>
    <t>ул. Дзержинского, д. 17а</t>
  </si>
  <si>
    <t>ул. Шорина, д. 20а</t>
  </si>
  <si>
    <t>ул. Декабристов, д. 7</t>
  </si>
  <si>
    <t>ул. Коммунистическая, д. 18</t>
  </si>
  <si>
    <t>ул. Володарского, д. 8</t>
  </si>
  <si>
    <t>ул. Центральная, д. 5</t>
  </si>
  <si>
    <t>ул. Коминтерна, д. 39</t>
  </si>
  <si>
    <t>ул. Коминтерна, д. 69/26</t>
  </si>
  <si>
    <t>ул. Коминтерна, д. 63/15</t>
  </si>
  <si>
    <t>ул. Школьная, д. 40</t>
  </si>
  <si>
    <t>ул. Школьная, д. 44</t>
  </si>
  <si>
    <t>ул. Коминтерна, д. 62/26</t>
  </si>
  <si>
    <t>ул. Коминтерна, д. 65/14</t>
  </si>
  <si>
    <t>ул. Студенческая, д. 12а</t>
  </si>
  <si>
    <t>ул. Волжская, д. 41</t>
  </si>
  <si>
    <t>лифт</t>
  </si>
  <si>
    <t>д. Афимьино, ул. Мира, д. 2</t>
  </si>
  <si>
    <t>бетонные</t>
  </si>
  <si>
    <t>Итого по Холохоленское сельское поселение</t>
  </si>
  <si>
    <t>д. Афимьино, ул. Мира, д. 1</t>
  </si>
  <si>
    <t>Итого по Терелесовское сельское поселение</t>
  </si>
  <si>
    <t>Итого по ЗАТО Солнечный</t>
  </si>
  <si>
    <t>ул. Новая, д. 26</t>
  </si>
  <si>
    <t>ул. Новая, д. 27</t>
  </si>
  <si>
    <t>ул. Новая, д. 28</t>
  </si>
  <si>
    <t>ул. Новая, д. 29</t>
  </si>
  <si>
    <t>ул. Новая, д. 30</t>
  </si>
  <si>
    <t>ул. Кирова, д. 29</t>
  </si>
  <si>
    <t>ул. Фадеева, д. 29</t>
  </si>
  <si>
    <t>Типографский пер., д. 5</t>
  </si>
  <si>
    <t>Садовый пер., д. 5</t>
  </si>
  <si>
    <t>1997</t>
  </si>
  <si>
    <t>1963</t>
  </si>
  <si>
    <t>1977</t>
  </si>
  <si>
    <t>1962</t>
  </si>
  <si>
    <t>ул. Горького, д. 6</t>
  </si>
  <si>
    <t>1974</t>
  </si>
  <si>
    <t>ул. Мира, д. 70</t>
  </si>
  <si>
    <t>1989</t>
  </si>
  <si>
    <t>Итого по Верхнетроицкое сельское поселение</t>
  </si>
  <si>
    <t>д. Верхняя Троица, ул. Молодежная, д. 3</t>
  </si>
  <si>
    <t>д. Тетьково, д. 63</t>
  </si>
  <si>
    <t>д. Тетьково, д. 39</t>
  </si>
  <si>
    <t>д. Верхняя Троица, ул. Мира, д. 2</t>
  </si>
  <si>
    <t>пер. 1-й Путейский, д. 24</t>
  </si>
  <si>
    <t>ул. Володарского, д. 177</t>
  </si>
  <si>
    <t>ул. Загородная, д. 16</t>
  </si>
  <si>
    <t>ул. Ленина, д. 3</t>
  </si>
  <si>
    <t>ул. Ленина, д. 5</t>
  </si>
  <si>
    <t>ул. Ленина, д. 7</t>
  </si>
  <si>
    <t>ул. Ленина, д. 8</t>
  </si>
  <si>
    <t>ул. Ленина, д. 9</t>
  </si>
  <si>
    <t>ул. Ленина, д. 10</t>
  </si>
  <si>
    <t>ул. Ленина, д. 11</t>
  </si>
  <si>
    <t>ул. Ленина, д. 12</t>
  </si>
  <si>
    <t>ул. Ленина, д. 16</t>
  </si>
  <si>
    <t>ул. Строителей, д. 8</t>
  </si>
  <si>
    <t>ул. Строителей, д. 14</t>
  </si>
  <si>
    <t>ул. Строителей, д. 18</t>
  </si>
  <si>
    <t>ул. Строителей, д. 22</t>
  </si>
  <si>
    <t>ул. Строителей, д. 26</t>
  </si>
  <si>
    <t>ул.С. Козлова, д. 1</t>
  </si>
  <si>
    <t>ул.С. Козлова, д. 3</t>
  </si>
  <si>
    <t>ул.С. Козлова, д. 5</t>
  </si>
  <si>
    <t>ул. Советская, д. 1</t>
  </si>
  <si>
    <t>ул. Советская, д. 2</t>
  </si>
  <si>
    <t>ул. Советская, д. 6</t>
  </si>
  <si>
    <t>ул. Солнечная, д. 1</t>
  </si>
  <si>
    <t>ул. Солнечная, д. 2</t>
  </si>
  <si>
    <t>ул. Солнечная, д. 3</t>
  </si>
  <si>
    <t>ул. Солнечная, д. 6</t>
  </si>
  <si>
    <t>ул. Г. Кольцова, д. 1</t>
  </si>
  <si>
    <t>ул. Г. Кольцова, д. 2</t>
  </si>
  <si>
    <t>ул. Г. Кольцова, д. 6</t>
  </si>
  <si>
    <t>ул. Озерная, д. 4</t>
  </si>
  <si>
    <t>ул. Озерная, д. 6</t>
  </si>
  <si>
    <t>ул. Озерная, д. 8</t>
  </si>
  <si>
    <t>ул. Озерная, д. 10</t>
  </si>
  <si>
    <t>ул. Озерная, д. 12</t>
  </si>
  <si>
    <t>ул. Юбилейная, д. 11</t>
  </si>
  <si>
    <t>п. Пригородный, ул. Гагарина, д. 22</t>
  </si>
  <si>
    <t>п. Пригородный, ул. Гагарина, д. 20</t>
  </si>
  <si>
    <t>п. Пригородный, ул. Гагарина, д. 20</t>
  </si>
  <si>
    <t>п. Пригородный, ул. Гагарина, д. 22</t>
  </si>
  <si>
    <t>ул. Баумана, д. 13</t>
  </si>
  <si>
    <t>ул. Б. Садовая, д. 29</t>
  </si>
  <si>
    <t>ул. Правды, д. 27</t>
  </si>
  <si>
    <t>ул. Правды, д. 31/33</t>
  </si>
  <si>
    <t>ул. Правды, д. 27а</t>
  </si>
  <si>
    <t>Казанский пр-т, д. 105</t>
  </si>
  <si>
    <t>ул. Ст. Разина, д. 41</t>
  </si>
  <si>
    <t>ул. Московская, д. 1/49</t>
  </si>
  <si>
    <t>ул. Екатерининская, д. 4-6</t>
  </si>
  <si>
    <t>Казанский пр-т, д. 93</t>
  </si>
  <si>
    <t>Ржевский тракт, д. 44</t>
  </si>
  <si>
    <t>ул. Шмидта, д. 79/4</t>
  </si>
  <si>
    <t>ул. Новгородская, д. 4</t>
  </si>
  <si>
    <t>Лермонтовский пер., д. 16</t>
  </si>
  <si>
    <t>ул. 4-я Пролетарская, д. 98/2</t>
  </si>
  <si>
    <t>ул. Московская, д. 1</t>
  </si>
  <si>
    <t>ул. Киевская, д. 3</t>
  </si>
  <si>
    <t>Горняцкое с/п</t>
  </si>
  <si>
    <t>Холохоленское с/п</t>
  </si>
  <si>
    <t>п. Пено</t>
  </si>
  <si>
    <t>пгт. Сонково</t>
  </si>
  <si>
    <t>г. Бежецк, ул. Нечаева, д. 5</t>
  </si>
  <si>
    <t>ул. Баумана, д. 25</t>
  </si>
  <si>
    <t>ул. Правды,  д. 26</t>
  </si>
  <si>
    <t>ул. Правды,  д. 28</t>
  </si>
  <si>
    <t>ул. Баумана, д. 9</t>
  </si>
  <si>
    <t>Ванчакова линия, д. 5</t>
  </si>
  <si>
    <t>Ванчакова линия, д. 7</t>
  </si>
  <si>
    <t>Ванчакова линия, д. 9</t>
  </si>
  <si>
    <t>Ванчакова линия, д. 25</t>
  </si>
  <si>
    <t>Ванчакова линия, д. 29</t>
  </si>
  <si>
    <t>Ванчакова линия, д. 43</t>
  </si>
  <si>
    <t>Ванчакова линия, д. 53</t>
  </si>
  <si>
    <t>Ванчакова линия, д. 69а</t>
  </si>
  <si>
    <t>Ванчакова линия, д. 77/1</t>
  </si>
  <si>
    <t>бревенчатые</t>
  </si>
  <si>
    <t>ул. Цюрупы, д. 4</t>
  </si>
  <si>
    <t>Тургеневский пер., д. 7</t>
  </si>
  <si>
    <t>Бейшлотская наб., д. 127</t>
  </si>
  <si>
    <t>Бейшлотская наб., д. 127а</t>
  </si>
  <si>
    <t>ул. Мичурина, д. 3</t>
  </si>
  <si>
    <t>Тверской пер., д. 11/2</t>
  </si>
  <si>
    <t>ул. М. Расковой, д. 79/82</t>
  </si>
  <si>
    <t>Казанский пр-т, д. 66/57</t>
  </si>
  <si>
    <t>Казанский пр-т, д. 86</t>
  </si>
  <si>
    <t>Казанский пр-т, д. 39-45</t>
  </si>
  <si>
    <t>ул. Сиверсова, д. 5-9</t>
  </si>
  <si>
    <t>шлакоблочные</t>
  </si>
  <si>
    <t>фундам.</t>
  </si>
  <si>
    <t>ул. Старицкая, д. 100</t>
  </si>
  <si>
    <t>ул. Падерина, д. 1</t>
  </si>
  <si>
    <t>ул. Школьная, д. 42</t>
  </si>
  <si>
    <t>ул. Зеленая, д. 2</t>
  </si>
  <si>
    <t>ул. Восточная, д. 1</t>
  </si>
  <si>
    <t>ул. Северная, д. 5а</t>
  </si>
  <si>
    <t>ул. Восточная, д. 25</t>
  </si>
  <si>
    <t>ул. им. Василенкова, д. 3</t>
  </si>
  <si>
    <t>ул. им Смирнова, д. 20</t>
  </si>
  <si>
    <t>Итого по Бурашевское сельское поселение</t>
  </si>
  <si>
    <t>д. Езвино, д. 7</t>
  </si>
  <si>
    <t>д. Езвино, д. 9</t>
  </si>
  <si>
    <t>керамзитовые блоки</t>
  </si>
  <si>
    <t>ул. Ленина, д. 36</t>
  </si>
  <si>
    <t>ул. Ленина, д. 28</t>
  </si>
  <si>
    <t>ул. Ленина, д. 34</t>
  </si>
  <si>
    <t>ул. Ленина, д. 39</t>
  </si>
  <si>
    <t>ул. Речная, д. 1</t>
  </si>
  <si>
    <t>Итого по Городенское сельское поселение</t>
  </si>
  <si>
    <r>
      <t>с. Городня, ул. Садовая, д.</t>
    </r>
    <r>
      <rPr>
        <sz val="12"/>
        <color theme="1"/>
        <rFont val="Calibri"/>
        <family val="2"/>
        <charset val="204"/>
      </rPr>
      <t> 2</t>
    </r>
  </si>
  <si>
    <t>д. Заполок, д. 1</t>
  </si>
  <si>
    <t>д. Заполок, д. 2</t>
  </si>
  <si>
    <t>ул. Михаила Калинина, д. 8/3</t>
  </si>
  <si>
    <t>ул. Ивана Тургенева, д. 3а</t>
  </si>
  <si>
    <t>ул. Карла Маркса, д. 21а</t>
  </si>
  <si>
    <t>ул. Ленина, д. 49б</t>
  </si>
  <si>
    <t>ул. Ленина,д. 60</t>
  </si>
  <si>
    <t>пл. Пролетарская, д. 13</t>
  </si>
  <si>
    <t>ул. Профсоюзов, д. 8</t>
  </si>
  <si>
    <t>ул. Республиканская, д. 3</t>
  </si>
  <si>
    <t>ул. Вонжинская, д. 15</t>
  </si>
  <si>
    <t>ул. Карла Маркса, д. 38</t>
  </si>
  <si>
    <t>ул. Ленина, д. 49а</t>
  </si>
  <si>
    <t>ул. Ленина, д. 52а</t>
  </si>
  <si>
    <t>ул. Ленина, д. 54а</t>
  </si>
  <si>
    <t>ул. Песочная, д. 8</t>
  </si>
  <si>
    <t>пл. Петровой, д. 7</t>
  </si>
  <si>
    <t>ул. Чистопрудная, д. 23</t>
  </si>
  <si>
    <t>ул. Заводская, д. 6</t>
  </si>
  <si>
    <t>ул. Николая Гоголя, д. 2а</t>
  </si>
  <si>
    <t>ул. Песочная, д. 9</t>
  </si>
  <si>
    <t>ул. Строителей, д. 20</t>
  </si>
  <si>
    <t>пл. Республиканская, д. 2а</t>
  </si>
  <si>
    <t>ул. Московская, д. 18</t>
  </si>
  <si>
    <t>пос. Межа, ул. Ленина, д. 15</t>
  </si>
  <si>
    <t xml:space="preserve">  пгт. Рамешки</t>
  </si>
  <si>
    <t>Нелидовское с/п</t>
  </si>
  <si>
    <t>Бетонные</t>
  </si>
  <si>
    <t>Итого по МО город Торжок</t>
  </si>
  <si>
    <t>Итого по МО городское поселение город Бежецк</t>
  </si>
  <si>
    <t>Итого по МО городское поселение пос. Орша</t>
  </si>
  <si>
    <t>Итого по МО Каблуковское сельское поселение</t>
  </si>
  <si>
    <t>Итого по МО городское поселение город Калязин</t>
  </si>
  <si>
    <t>Итого по МО городское поселение город Конаково</t>
  </si>
  <si>
    <t>Итого по МО городское поселение пос. Изоплит</t>
  </si>
  <si>
    <t>Итого по МО городское поселение пос. Козлово</t>
  </si>
  <si>
    <t>Итого по МО городское поселение пос. Радченко</t>
  </si>
  <si>
    <t>Итого по МО Городенское сельское поселение</t>
  </si>
  <si>
    <t>Итого по МО городское поселение город Кувшиново</t>
  </si>
  <si>
    <t>Итого по МО городское поселение город Торопец</t>
  </si>
  <si>
    <t>Итого по МО город Тверь</t>
  </si>
  <si>
    <t>Итого по МО городское поселение поселок Изоплит</t>
  </si>
  <si>
    <t>Итого по МО городское поселение поселок Козлово</t>
  </si>
  <si>
    <t>Итого по МО городское поселение поселок Радченко</t>
  </si>
  <si>
    <t>Итого по МО городское поселение город Бологое</t>
  </si>
  <si>
    <t>Формирование фонда капитального ремонта многоквартирного дома на счете регионального оператора</t>
  </si>
  <si>
    <t>Итого по МО городское поселение поселок Орша</t>
  </si>
  <si>
    <t>№ 
п/п</t>
  </si>
  <si>
    <t>Итого по МО Верхневолжское сельское поселение</t>
  </si>
  <si>
    <t>Итого по МО Эммаусское сельское поселение</t>
  </si>
  <si>
    <t>ул. Центральная, д. 10</t>
  </si>
  <si>
    <t xml:space="preserve">Количество МКД </t>
  </si>
  <si>
    <t>за счет привлеченных средств (кредит)</t>
  </si>
  <si>
    <t>за счет привлеченных средств (рассрочка)</t>
  </si>
  <si>
    <t>Итого по МО Осташковский городской округ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</si>
  <si>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
иной специализированный потребительский кооператив, управляющая компания</t>
  </si>
  <si>
    <t>Виды услуг и (или) работ по капитальному ремонту:</t>
  </si>
  <si>
    <t>Итого по МО Удомельский городской округ</t>
  </si>
  <si>
    <t>Итого по МО ЗАТО Солнечный</t>
  </si>
  <si>
    <t>Итого по МО ЗАТО Озерный</t>
  </si>
  <si>
    <t xml:space="preserve">Итого по МО Верхневолжское сельское поселение </t>
  </si>
  <si>
    <t>выполнения работ по капитальному ремонту</t>
  </si>
  <si>
    <t xml:space="preserve">Итого по МО Красногорское сельское поселение </t>
  </si>
  <si>
    <t>Наименование муниципального образования 
Тверской области</t>
  </si>
  <si>
    <t xml:space="preserve">Итого по МО Каблуковское сельское поселение </t>
  </si>
  <si>
    <t>разработки проектной документации, проведения проверки достоверности определения сметной стоимости капитального ремонта</t>
  </si>
  <si>
    <t>ремонт и утепление фасада</t>
  </si>
  <si>
    <t xml:space="preserve">Итого по МО Эммаусское сельское поселение </t>
  </si>
  <si>
    <t>пос. Южный, ул. Маресьева, д. 23</t>
  </si>
  <si>
    <t>Итого по МО Рождественское сельское поселение</t>
  </si>
  <si>
    <t>Итого по МО Нелидовский городской округ</t>
  </si>
  <si>
    <t>Итого по МО Кашинский городской округ</t>
  </si>
  <si>
    <t>Итого по МО Красногорское сельское поселение</t>
  </si>
  <si>
    <t>1980</t>
  </si>
  <si>
    <t>1934</t>
  </si>
  <si>
    <t>Плановая дата завершения</t>
  </si>
  <si>
    <t>Площадь помещений МКД</t>
  </si>
  <si>
    <t>за счет средств собственников 
помещений в МКД</t>
  </si>
  <si>
    <t>0,00</t>
  </si>
  <si>
    <t>ул. Юбилейная, д. 3</t>
  </si>
  <si>
    <t>ул. Юбилейная, д. 1/2</t>
  </si>
  <si>
    <t>1968</t>
  </si>
  <si>
    <t>1917</t>
  </si>
  <si>
    <t>д. Барановка, д. 1</t>
  </si>
  <si>
    <t>д. Барановка, д. 2</t>
  </si>
  <si>
    <t>Итого по МО Великооктябрьское городское поселение</t>
  </si>
  <si>
    <t>Итого по МО Великооктябрьское городское поселение 
пос. Великооктябрьский</t>
  </si>
  <si>
    <t xml:space="preserve">Итого по МО Великооктябрьское городское поселение </t>
  </si>
  <si>
    <t>пос. Граничный, д. 10</t>
  </si>
  <si>
    <t>пос. Труд, ул. Пушкина, д. 31</t>
  </si>
  <si>
    <t>пос. Граничный, д. 14</t>
  </si>
  <si>
    <t xml:space="preserve">Итого по МО Заволжское сельское поселение </t>
  </si>
  <si>
    <t>Итого по МО Заволжское сельское поселение</t>
  </si>
  <si>
    <t>1983</t>
  </si>
  <si>
    <t>Итого по МО городское поселение пос. Васильевский Мох</t>
  </si>
  <si>
    <t>Итого по МО городское поселение поселок Васильевский Мох</t>
  </si>
  <si>
    <t>Весьегонский муниципальный округ</t>
  </si>
  <si>
    <t>Итого по МО Вышневолоцкий городской округ</t>
  </si>
  <si>
    <t>Андреапольский муниципальный округ</t>
  </si>
  <si>
    <t>ул. Юбилейная, д. 6а</t>
  </si>
  <si>
    <t>Итого по МО Дмитровогорское сельское поселение</t>
  </si>
  <si>
    <t>с. Дмитрова Гора, ул. Новая, д. 1</t>
  </si>
  <si>
    <t>Западнодвинский муниципальный округ</t>
  </si>
  <si>
    <t>Краснохолмский муниципальный округ</t>
  </si>
  <si>
    <t>Селижаровский муниципальный округ</t>
  </si>
  <si>
    <t>Оленинский муниципальный округ</t>
  </si>
  <si>
    <t xml:space="preserve">ремонт, замена, модернизация лифтов, ремонт лифтовых шахт, машинных и блочных помещений
</t>
  </si>
  <si>
    <r>
      <t>установка приборов учета</t>
    </r>
    <r>
      <rPr>
        <vertAlign val="superscript"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
</t>
    </r>
  </si>
  <si>
    <r>
      <t xml:space="preserve">теплоснабжения </t>
    </r>
    <r>
      <rPr>
        <vertAlign val="superscript"/>
        <sz val="30"/>
        <rFont val="Times New Roman"/>
        <family val="1"/>
        <charset val="204"/>
      </rPr>
      <t>1</t>
    </r>
  </si>
  <si>
    <t xml:space="preserve"> </t>
  </si>
  <si>
    <t>Формирование фонда капитального ремонта многоквартирного дома на счете некоммерческой организации – Фонда капитального ремонта многоквартирных домов Тверской области (далее – региональный оператор)</t>
  </si>
  <si>
    <t>пгт Оленино, ул. Пионерская, д. 2</t>
  </si>
  <si>
    <t>Адрес многоквартирного дома 
(далее – МКД)</t>
  </si>
  <si>
    <t>Итого по МО                           город Торжок</t>
  </si>
  <si>
    <t>Итого по МО                        ЗАТО Озерный</t>
  </si>
  <si>
    <t>в многоквартирных домах на территории Тверской области на 2014 – 2043 годы</t>
  </si>
  <si>
    <t xml:space="preserve">Итого по МО Медновское сельское поселение </t>
  </si>
  <si>
    <t>Итого по МО Медновское сельское поселение</t>
  </si>
  <si>
    <t>пгт Оленино, ул. Пионерская, д. 4а</t>
  </si>
  <si>
    <t>Итого по МО Оленинский муниципальный округ</t>
  </si>
  <si>
    <t>пос. Озерки, ул. Ленинская, д. 16</t>
  </si>
  <si>
    <t>Спировский муниципальный округ</t>
  </si>
  <si>
    <t>Рамешковский муниципальный округ</t>
  </si>
  <si>
    <t>Лихославльский муниципальный округ</t>
  </si>
  <si>
    <t>Молоковский муниципальный округ</t>
  </si>
  <si>
    <t xml:space="preserve">Лихославльский муниципальный округ </t>
  </si>
  <si>
    <t>д. Вески, ул. Боровикова, д. 5</t>
  </si>
  <si>
    <t>г. Вышний Волочек, ул. Карла Маркса, д. 68</t>
  </si>
  <si>
    <t>г. Вышний Волочек, ул. Красных Печатников, д. 16</t>
  </si>
  <si>
    <t>г. Кашин, ул. Карла Маркса, д. 16</t>
  </si>
  <si>
    <t>г. Осташков, ул. Володарского, д. 43</t>
  </si>
  <si>
    <t>г. Осташков, ул. Шевчука, д. 5</t>
  </si>
  <si>
    <t>пос. Рамешки, ул. Советская, д. 60</t>
  </si>
  <si>
    <t>пос. Сонково, ул. Калинина, д. 2</t>
  </si>
  <si>
    <t>г. Вышний Волочек, ул. Двор фабрики «Пролетарский Авангард», д. 39</t>
  </si>
  <si>
    <t>г. Андреаполь, ул. Кленовая, д. 19а</t>
  </si>
  <si>
    <t>г. Андреаполь, ул. Театральная, д. 3</t>
  </si>
  <si>
    <t>г. Весьегонск, ул. Коммунистическая, д. 12</t>
  </si>
  <si>
    <t>г. Западная Двина, пер. Типографский, д. 3</t>
  </si>
  <si>
    <t>г. Красный Холм, ул. Калинина, д. 6</t>
  </si>
  <si>
    <t>г. Лихославль, ул. Вагжанова,  д. 6а</t>
  </si>
  <si>
    <t>пос. Калашниково, ул. Горького, д. 3</t>
  </si>
  <si>
    <t>г. Нелидово, ул. Правды, д. 9</t>
  </si>
  <si>
    <t>г. Нелидово, ул. Горького, д. 4</t>
  </si>
  <si>
    <t>г. Нелидово, ул. Нахимова, д. 11</t>
  </si>
  <si>
    <t>г. Нелидово, ул. Кирова, д. 37</t>
  </si>
  <si>
    <t>г. Осташков, ул. Шевчука, д. 3</t>
  </si>
  <si>
    <t>г. Осташков, ул. Тимофеевская, д. 66</t>
  </si>
  <si>
    <t>пос. Селижарово, ул. Гагарина, д. 2</t>
  </si>
  <si>
    <t>пос. Селижарово, ул. Ленина, д. 29</t>
  </si>
  <si>
    <t>г. Вышний Волочек, ул. Красная, д. 9</t>
  </si>
  <si>
    <t>г. Вышний Волочек, ул. Двор фабрики Парижская коммуна, д. 48</t>
  </si>
  <si>
    <t>г. Андреаполь, ул. Советская, д. 65а</t>
  </si>
  <si>
    <t>г. Андреаполь, ул. Кленовая, д. 18</t>
  </si>
  <si>
    <t>г. Весьегонск, ул. Правды, д. 10</t>
  </si>
  <si>
    <t>г. Западная Двина, ул. Мира, д. 35а</t>
  </si>
  <si>
    <t>г. Нелидово, ул. Нахимова, д. 14/13</t>
  </si>
  <si>
    <t>г. Нелидово, ул. Горького, д. 10</t>
  </si>
  <si>
    <t>г. Осташков, ул. Загородная, д. 12а</t>
  </si>
  <si>
    <t>г. Осташков, ул. Рабочая, д. 29</t>
  </si>
  <si>
    <t>г. Осташков, ул. Печатникова, д. 8</t>
  </si>
  <si>
    <t>г. Осташков, ул. Печатникова, д. 6</t>
  </si>
  <si>
    <t>г. Удомля, ул. Космонавтов, д. 1</t>
  </si>
  <si>
    <t>г. Андреаполь, ул. Половчени, д. 8</t>
  </si>
  <si>
    <t>г. Весьегонск, ул. Павлика Морозова, д. 28</t>
  </si>
  <si>
    <t>г. Западная Двина, ул. Кирова, д. 37</t>
  </si>
  <si>
    <t>г. Кашин, ул. Карла Маркса, д. 47</t>
  </si>
  <si>
    <t>г. Кашин, ул. Песочная, д. 16/7</t>
  </si>
  <si>
    <t>г. Кашин, ул. Советская, д. 1/8</t>
  </si>
  <si>
    <t>г. Кашин, ул. Заводская, д. 10</t>
  </si>
  <si>
    <t>г. Кашин, ул. Заводская, д. 12</t>
  </si>
  <si>
    <t>г. Кашин, ул. Михаила Калинина, д. 8/3</t>
  </si>
  <si>
    <t>г. Кашин, ул. Карла Маркса, д. 21а</t>
  </si>
  <si>
    <t>г. Кашин, ул. Песочная, д. 8</t>
  </si>
  <si>
    <t>г. Кашин, ул. Анатолия Луначарского, д. 8</t>
  </si>
  <si>
    <t>г. Кашин, ул. Анатолия Луначарского, д. 10</t>
  </si>
  <si>
    <t xml:space="preserve">г. Лихославль, ул. Карла Маркса, д. 25 </t>
  </si>
  <si>
    <t xml:space="preserve">г. Лихославль, ул. Разъезжая, д. 12 </t>
  </si>
  <si>
    <t>г. Лихославль, ул. Бежецкая, д. 25</t>
  </si>
  <si>
    <t xml:space="preserve">г. Лихославль, ул. Школьная, д. 4 </t>
  </si>
  <si>
    <t>пос. Калашниково, ул. Речная, д. 1</t>
  </si>
  <si>
    <t>г. Нелидово, ул. Матросова, д. 36/44</t>
  </si>
  <si>
    <t>г. Нелидово, ул. Матросова, д. 26/1</t>
  </si>
  <si>
    <t>г. Осташков, ул. Загородная, д. 16</t>
  </si>
  <si>
    <t>пос. Рамешки, ул. Бежецкая, д. 20</t>
  </si>
  <si>
    <t>пос. Селижарово, ул. Микрорайон, д. 6</t>
  </si>
  <si>
    <t>пгт Оленино, ул. Октябрьская, д. 26</t>
  </si>
  <si>
    <t>пгт Оленино, ул. Чехова, д. 22</t>
  </si>
  <si>
    <t>пгт Оленино, ул. Октябрьская, д. 14</t>
  </si>
  <si>
    <t>пгт Оленино, ул. Строителей, д. 2а</t>
  </si>
  <si>
    <t>пгт Оленино, ул. Пионерская, д. 9</t>
  </si>
  <si>
    <t>пгт Оленино, ул. Кузьмина, д. 91</t>
  </si>
  <si>
    <t>п. Мирный, ул. Строителей, д. 18</t>
  </si>
  <si>
    <t>п. Мирный, ул. Советская, д. 3</t>
  </si>
  <si>
    <t>с. Застолбье, ул. Школьная, д. 4</t>
  </si>
  <si>
    <t>* При внесении изменений в муниципальные краткосрочные планы перечень многоквартирных домов подлежит корректировке.</t>
  </si>
  <si>
    <t xml:space="preserve">ремонт крыши, переустройство невентилируемой крыши на вентилируемую крышу, устройство выходов на кровлю  </t>
  </si>
  <si>
    <t>1 В том числе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установок.</t>
  </si>
  <si>
    <t>2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газа).</t>
  </si>
  <si>
    <t>3 В том числе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вещания.</t>
  </si>
  <si>
    <t>».</t>
  </si>
  <si>
    <t xml:space="preserve">г. Лихославль, 
ул. Красноармейская, д. 4а </t>
  </si>
  <si>
    <t>г. Лихославль, ул. Лихославльская, 
д. тяговой подстанции</t>
  </si>
  <si>
    <t>г. Весьегонск, 
ул. Парковая, д. 6</t>
  </si>
  <si>
    <t>г. Западная Двина, 
пер. Типографский, д. 3</t>
  </si>
  <si>
    <t>г. Западная Двина, 
ул. Почтовая, д. 12</t>
  </si>
  <si>
    <t>Итого по МО городское поселение 
город Конаково</t>
  </si>
  <si>
    <t>п. Мирный, 
ул. Строителей, д. 18</t>
  </si>
  <si>
    <t>пос. Селижарово, 
ул. Ленина, д. 29</t>
  </si>
  <si>
    <t>пос. Селижарово, 
ул. Завокзальная, д. 20</t>
  </si>
  <si>
    <t>Итого по МО 
ЗАТО Озерный</t>
  </si>
  <si>
    <t>г. Весьегонск, 
ул. Правды, д. 10</t>
  </si>
  <si>
    <t>г. Весьегонск, 
ул. Промышленная, д. 22</t>
  </si>
  <si>
    <t>г. Западная Двина, 
ул. Фадеева, д. 25</t>
  </si>
  <si>
    <t>пос. Сонково, 
ул. Артамонова, д. 1а</t>
  </si>
  <si>
    <t>пос. Сонково, 
ул. Сельхозтехника, д. 1а</t>
  </si>
  <si>
    <t xml:space="preserve">пос. Селижарово, 
ул. Ст. Разина, д. 2а </t>
  </si>
  <si>
    <t>пос. Селижарово, 
ул. Микрорайон, д. 6</t>
  </si>
  <si>
    <t xml:space="preserve">пос. Селижарово, 
ул. Пионерская, д. 14 </t>
  </si>
  <si>
    <t>г. Нелидово, 
ул. Матросова, д. 36/44</t>
  </si>
  <si>
    <t>Итого по муниципальному образованию Тверской области (далее – МО) 
город Тверь</t>
  </si>
  <si>
    <t>Итого по МО 
город Тверь</t>
  </si>
  <si>
    <t>Итого по МО 
город Торжок</t>
  </si>
  <si>
    <t>г. Весьегонск, 
ул. Строителей, д. 3</t>
  </si>
  <si>
    <t>г. Западная Двина, 
ул. Кирова, д. 37</t>
  </si>
  <si>
    <t>г. Западная Двина, 
ул. Щербакова, д. 24</t>
  </si>
  <si>
    <t>техническое обследование общего имущества в много-квартирном доме</t>
  </si>
  <si>
    <t>п. Заволжский, д. 14</t>
  </si>
  <si>
    <t>п. Заволжский, д. 15</t>
  </si>
  <si>
    <t>п. Заволжский, д. 18</t>
  </si>
  <si>
    <t>с. Пушкино, д. 7</t>
  </si>
  <si>
    <t>г. Удомля, ул. Венецианова, д. 3</t>
  </si>
  <si>
    <t>г. Удомля, ул. Энтузиастов, д. 6/2</t>
  </si>
  <si>
    <t>г. Удомля, ул. Карла Маркса, д. 25</t>
  </si>
  <si>
    <t>г. Удомля, ул. Левитана, д. 7</t>
  </si>
  <si>
    <t>д. Ивановское, д. 25</t>
  </si>
  <si>
    <t>Итого по МО 
ЗАТО Солнечный</t>
  </si>
  <si>
    <t>пгт Оленино, ул. Пионерская, д. 3</t>
  </si>
  <si>
    <t>пгт Оленино, ул. Пионерская, д. 7</t>
  </si>
  <si>
    <t>пгт Оленино, ул. Чехова, д. 17</t>
  </si>
  <si>
    <t>пгт Оленино, ул. Пионерская, д. 12</t>
  </si>
  <si>
    <t>Бельский муниципальный округ</t>
  </si>
  <si>
    <t>Зубцовский муниципальный округ</t>
  </si>
  <si>
    <t>Сонковский муниципальный округ</t>
  </si>
  <si>
    <t>г. Зубцов, пер. Образцова, д. 1</t>
  </si>
  <si>
    <t>г. Зубцов, ул. Мира, д. 9</t>
  </si>
  <si>
    <t>г. Белый, ул. Строителей, д. 13</t>
  </si>
  <si>
    <t>Итого по МО Кимрский муниципальный округ</t>
  </si>
  <si>
    <t>Итого по МО Ржевский муниципальный округ</t>
  </si>
  <si>
    <t>Итого по МО Старицкий муниципальный округ</t>
  </si>
  <si>
    <t>г. Ржев, ул. Большая Спасская, д. 41/65</t>
  </si>
  <si>
    <t>г. Ржев, ул. Садовая, д. 17/11</t>
  </si>
  <si>
    <t>г. Ржев, ул. Советская, д. 11</t>
  </si>
  <si>
    <t>г. Ржев, ул. Советская, д. 2/1</t>
  </si>
  <si>
    <t>г. Ржев, ул. Советская, д. 4</t>
  </si>
  <si>
    <t>г. Ржев, ул. Рижская, д. 4</t>
  </si>
  <si>
    <t>г. Ржев, ул. Железнодорожная, д. 34</t>
  </si>
  <si>
    <t>г. Ржев, ул. Краностроителей, д. 14</t>
  </si>
  <si>
    <t>Кимрский муниципальный округ</t>
  </si>
  <si>
    <t>Ржевский муниципальный округ</t>
  </si>
  <si>
    <t>Старицкий муниципальный округ</t>
  </si>
  <si>
    <t>4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достоверности определения сметной стоимости капитального ремонта, а также проведение государственной историко-культурной экспертизы проектной документации на выполнение работ по сохранению объектов культурного наследия (памятников истории и культуры) народов Российской Федерации (далее – объекты культурного наследия), являющихся многоквартирными домами, в случае проведения работ по капитальному ремонту общего имущества в многоквартирных домах, являющихся объектами культурного наследия, выявленными объектами культурного наследия.</t>
  </si>
  <si>
    <t>г. Осташков, ул. 1-я Железнодорожная, д. 1а</t>
  </si>
  <si>
    <r>
      <t>уста-новка, ремонт систем приема телеви-дения</t>
    </r>
    <r>
      <rPr>
        <vertAlign val="superscript"/>
        <sz val="30"/>
        <rFont val="Times New Roman"/>
        <family val="1"/>
        <charset val="204"/>
      </rPr>
      <t>3</t>
    </r>
  </si>
  <si>
    <t>Итого по МО 
городское поселение                                 город Калязин</t>
  </si>
  <si>
    <t>Итого 
по Тверской области</t>
  </si>
  <si>
    <t>Итого по МО 
городское поселение 
город Конаково</t>
  </si>
  <si>
    <t>г. Красный Холм, ул. Заводская, д. 22</t>
  </si>
  <si>
    <t>г. Красный Холм, ул. Льва Толстого, д. 51/4</t>
  </si>
  <si>
    <t>г. Красный Холм, ул. Октябрьская, д. 26</t>
  </si>
  <si>
    <t>г. Вышний Волочек, ул. Дзержинского, д. 12/25</t>
  </si>
  <si>
    <t>г. Вышний Волочек, ул. Дзержинского, д. 10</t>
  </si>
  <si>
    <t>г. Вышний Волочек, ул. М. Горького, д. 15</t>
  </si>
  <si>
    <t>г. Вышний Волочек, ул. Ямская, д. 96а</t>
  </si>
  <si>
    <t>Итого по МО городское поселение 
город Бежецк</t>
  </si>
  <si>
    <t>г. Западная Двина, ул. Почтовая, д. 12</t>
  </si>
  <si>
    <t>д. Верхняя Троица, ул. Советская, д. 4</t>
  </si>
  <si>
    <t>г. Лихославль, ул. Первомайская, д. 39</t>
  </si>
  <si>
    <t>г. Лихославль, ул. Лихославльская, д. 45</t>
  </si>
  <si>
    <t>пос. Селижарово, ул. Завокзальная, д. 20</t>
  </si>
  <si>
    <t>г. Вышний Волочек, ул. Баумана, д. 23</t>
  </si>
  <si>
    <t>г. Вышний Волочек, ул. Чапаева, д. 11</t>
  </si>
  <si>
    <t xml:space="preserve">г. Вышний Волочек, ул. Баумана, д. 5 </t>
  </si>
  <si>
    <t>г. Андреаполь, ул. Карла Маркса, д. 3</t>
  </si>
  <si>
    <t>г. Андреаполь, ул. Октябрьская, д. 56</t>
  </si>
  <si>
    <t>Итого по МО городское поселение 
город Бологое</t>
  </si>
  <si>
    <t>г. Западная Двина, ул. Щербакова, д. 24</t>
  </si>
  <si>
    <t xml:space="preserve">пос. Озерки, ул. Локомотивная, д. 5 </t>
  </si>
  <si>
    <t>Итого по МО городское поселение 
пос. Козлово</t>
  </si>
  <si>
    <t>г. Красный Холм, пер. Красный, д. 2а</t>
  </si>
  <si>
    <t>г. Лихославль, пер. Театральный, д. 2</t>
  </si>
  <si>
    <t>г. Лихославль, ул. Юбилейная, д. РСУ</t>
  </si>
  <si>
    <t>г. Лихославль, ул. Первомайская, д. 14</t>
  </si>
  <si>
    <t>г. Осташков, ул. Володарского, д. 177</t>
  </si>
  <si>
    <t xml:space="preserve">пос. Селижарово, ул. Пионерская, д. 14 </t>
  </si>
  <si>
    <t xml:space="preserve">пос. Селижарово, ул. Ст. Разина, д. 2а </t>
  </si>
  <si>
    <t>пос. Сонково, ул. Сельхозтехника, д. 1а</t>
  </si>
  <si>
    <t>г. Осташков, ул. Володарского, д. 179</t>
  </si>
  <si>
    <t>г. Лихославль, ул. Лихославльская, д. 9а</t>
  </si>
  <si>
    <t>г. Вышний Волочек, ул. Советская, д. 21/2</t>
  </si>
  <si>
    <t>г. Весьегонск, ул. Промышленная, д. 22</t>
  </si>
  <si>
    <t>г. Западная Двина, ул. Фадеева, д. 25</t>
  </si>
  <si>
    <t>г. Красный Холм, ул. Коммунистическая, д. 36</t>
  </si>
  <si>
    <t>г. Кашин, ул. Анатолия Луначарского,
 д. 10</t>
  </si>
  <si>
    <t>пос. Великооктябрьский, 
ул. Цнинская, д. 4</t>
  </si>
  <si>
    <t>пос. Великооктябрьский, 
ул. Советская, д. 4</t>
  </si>
  <si>
    <t>г. Кашин, ул. Песочная, 
д. 16/7</t>
  </si>
  <si>
    <t>г. Кашин, ул. Советская, 
д. 1/8</t>
  </si>
  <si>
    <t>г. Кашин, ул. Заводская, 
д. 10</t>
  </si>
  <si>
    <t>г. Кашин, ул. Заводская, 
д. 12</t>
  </si>
  <si>
    <t>г. Кашин, ул. Песочная, 
д. 8</t>
  </si>
  <si>
    <r>
      <t>разработка проектной документации</t>
    </r>
    <r>
      <rPr>
        <vertAlign val="superscript"/>
        <sz val="30"/>
        <rFont val="Times New Roman"/>
        <family val="1"/>
        <charset val="204"/>
      </rPr>
      <t>4</t>
    </r>
    <r>
      <rPr>
        <sz val="30"/>
        <rFont val="Times New Roman"/>
        <family val="1"/>
        <charset val="204"/>
      </rPr>
      <t xml:space="preserve"> 
</t>
    </r>
  </si>
  <si>
    <t>пос. Великооктябрьский, 
ул. Советская, д. 2</t>
  </si>
  <si>
    <t>г. Вышний Волочек, ул. Двор фабрики Пролетарский Авангард, д. 18</t>
  </si>
  <si>
    <t>ремонт фасада</t>
  </si>
  <si>
    <t>утепление фасада</t>
  </si>
  <si>
    <t>Жарковский муниципальный округ</t>
  </si>
  <si>
    <t>г. Ржев, ул. Большевистская, д. 1</t>
  </si>
  <si>
    <t>г. Ржев, ул. Мира, д. 4</t>
  </si>
  <si>
    <t>г. Ржев, ул. Пархоменко, д. 14</t>
  </si>
  <si>
    <t>г. Старица, ул. Карла Маркса,  д. 60</t>
  </si>
  <si>
    <t>г. Старица, ул. Ленина,  д. 80</t>
  </si>
  <si>
    <t>пос. Жарковский, ул. Мира, д. 13</t>
  </si>
  <si>
    <t>г. Старица, ул. Коммунистическая, д. 34</t>
  </si>
  <si>
    <t>пос. Жарковский, ул. Доватора, д. 11 </t>
  </si>
  <si>
    <t>г. Кимры, ул. Шевченко, д. 99В</t>
  </si>
  <si>
    <t>г. Старица, ул. Захарова, д. 3</t>
  </si>
  <si>
    <t>г. Старица, ул. Карла Маркса, д. 58</t>
  </si>
  <si>
    <t>Кашинский городской округ</t>
  </si>
  <si>
    <t>Нелидовский городской округ</t>
  </si>
  <si>
    <t>Осташковский городской округ</t>
  </si>
  <si>
    <t>г. Старица, ул. Мира, д. 16</t>
  </si>
  <si>
    <t>г. Кимры, ул. Шевченко, д. 99в</t>
  </si>
  <si>
    <t>пос. Спирово, ул. Мира, д. 10</t>
  </si>
  <si>
    <t>5 При внесении изменений в муниципальные краткосрочные планы перечень многоквартирных домов подлежит корректировке.</t>
  </si>
  <si>
    <t>г. Кашин, ул. Карла Маркса, 
д. 21а</t>
  </si>
  <si>
    <t>реализации в 2023 – 2025 годах региональной программы по проведению капитального ремонта общего имущества</t>
  </si>
  <si>
    <t xml:space="preserve">Начало проведения капитального ремонта – 2023 год </t>
  </si>
  <si>
    <t>Начало проведения капитального ремонта – 2024 год*</t>
  </si>
  <si>
    <t>Начало проведения капитального ремонта – 2025 год*</t>
  </si>
  <si>
    <t>д. Заборовье, ул. Лесная, д. 3</t>
  </si>
  <si>
    <t>Начало проведения капитального ремонта – 2023 год</t>
  </si>
  <si>
    <t>д. Заборовье,                                ул. Лесная, д. 3</t>
  </si>
  <si>
    <r>
      <t xml:space="preserve">Начало проведения капитального ремонта – 2024 год </t>
    </r>
    <r>
      <rPr>
        <vertAlign val="superscript"/>
        <sz val="30"/>
        <rFont val="Times New Roman"/>
        <family val="1"/>
        <charset val="204"/>
      </rPr>
      <t>5</t>
    </r>
  </si>
  <si>
    <r>
      <t xml:space="preserve">Начало проведения капитального ремонта – 2025 год </t>
    </r>
    <r>
      <rPr>
        <vertAlign val="superscript"/>
        <sz val="30"/>
        <rFont val="Times New Roman"/>
        <family val="1"/>
        <charset val="204"/>
      </rPr>
      <t>5</t>
    </r>
  </si>
  <si>
    <t>Реестр многоквартирных домов, капитальный ремонт которых которых не был завершен в 2022 году и которые планируется отремонтировать в 2023 – 2025 годах</t>
  </si>
  <si>
    <t>Реестр многоквартирных домов, капитальный ремонт которых не был завершен в 2022 году и которые планируется отремонтировать в 2023 – 2025 годах</t>
  </si>
  <si>
    <t>Начало проведения капитального ремонта  – 2023 год</t>
  </si>
  <si>
    <t>Начало проведения капитального ремонта  – 2024 год</t>
  </si>
  <si>
    <t>Начало проведения капитального ремонта  – 2025 год</t>
  </si>
  <si>
    <t>пос. Эммаусс, д. 24</t>
  </si>
  <si>
    <t>пос. Эммаусс, д. 33</t>
  </si>
  <si>
    <t>с. Медное, ул. Тверская, д. 2</t>
  </si>
  <si>
    <t>пос. Труд, ул. Вокзальная, д. 1б</t>
  </si>
  <si>
    <t xml:space="preserve">Итого по МО Рождественское сельское поселение </t>
  </si>
  <si>
    <t>пос. Великооктябрьский, ул. Цнинская, д. 6</t>
  </si>
  <si>
    <t>пос. Великооктябрьский,  
ул. Цнинская, д. 4</t>
  </si>
  <si>
    <t>пос. Великооктябрьский,  
ул. Советская, д. 4</t>
  </si>
  <si>
    <t>пос. Великооктябрьский, 
ул. Цнинская, д. 6</t>
  </si>
  <si>
    <t>пос. Спирово, ул. Речная, д. 4</t>
  </si>
  <si>
    <t>пос. Спирово, ул. Пушкина, д. 3</t>
  </si>
  <si>
    <t>пос. Спирово, ул. Мира, д. 8</t>
  </si>
  <si>
    <t>с. Выдропужск, ул. Новая, д. 1</t>
  </si>
  <si>
    <t>пос. Спирово, 
ул. Речная, д. 4</t>
  </si>
  <si>
    <t>пос. Спирово, 
ул. Пушкина, д. 3</t>
  </si>
  <si>
    <t>пос. Спирово, 
ул. Мира, д. 8</t>
  </si>
  <si>
    <t>с. Выдропужск, 
ул. Новая, д. 1</t>
  </si>
  <si>
    <t>пос. Спирово, ул. Фурманова, д. 2</t>
  </si>
  <si>
    <t>г. Осташков, пер. Льва Толстого, д. 1Б</t>
  </si>
  <si>
    <t>нп т/б Сокол, д. 20</t>
  </si>
  <si>
    <t>г. Осташков, нп Микрорайон, д. 18</t>
  </si>
  <si>
    <t>г. Осташков, пр-т Гвардейский, д. 1</t>
  </si>
  <si>
    <t>г. Осташков, ул. Кузнечная, д. 51</t>
  </si>
  <si>
    <t>г. Осташков, ул. Рябочкина, д. 38А</t>
  </si>
  <si>
    <t>г. Осташков, пер. Восточный, д. 1</t>
  </si>
  <si>
    <t>г. Осташков, пер. Адрианова, д. 10</t>
  </si>
  <si>
    <t>г. Осташков, ул. Тимофеевская, д. 56</t>
  </si>
  <si>
    <t>г. Осташков, ул. Рудинская, д. 2</t>
  </si>
  <si>
    <t>г. Осташков, ул. Володарского, д. 179А</t>
  </si>
  <si>
    <t>г. Осташков, ул. Островского, д. 20</t>
  </si>
  <si>
    <t>д. Жданово, Микрорайон, д. 2</t>
  </si>
  <si>
    <t>д. Хитино, д. 19</t>
  </si>
  <si>
    <t>г. Осташков, Микрорайон, д. 1</t>
  </si>
  <si>
    <t>г. Осташков, пер. Льва Толстого, д. 1а</t>
  </si>
  <si>
    <t>г. Осташков, ул. Рабочий городок, д. 48</t>
  </si>
  <si>
    <t>г. Осташков, ул. Володарского, д. 179а</t>
  </si>
  <si>
    <t>д. Жданово, Микрорайон,                         д. 2</t>
  </si>
  <si>
    <t>г. Осташков, Микрорайон,        д. 1</t>
  </si>
  <si>
    <t>г. Белый, пер. Ленинский, д. 1</t>
  </si>
  <si>
    <t>г. Белый, ул. Ленина, д. 44</t>
  </si>
  <si>
    <t>г. Белый, ул. Строителей, д. 1</t>
  </si>
  <si>
    <t>г. Белый, ул. Загородная, д. 7</t>
  </si>
  <si>
    <t>г. Белый, ул. Льнозаводская, д. 33</t>
  </si>
  <si>
    <t>г. Белый, пер. Ленинский, 
д. 1</t>
  </si>
  <si>
    <t>г. Белый, ул. Ленина,  д. 44</t>
  </si>
  <si>
    <t>г. Белый, ул. Льнозаводская, 
д. 33</t>
  </si>
  <si>
    <t>г. Белый, пл.. Карла Маркса, д. 1</t>
  </si>
  <si>
    <t>пгт Оленино, ул. Пионерская, д. 4</t>
  </si>
  <si>
    <t>пгт Оленино, ул. Пионерская, д. 5</t>
  </si>
  <si>
    <t>пгт Оленино, ул. Пионерская, д. 8</t>
  </si>
  <si>
    <t>пгт Оленино, ул. Пионерская, д. 10</t>
  </si>
  <si>
    <t>пгт Оленино, ул. Строителей, д. 1</t>
  </si>
  <si>
    <t>пгт Оленино, ул. Строителей, д. 7</t>
  </si>
  <si>
    <t>пгт Оленино, ул. Строителей, д. 9</t>
  </si>
  <si>
    <t>п. Мирный, ул. Строителей, д. 26</t>
  </si>
  <si>
    <t>432,9</t>
  </si>
  <si>
    <t>пгт Оленино,
ул. Пионерская, д. 3</t>
  </si>
  <si>
    <t>пгт Оленино, 
ул. Пионерская, д. 5</t>
  </si>
  <si>
    <t>г. Торжок, ул. Белинского, д. 7</t>
  </si>
  <si>
    <t>г. Торжок, ул. Степана Разина, д. 19</t>
  </si>
  <si>
    <t xml:space="preserve">г. Торжок, ш. Ленинградское, д. 44а </t>
  </si>
  <si>
    <t>г. Торжок, ул. Студенческая, д. 14а</t>
  </si>
  <si>
    <t>г. Торжок, ул. Энгельса, д. 12</t>
  </si>
  <si>
    <t>г. Торжок, ул. Старицкая, д. 17</t>
  </si>
  <si>
    <t>г. Торжок, ул. Красноармейская, д. 2</t>
  </si>
  <si>
    <t>г. Торжок, ул. Красноармейская, д. 3</t>
  </si>
  <si>
    <t>г. Торжок, ул. Бакунина, д. 8</t>
  </si>
  <si>
    <t>г. Торжок, Тверецкая наб., д. 80</t>
  </si>
  <si>
    <t>г. Торжок, ул. Луначарского, д. 14</t>
  </si>
  <si>
    <t>г. Торжок, ул. Падерина, д. 3</t>
  </si>
  <si>
    <t>г. Торжок, ул. Бакунина, д. 5</t>
  </si>
  <si>
    <t>г. Торжок, ул. Зеленый городок, д. 6</t>
  </si>
  <si>
    <t>г. Торжок, ш. Ленинградское, д. 44а</t>
  </si>
  <si>
    <t>г. Кимры, ул. Володарского, д. 104а</t>
  </si>
  <si>
    <t>г. Кимры, ул. Коммунистическая, д. 2/5</t>
  </si>
  <si>
    <t>г. Кимры, ул. Свободы, д. 4а</t>
  </si>
  <si>
    <t>г. Кимры, ул. Станционная, д. 1</t>
  </si>
  <si>
    <t>г. Кимры, ул. Троицкая, д. 9/11</t>
  </si>
  <si>
    <t>г. Кимры, ул. Березовая, д. 13</t>
  </si>
  <si>
    <t>г. Кимры, ул. Красноармейская, д. 9</t>
  </si>
  <si>
    <t>г. Кимры, ул. Комсомольская, д. 37</t>
  </si>
  <si>
    <t>г. Кимры, ул. Комсомольская, д. 39</t>
  </si>
  <si>
    <t>г. Кимры, ул. Кропоткина, д. 6</t>
  </si>
  <si>
    <t>с. Пушкино, д. 1</t>
  </si>
  <si>
    <t>с. Пушкино, д. 5</t>
  </si>
  <si>
    <t>д. Квакшино, д. 4</t>
  </si>
  <si>
    <t>д. Митенево, ул. Центральная, д. 21</t>
  </si>
  <si>
    <t>д. Митенево, ул. Центральная, д. 20</t>
  </si>
  <si>
    <t>д. Митенево, 
ул. Центральная, д. 21</t>
  </si>
  <si>
    <t>г. Торжок, ул. 1-я Авиационная, д. 7</t>
  </si>
  <si>
    <t>пос. Жарковский, ул. Труда,  д. 44</t>
  </si>
  <si>
    <t>пос. Жарковский, ул. Мира, д. 4</t>
  </si>
  <si>
    <t>пос. Жарковский, ул. Мира, д. 14 </t>
  </si>
  <si>
    <t>пос. Озерки, ул. Ленинская, д. 19</t>
  </si>
  <si>
    <t>пос. Озерки, ул. Ленинская, д. 12</t>
  </si>
  <si>
    <t>пос. Озерки, ул. Локомотивная, д. 5</t>
  </si>
  <si>
    <t>пос. Озерки, Железнодорожный пр-д, д. 3</t>
  </si>
  <si>
    <t>пос. Изоплит, ул. Пионерская, д. 7</t>
  </si>
  <si>
    <t>пос. Озерки, 
ул. Ленинская, д. 19</t>
  </si>
  <si>
    <t>пос. Озерки, 
ул. Ленинская, д. 12</t>
  </si>
  <si>
    <t>пос. Озерки,                                ул. Ленинская, д. 16</t>
  </si>
  <si>
    <t>г. Бежецк, ул. Рабочая, д. 5</t>
  </si>
  <si>
    <t>г. Бежецк, ул. М.И. Кузнецова, д. 24</t>
  </si>
  <si>
    <t>г. Бежецк, пер. Первомайский, д. 33/18</t>
  </si>
  <si>
    <t>г. Бежецк, п. Северный, д. 1</t>
  </si>
  <si>
    <t>г. Бежецк, пер. Советский, д. 9</t>
  </si>
  <si>
    <t>г. Бежецк, ул. Пионерская, д. 36</t>
  </si>
  <si>
    <t>г. Бежецк, ул. Льва Толстого, д. 5</t>
  </si>
  <si>
    <t>г. Бежецк, ул. Рабочая, д. 10/5</t>
  </si>
  <si>
    <t>г. Бежецк, наб. Рядового Николаева, д. 8</t>
  </si>
  <si>
    <t>г. Бежецк, проезд Восточный, д. 7</t>
  </si>
  <si>
    <t>г. Бежецк, ул. Энергетическая, д. 1</t>
  </si>
  <si>
    <t>г. Бежецк, ул. Нечаева, д. 16</t>
  </si>
  <si>
    <t>г. Бежецк, ул. Нечаева, д. 27а</t>
  </si>
  <si>
    <t>г. Бежецк, ул. Садовая, д. 23</t>
  </si>
  <si>
    <t>г. Бежецк, пер. Чернышевского, д. 44</t>
  </si>
  <si>
    <t>г. Бежецк, пер. Советский,    д. 9</t>
  </si>
  <si>
    <t>г. Бежецк, ул. Пионерская,    д. 36</t>
  </si>
  <si>
    <t xml:space="preserve">г. Калязин, ул. Коминтерна, д. 42           </t>
  </si>
  <si>
    <t xml:space="preserve">г. Калязин, ул. Центральная, д. 2а     </t>
  </si>
  <si>
    <t xml:space="preserve">г. Калязин, ул. Коминтерна, д. 61         </t>
  </si>
  <si>
    <t>г. Калязин, ул. Вагжанова, д. 2а</t>
  </si>
  <si>
    <t>г. Калязин, ул. Коминтерна, д. 32а</t>
  </si>
  <si>
    <t>г. Калязин, ул. Коминтерна, д. 30/12</t>
  </si>
  <si>
    <t xml:space="preserve">г. Калязин, ул. Шорина, д. 8а       </t>
  </si>
  <si>
    <t xml:space="preserve">г. Калязин, ул. Коминтерна, д. 27а           </t>
  </si>
  <si>
    <t xml:space="preserve">г. Калязин, ул. Лесная, д. 44            </t>
  </si>
  <si>
    <t xml:space="preserve">г. Калязин, ул. Пухальского, д. 1а                   </t>
  </si>
  <si>
    <t xml:space="preserve">г. Калязин, ул. Тверская, д. 17                </t>
  </si>
  <si>
    <t>г. Калязин, ул. Тверская, д. 15</t>
  </si>
  <si>
    <t xml:space="preserve">г. Калязин, ул. Тверская,                 д. 17                </t>
  </si>
  <si>
    <t>г. Калязин, ул. Тверская,                             д. 15</t>
  </si>
  <si>
    <t>с. Застолбье, ул. Школьная, д. 5</t>
  </si>
  <si>
    <t xml:space="preserve">с. Застолбье, ул. Школьная, д. 5 </t>
  </si>
  <si>
    <t>с. Застолбье, ул. Школьная,               д. 4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</si>
  <si>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</si>
  <si>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</si>
  <si>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</si>
  <si>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</si>
  <si>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Итого по МО                        ЗАТО Солнечный</t>
  </si>
  <si>
    <t>2023</t>
  </si>
  <si>
    <t>г. Лихославль, ул. Вагжанова,  д. 10</t>
  </si>
  <si>
    <t>г. Лихославль, ул. Первомайская,  д. 3</t>
  </si>
  <si>
    <t>г. Лихославль, ул. Афанасьева, д. 4</t>
  </si>
  <si>
    <t>2024</t>
  </si>
  <si>
    <t>г. Лихославль, ул. Советская, д. 33 МПС</t>
  </si>
  <si>
    <t>пос. Калашниково, ул. Ленина, д. 15</t>
  </si>
  <si>
    <t>пос. Приозерный, ул. Ленинская, д. 3</t>
  </si>
  <si>
    <t>пос. Крючково, ул. Комсомольская, д. 21</t>
  </si>
  <si>
    <t>г. Лихославль, ул. Школьная, д. 5</t>
  </si>
  <si>
    <t>пос. Калашниково, ул. Ленина, д. 33/5</t>
  </si>
  <si>
    <t>пос. Калашниково, 
ул. Ленина, д. 43</t>
  </si>
  <si>
    <t>г. Лихославль, пос. Льнозавод, д. 10</t>
  </si>
  <si>
    <t>г. Лихославль, пос. Льнозавод, д. 26</t>
  </si>
  <si>
    <t>г. Лихославль, ул. Юбилейная, д. 2</t>
  </si>
  <si>
    <t>г. Лихославль, ул. Лихославльская, д. 16</t>
  </si>
  <si>
    <t>1586.7</t>
  </si>
  <si>
    <t>1067.3</t>
  </si>
  <si>
    <t xml:space="preserve"> г. Торопец, ул. Советская, д. 2</t>
  </si>
  <si>
    <t>г. Торопец, ул. Комсомольская, д. 40</t>
  </si>
  <si>
    <t>г. Торопец, ул. Советская, д. 130у</t>
  </si>
  <si>
    <t>г. Торопец, ул. Советская, д. 2</t>
  </si>
  <si>
    <t>г. Старица, ул. Коммунистическая,  д. 40а</t>
  </si>
  <si>
    <t>г. Старица, ул. Чернозерского,  д. 8</t>
  </si>
  <si>
    <t>г. Старица, ул. Чернозерского, д. 40</t>
  </si>
  <si>
    <t>г. Старица, ул. Адмирала Октябрьского, д. 7</t>
  </si>
  <si>
    <t>г. Старица, ул. Адмирала Октябрьского, д. 10</t>
  </si>
  <si>
    <t>г. Старица, ул. Пушкина, д. 8</t>
  </si>
  <si>
    <t>г. Старица, ул. Чернозерского, д. 10</t>
  </si>
  <si>
    <t>г. Старица, ул. Александра Завидова,  д. 17</t>
  </si>
  <si>
    <t>г. Кашин, наб. Пушкинская, д. 18/1</t>
  </si>
  <si>
    <t>г. Кашин, ул. Ленина, д. 20</t>
  </si>
  <si>
    <t>г. Кашин, ул. Московская, д. 25</t>
  </si>
  <si>
    <t>г. Кашин, ул. Песочная, д. 11/6</t>
  </si>
  <si>
    <t>г. Кашин, ул. Песочная, д. 14/8</t>
  </si>
  <si>
    <t>г. Кашин, ул. Сад Тургенева, д. 5/5</t>
  </si>
  <si>
    <t>г. Кашин, ул. Профинтерна, д. 5</t>
  </si>
  <si>
    <t>г. Кашин, ул. Михаила Калинина, д. 34</t>
  </si>
  <si>
    <t>г. Кашин, ул. Михаила Калинина, д. 24</t>
  </si>
  <si>
    <t>г. Кашин, наб. Южная, д. 27</t>
  </si>
  <si>
    <t>г. Кашин, ул. 25 Октября, д. 4б</t>
  </si>
  <si>
    <t>д. Верхняя Троица, ул. Мира, д. 5</t>
  </si>
  <si>
    <t>г. Кашин, ул. Советская, д. 15</t>
  </si>
  <si>
    <t>г. Кашин, ул. Республиканская, д. 13</t>
  </si>
  <si>
    <t>г. Кашин, ул. Ленина,  д. 3</t>
  </si>
  <si>
    <t>г. Кашин, ул. Советская, д.17</t>
  </si>
  <si>
    <t>г. Кашин, ул. Московская, д. 12</t>
  </si>
  <si>
    <t>г. Кашин, ул.Карла Маркса д.63а</t>
  </si>
  <si>
    <t>д. Тетьково, д.17</t>
  </si>
  <si>
    <t>г. Андреаполь, пл. Гвардейская, д. 1</t>
  </si>
  <si>
    <t>г. Андреаполь, ул. Кленовая, д. 36</t>
  </si>
  <si>
    <t>г. Андреаполь, ул. М. Складская, д. 6</t>
  </si>
  <si>
    <t>г. Андреаполь, ул. М. Складская, д. 8</t>
  </si>
  <si>
    <t>г. Андреаполь, 
пл. Гвардейская, д. 1</t>
  </si>
  <si>
    <t>г. Андреаполь, 
ул. Кленовая, д. 36</t>
  </si>
  <si>
    <t>г. Андреаполь, 
ул. М. Складская, д. 6</t>
  </si>
  <si>
    <t>г. Андреаполь, 
ул. М. Складская, д. 8</t>
  </si>
  <si>
    <t>ул. Маяковского, д. 20</t>
  </si>
  <si>
    <t>ул. Советская, д. 9</t>
  </si>
  <si>
    <t>1991</t>
  </si>
  <si>
    <t>г. Кувшиново, ул. Бумажников, д. 4</t>
  </si>
  <si>
    <t>г. Кувшиново, ул. Экономическая, д. 11</t>
  </si>
  <si>
    <t>г. Кувшиново, пер. Маяковского, д. 7</t>
  </si>
  <si>
    <t>г. Кувшиново, пер. Маяковского, д. 8</t>
  </si>
  <si>
    <t>г. Кувшиново, пер. Маяковского, д. 5</t>
  </si>
  <si>
    <t>г. Кувшиново, ул. Маяковского, д. 22</t>
  </si>
  <si>
    <t>г. Кувшиново, ул. Советская, д. 3</t>
  </si>
  <si>
    <t>г. Кувшиново, ул. Бумажников, д. 10</t>
  </si>
  <si>
    <t>ул. Смирнова, д. 1</t>
  </si>
  <si>
    <t>пгт Васильевский Мох, ул. Больничная, д. 6</t>
  </si>
  <si>
    <t>пгт Васильевский Мох, ул. Смирнова, д. 1</t>
  </si>
  <si>
    <t>г. Красный Холм, пер. Свободы Малый, д. 15</t>
  </si>
  <si>
    <t>г. Красный Холм, ул. Базарная, д. 65</t>
  </si>
  <si>
    <t>1965</t>
  </si>
  <si>
    <t>1964</t>
  </si>
  <si>
    <t>1972</t>
  </si>
  <si>
    <t>г. Красный Холм, 
пер. Свободы Малый,                         д. 15</t>
  </si>
  <si>
    <t>г. Зубцов, ул. Электроподстанции, д. 1</t>
  </si>
  <si>
    <t>пгт Озерный, ул. Комсомольская, д. 1</t>
  </si>
  <si>
    <t>пгт Озерный, ул. Комсомольская, д. 2</t>
  </si>
  <si>
    <t>пгт Озерный, ул. Труда, д. 5</t>
  </si>
  <si>
    <t>пгт Озерный, ул. Загородная, д. 2</t>
  </si>
  <si>
    <t>пгт Озерный, ул. Советская, д. 3</t>
  </si>
  <si>
    <t>пгт Озерный, ул. Московская, д. 8</t>
  </si>
  <si>
    <t>пгт Озерный, ул. Московская, д. 1</t>
  </si>
  <si>
    <t>пгт Озерный, ул. Советская, д. 4</t>
  </si>
  <si>
    <t>пгт Озерный, ул. Московская, д. 17</t>
  </si>
  <si>
    <t>пгт Озерный, ул. Ленинградская, д. 16</t>
  </si>
  <si>
    <t>пгт Озерный, ул. Труда, д. 3</t>
  </si>
  <si>
    <t>пгт Озерный, ул. Московская, д. 15</t>
  </si>
  <si>
    <t xml:space="preserve">пгт Озерный, ул. Гвардейская, д. 5 </t>
  </si>
  <si>
    <t>пгт Озерный, ул. Труда, д. 4</t>
  </si>
  <si>
    <t>пгт Озерный, ул. Строителей, д. 1</t>
  </si>
  <si>
    <t>пгт Озерный, ул. Киевская, д. 5а</t>
  </si>
  <si>
    <t>пгт Озерный, пер. Садовый, д. 3</t>
  </si>
  <si>
    <t>пгт Озерный, ул. Московская, д. 2</t>
  </si>
  <si>
    <t>пгт Озерный, ул. Московская, д. 4</t>
  </si>
  <si>
    <t>пгт Озерный, пер. Садовый, д. 4</t>
  </si>
  <si>
    <t>п. Белый Городок, ул. Школьная, д. 16</t>
  </si>
  <si>
    <t>п. Белый Городок, ул. Заводская, д. 2</t>
  </si>
  <si>
    <t>п. Белый Городок, ул. Заводская, д. 5</t>
  </si>
  <si>
    <t>п. Белый Городок, ул. Лесная, д. 6</t>
  </si>
  <si>
    <t>п. Белый Городок, ул. Лесная, д. 9</t>
  </si>
  <si>
    <t>п. Белый Городок, ул. Главная, д. 20</t>
  </si>
  <si>
    <t>п. Молоково, ул. Народная, д. 4</t>
  </si>
  <si>
    <t>г. Весьегонск, пер. Строителей, д. 3</t>
  </si>
  <si>
    <t>г. Весьегонск, ул. Кирова, д. 86</t>
  </si>
  <si>
    <t>г. Весьегонск, 
ул. Павлика Морозова, д. 28</t>
  </si>
  <si>
    <t>г. Весьегонск, 
ул. Кирова, д. 86</t>
  </si>
  <si>
    <t>г. Весьегонск, 
ул. Коммунистическая, д. 12</t>
  </si>
  <si>
    <t>пгт Радченко, д. 13</t>
  </si>
  <si>
    <t>пгт Радченко, д. 37</t>
  </si>
  <si>
    <t>пгт Старая Торопа, ул. Комсомольская, д. 13</t>
  </si>
  <si>
    <t>г. Западная Двина, ул. Калинина, д. 8</t>
  </si>
  <si>
    <t>г. Западная Двина, ул. Фадеева, д. 30</t>
  </si>
  <si>
    <t>г. Западная Двина, 
ул. Мира, д. 35а</t>
  </si>
  <si>
    <t>г. Западная Двина, 
ул. Калинина, д. 8</t>
  </si>
  <si>
    <t>г. Западная Двина, 
ул. Фадеева, д. 30</t>
  </si>
  <si>
    <t>г. Бологое, ул. Гагарина, д. 6</t>
  </si>
  <si>
    <t>г. Бологое, ул. Кирова, д. 53</t>
  </si>
  <si>
    <t>г. Бологое, ул. Дружбы, д. 2</t>
  </si>
  <si>
    <t>г. Бологое, ул. Горская, д. 98</t>
  </si>
  <si>
    <t>г. Бологое, ул. Кирова, д. 3</t>
  </si>
  <si>
    <t>г. Бологое, мкр-н Заводской, д. 10</t>
  </si>
  <si>
    <t>г. Бологое, ул. Октябрьская, д. 7</t>
  </si>
  <si>
    <t>г. Бологое, ул. Луначарского, д. 5</t>
  </si>
  <si>
    <t>г. Бологое, ул. Дзержинского, д. 2</t>
  </si>
  <si>
    <t>г. Бологое, ул. Кирова, д. 1</t>
  </si>
  <si>
    <t>г. Бологое, ул. Мира, д. 195</t>
  </si>
  <si>
    <t>г. Бологое, ул. Луначарского, д. 35</t>
  </si>
  <si>
    <t>г. Бологое, мкр. Заводской, д. 10</t>
  </si>
  <si>
    <t>г. Бологое, мкр. Западный, д. 2</t>
  </si>
  <si>
    <t>г. Бологое, ул. Ленина, д. 8</t>
  </si>
  <si>
    <t>г. Бологое, ул. Гагарина, д. 8</t>
  </si>
  <si>
    <t>г. Бологое, ул. Дачная, д. 12а</t>
  </si>
  <si>
    <t>г. Бологое, ул. Ленинская, д. 4а</t>
  </si>
  <si>
    <t>г. Бологое, ул. Кирова, д. 20</t>
  </si>
  <si>
    <t>г. Бологое, ул. Дачная, д. 19</t>
  </si>
  <si>
    <t>г. Бологое, мкр. Заводской, д. 15</t>
  </si>
  <si>
    <t>г. Бологое, ул. Луначарского, д. 33а</t>
  </si>
  <si>
    <t>г. Бологое, ул. Совхозная, д. 29</t>
  </si>
  <si>
    <t>г. Бологое, ул. Студенческая, д. 9</t>
  </si>
  <si>
    <t>г. Бологое, ул. Октябрьская, д. 15</t>
  </si>
  <si>
    <t>г. Бологое, ул. Северная, д. 15</t>
  </si>
  <si>
    <t>г. Бологое, ул. Луначарского, д. 43</t>
  </si>
  <si>
    <t>г. Конаково, пр-т Ленина, д. 11</t>
  </si>
  <si>
    <t>г. Конаково, пр-т Ленина, д. 12</t>
  </si>
  <si>
    <t>г. Конаково, ул. Васильковского, д. 5</t>
  </si>
  <si>
    <t>г. Конаково, ул. Энергетиков, д. 17</t>
  </si>
  <si>
    <t>г. Конаково, ул. Васильковского, д. 1а</t>
  </si>
  <si>
    <t>г. Конаково, ул. Горького, д. 3</t>
  </si>
  <si>
    <t>г. Конаково, ул. Горького, д. 3а</t>
  </si>
  <si>
    <t>г. Конаково, ул. Энергетиков, д. 28</t>
  </si>
  <si>
    <t>г. Конаково, пр-т Ленина, д. 2</t>
  </si>
  <si>
    <t>г. Конаково, ул. Гагарина, д. 7</t>
  </si>
  <si>
    <t>г. Конаково, ул. Новая, д. 2</t>
  </si>
  <si>
    <t>г. Конаково, ул. Баскакова, д. 33</t>
  </si>
  <si>
    <t>г. Конаково, ул. Революции, д. 2</t>
  </si>
  <si>
    <t>г. Конаково, пр-т Ленина, д. 4</t>
  </si>
  <si>
    <t>г. Конаково, проезд Торговый, д. 1</t>
  </si>
  <si>
    <t>г. Конаково, ул. Энергетиков, д. 34</t>
  </si>
  <si>
    <t>г. Конаково, пр-т Ленина, д. 32</t>
  </si>
  <si>
    <t>г. Конаково, ул. Гагарина, д. 32</t>
  </si>
  <si>
    <t>г. Конаково, ул. Энергетиков, д. 28а</t>
  </si>
  <si>
    <t>г. Конаково, ул. Строителей, д. 20</t>
  </si>
  <si>
    <t xml:space="preserve">г. Конаково, пр-т Ленина,  д. 8 </t>
  </si>
  <si>
    <t>г. Конаково, ул. Декабристов, д. 22</t>
  </si>
  <si>
    <t>г. Конаково, ул. Гагарина, д. 16</t>
  </si>
  <si>
    <t>г. Конаково, ул. Гагарина, д. 29</t>
  </si>
  <si>
    <t>г. Конаково, ул. Гагарина, д. 8</t>
  </si>
  <si>
    <t>г. Конаково, ул. Декабристов, д. 21</t>
  </si>
  <si>
    <t>г. Конаково, ул. Коллективная, д. 39</t>
  </si>
  <si>
    <t>г. Конаково, ул. Строителей, д. 6</t>
  </si>
  <si>
    <t>г. Конаково, ул. Энергетиков, д. 5</t>
  </si>
  <si>
    <t>г. Конаково, ул. Учебная, д. 13</t>
  </si>
  <si>
    <t>г. Конаково, пр-т Ленина,          д. 11</t>
  </si>
  <si>
    <t>г. Конаково, пр-т Ленина,           д. 12</t>
  </si>
  <si>
    <t>г. Конаково, ул. Горького,               д. 3</t>
  </si>
  <si>
    <t>г. Конаково, ул. Горького,              д. 3а</t>
  </si>
  <si>
    <t>г. Конаково,                                 ул. Энергетиков, д. 28</t>
  </si>
  <si>
    <t>г. Конаково, пр-т Ленина,              д. 2</t>
  </si>
  <si>
    <t>г. Конаково, ул. Гагарина,                   д. 7</t>
  </si>
  <si>
    <t>г. Конаково, ул. Новая,                           д. 2</t>
  </si>
  <si>
    <t>г. Конаково, ул. Баскакова,                           д. 33</t>
  </si>
  <si>
    <t>г. Конаково, ул. Революции,    д. 2</t>
  </si>
  <si>
    <t>г. Конаково, пр-т Ленина,               д. 4</t>
  </si>
  <si>
    <t>г. Конаково, пр-т Ленина,                                д. 32</t>
  </si>
  <si>
    <t>г. Конаково, ул. Гагарина,                                     д. 32</t>
  </si>
  <si>
    <t>г. Конаково, пр-т Ленина,                    д. 4</t>
  </si>
  <si>
    <t xml:space="preserve">г. Конаково, пр-т Ленина,                          д. 8 </t>
  </si>
  <si>
    <t>г. Конаково, ул. Гагарина,                           д. 16</t>
  </si>
  <si>
    <t>г. Конаково, ул. Гагарина,                               д. 29</t>
  </si>
  <si>
    <t>г. Конаково, ул. Гагарина,                           д. 8</t>
  </si>
  <si>
    <t>г. Конаково, ул. Учебная,                               д. 13</t>
  </si>
  <si>
    <t>д. Колталово, ул. Зеленая, д. 22</t>
  </si>
  <si>
    <t>с. Красная Гора, ул. Центральная, д. 14</t>
  </si>
  <si>
    <t>с. Красная Гора, 
ул. Центральная, д. 14</t>
  </si>
  <si>
    <t>г. Удомля, пр-т Энергетиков, д. 6а</t>
  </si>
  <si>
    <t>г. Удомля, ул. Вышневолоцкое шоссе, д. 6</t>
  </si>
  <si>
    <t>г. Удомля, ул. Энтузиастов, д. 4а</t>
  </si>
  <si>
    <t>г. Удомля, ул. Энтузиастов, д. 10а</t>
  </si>
  <si>
    <t>г. Удомля, ул. Вышневолоцкое шоссе, д. 5</t>
  </si>
  <si>
    <t>г. Удомля, ул. Курчатова, д. 8</t>
  </si>
  <si>
    <t>г. Удомля, ул. Октябрьская, д. 23а</t>
  </si>
  <si>
    <t>г. Удомля, ул. Карла Маркса, д. 23а</t>
  </si>
  <si>
    <t>г. Удомля, ул. Карла Маркса, д. 27</t>
  </si>
  <si>
    <t>г. Удомля, ул. Космонавтов, д. 7</t>
  </si>
  <si>
    <t>г. Удомля, пр-т Энергетиков, д. 10</t>
  </si>
  <si>
    <t>г. Удомля, ул. Курчатова,                      д. 8</t>
  </si>
  <si>
    <t>пос. Селижарово, ул. Новая, д. 11</t>
  </si>
  <si>
    <t>пос. Селижарово, ул. Энгельса, д. 82</t>
  </si>
  <si>
    <t>пос. Селижарово, ул. Комсомольская, д. 32</t>
  </si>
  <si>
    <t>пос. Селижарово, 
ул. Новая, д. 11</t>
  </si>
  <si>
    <t xml:space="preserve">пос. Селижарово, 
ул. Энгельса, д. 82 </t>
  </si>
  <si>
    <t>пос. Селижарово, 
ул. Комсомольская, д. 32</t>
  </si>
  <si>
    <t>пос. Селижарово, 
ул. Гагарина, д. 2</t>
  </si>
  <si>
    <t>пос. Заволжский, д. 25</t>
  </si>
  <si>
    <t>пос. Заволжский, д. 2</t>
  </si>
  <si>
    <t>п. Заволжский, д. 2</t>
  </si>
  <si>
    <t>Кесовогорский муниципальный округ</t>
  </si>
  <si>
    <t>пгт Кесова Гора, ул. Старовокзальная, д. 4а</t>
  </si>
  <si>
    <t>Итого по МО Кесовогорский муниципальный округ</t>
  </si>
  <si>
    <t>пгт Козлово, ул. Прядильщиков, д. 6а</t>
  </si>
  <si>
    <t>пгт Козлово, ул. Прядильщиков, д. 4</t>
  </si>
  <si>
    <t>пгт Козлово, ул. Октябрьская, д. 45</t>
  </si>
  <si>
    <t>пос. Сонково, ул. Артамонова, д. 1а</t>
  </si>
  <si>
    <t>с. Дмитрова Гора, ул. Центральная, д. 3</t>
  </si>
  <si>
    <t>с. Дмитрова Гора, ул. Центральная, 
д. 3</t>
  </si>
  <si>
    <t>2025</t>
  </si>
  <si>
    <t>5, 4, 2</t>
  </si>
  <si>
    <t>4, 5</t>
  </si>
  <si>
    <t>5, 9</t>
  </si>
  <si>
    <t>г. Вышний Волочек, ул. Ванчакова линия, д. 33</t>
  </si>
  <si>
    <t>г. Вышний Волочек, ул. Куйбышева, д. 15а</t>
  </si>
  <si>
    <t>г. Вышний Волочек, ул. Бейшлотская набережная, д. 131</t>
  </si>
  <si>
    <t>г. Вышний Волочек, ул. Ванчакова линия, д. 39-41</t>
  </si>
  <si>
    <t>г. Вышний Волочек, ул. Красный Городок, д. 407</t>
  </si>
  <si>
    <t>г. Вышний Волочек, ул. Екатерининская, д. 7/9</t>
  </si>
  <si>
    <t>с. Есеновичи, ул. Площадь Правды, д. 21</t>
  </si>
  <si>
    <t>п. Пригородный, ул. Мелиораторов, д. 9</t>
  </si>
  <si>
    <t>г. Вышний Волочек, ул. Красноармейская, д. 1</t>
  </si>
  <si>
    <t>г. Вышний Волочек, ул. Бейшлотская набережная, д. 131А</t>
  </si>
  <si>
    <t>г. Вышний Волочек, ул. Красных Печатников, д. 55</t>
  </si>
  <si>
    <t>г. Вышний Волочек, ул. Правды, д. 29</t>
  </si>
  <si>
    <t>п. Есеновичи, ул. Первомайская, д. 1а</t>
  </si>
  <si>
    <t>пгт Красномайский, ул. Ленинградская, д. 1</t>
  </si>
  <si>
    <t xml:space="preserve">п. Пригородный, ул. Ленинградская, д. 8 </t>
  </si>
  <si>
    <t>п. Терелесовский, ул. Рабочая, д. 5/2</t>
  </si>
  <si>
    <t>г. Вышний Волочек, ул. Егорова, д. 10</t>
  </si>
  <si>
    <t>г. Вышний Волочек, ул. Крылова, д. 1/2</t>
  </si>
  <si>
    <t>г. Вышний Волочек, ул. Правды, д. 41</t>
  </si>
  <si>
    <t>г. Вышний Волочек, ул. Максима Горького, д. 10</t>
  </si>
  <si>
    <t>г. Вышний Волочек, ул. Красный городок, д. 260</t>
  </si>
  <si>
    <t>г. Вышний Волочек, ул. Быкова гора, д. 1</t>
  </si>
  <si>
    <t>г. Вышний Волочек, ул. Большая Садовая, д. 69</t>
  </si>
  <si>
    <t>г. Вышний Волочек, Казанский пр-т, д. 86</t>
  </si>
  <si>
    <t>г. Вышний Волочек, ул. Большая Садовая, д. 80</t>
  </si>
  <si>
    <t>Вышневолоцкий район,  п. Белый Омут, ул. Советская, д. 2</t>
  </si>
  <si>
    <t>Вышневолоцкий район, п. Академический, ул. Фабричная, д. 3 </t>
  </si>
  <si>
    <t>г. Вышний Волочек, ул. Екатерининская, д. 39</t>
  </si>
  <si>
    <t>Вышневолоцкий район, п. Академический, ул. Октябрьская, д. 1</t>
  </si>
  <si>
    <t>Вышневолоцеий район, п. Борисовский, ул. Октябрьская, д. 17</t>
  </si>
  <si>
    <t>Вышневолоцкий район, п. Приозерный, ул. Дорожная, д. 6</t>
  </si>
  <si>
    <t>г. Вышний Волочек, ул. Красноармейская, д. 11</t>
  </si>
  <si>
    <t>Вышневолоцкий район, п. Пригородный, ул. Мелиораторов, д. 7</t>
  </si>
  <si>
    <t>г. Вышний Волочек, наб. Валентины Терешковой, д. 41</t>
  </si>
  <si>
    <t>г. Вышний Волочек, пр-т. Казанский, д. 106/112</t>
  </si>
  <si>
    <t>г. Вышний Волочек, Ванчакова линия, д. 5</t>
  </si>
  <si>
    <t>г. Вышний Волочек, ул. Екатерининская, д. 4-6</t>
  </si>
  <si>
    <t>г. Вышний Волочек, ул. Б. Зайцева, д. 15а</t>
  </si>
  <si>
    <t>г. Вышний Волочек, ул. Двор фабрики  "Пролетарский Авангард", д. 41</t>
  </si>
  <si>
    <t>Вышневолоцкий район, п. Приозерный, ул. Дорожная, д. 4</t>
  </si>
  <si>
    <t>Вышневодлоцкий район, п. Приозерный, ул. Дорожная, д. 4а</t>
  </si>
  <si>
    <t>Вышневолоцкий район, п. Академический, ул. Пионерская, д. 1</t>
  </si>
  <si>
    <t>г. Вышний Волочек, ш. Московское, д. 109 б</t>
  </si>
  <si>
    <t>г. Вышний Волочек, ул. Большая Садовая, д. 82</t>
  </si>
  <si>
    <t>г. Вышний Волочек, ул. 4-я Пролетарская, д. 98/2</t>
  </si>
  <si>
    <t>Вышневолоцкий район, п. Приозерный, ул. Дорожная, д. 5</t>
  </si>
  <si>
    <t>Вышневолоцкий район, п. Академический, ул. Пионерская, д. 2</t>
  </si>
  <si>
    <t>Итого по МО   Ржевский муниципальный округ</t>
  </si>
  <si>
    <t>г. Тверь, ул. Зинаиды Коноплянниковой, д. 8</t>
  </si>
  <si>
    <t>г. Тверь, пос. Химинститута, д. 46</t>
  </si>
  <si>
    <t>г. Тверь, пер. Свободный, д. 1Г</t>
  </si>
  <si>
    <t>г. Тверь, ул. Громова, д. 14</t>
  </si>
  <si>
    <t>г. Тверь, наб. Степана Разина, д. 8</t>
  </si>
  <si>
    <t>г. Тверь, ул. Маяковского, д. 36/94</t>
  </si>
  <si>
    <t>г. Тверь, наб. реки Лазури, д. 14</t>
  </si>
  <si>
    <t>г. Тверь, наб. Афанасия Никитина, д. 82/2</t>
  </si>
  <si>
    <t>г. Тверь, ул. Мусоргского, д. 36А</t>
  </si>
  <si>
    <t>г. Тверь, 1-ый переулок (поселок Элеватор), д. 1</t>
  </si>
  <si>
    <t>г. Тверь, бульвар Гусева, д. 40</t>
  </si>
  <si>
    <t>г. Тверь, ул. Фрунзе, д. 6</t>
  </si>
  <si>
    <t>г. Тверь, ул. Резинстроя, д. 2/7</t>
  </si>
  <si>
    <t>г. Тверь, ул. Ипподромная, д. 21</t>
  </si>
  <si>
    <t>г. Тверь, ул. Резинстроя, д. 6</t>
  </si>
  <si>
    <t>г. Тверь, ул. Орджоникидзе, д. 5</t>
  </si>
  <si>
    <t>г. Тверь, ул. Орджоникидзе, д. 6/1</t>
  </si>
  <si>
    <t>г. Тверь, ул. 15 лет Октября, д. 46А</t>
  </si>
  <si>
    <t>г. Тверь, ул. Лукина, д. 12</t>
  </si>
  <si>
    <t>г. Тверь, ул. Московская, д. 78</t>
  </si>
  <si>
    <t>г. Тверь, ул. Орджоникидзе, д. 12/1</t>
  </si>
  <si>
    <t>г. Тверь, ул. Склизкова, д. 27</t>
  </si>
  <si>
    <t>г. Тверь, ул. Тамары Ильиной, д. 21</t>
  </si>
  <si>
    <t>г. Тверь, наб. реки Лазури, д. 12</t>
  </si>
  <si>
    <t>г. Тверь, наб. реки Лазури, д. 7</t>
  </si>
  <si>
    <t>г. Тверь, пер. Беляковский, д. 32</t>
  </si>
  <si>
    <t>г. Тверь, пр-т Победы, д. 44</t>
  </si>
  <si>
    <t>г. Тверь, пр-т Победы, д. 44А</t>
  </si>
  <si>
    <t>г. Тверь, наб. Афанасия Никитина, д. 144 корп. 1</t>
  </si>
  <si>
    <t>г. Тверь, проезд Зеленый, д. 45 корп. 6</t>
  </si>
  <si>
    <t>г. Тверь, ул. 15 лет Октября, д. 63 корп. 1</t>
  </si>
  <si>
    <t>г. Тверь, ул. Хромова, д. 18 корп. 1</t>
  </si>
  <si>
    <t>г. Тверь, проезд Зеленый, д. 45 корп. 7</t>
  </si>
  <si>
    <t>г. Тверь, пр-т Октябрьский, д. 87 корп. 2</t>
  </si>
  <si>
    <t>г. Тверь, ул. Склизкова, д. 94</t>
  </si>
  <si>
    <t>г. Тверь, ул. Лукина, д. 6</t>
  </si>
  <si>
    <t>г. Тверь, ул. Богданова, д. 22 корп. 1</t>
  </si>
  <si>
    <t>г. Тверь, наб. реки Лазури, д. 6/1</t>
  </si>
  <si>
    <t>г. Тверь, ул. Богданова, д. 26/17</t>
  </si>
  <si>
    <t>г. Тверь, ул. Орджоникидзе, д. 22/25</t>
  </si>
  <si>
    <t>г. Тверь, ул. Ротмистрова, д. 18</t>
  </si>
  <si>
    <t>г. Тверь, ул. Орджоникидзе, д. 10/2</t>
  </si>
  <si>
    <t>г. Тверь, ул. Склизкова, д. 68</t>
  </si>
  <si>
    <t>г. Тверь, пр-т Победы, д. 22/15</t>
  </si>
  <si>
    <t>г. Тверь, пр-т Волоколамский, д. 9</t>
  </si>
  <si>
    <t>г. Тверь, пос. Химинститута, д. 57</t>
  </si>
  <si>
    <t>г. Тверь, пос. 2-е Городское торфопредприятие, д. 10</t>
  </si>
  <si>
    <t>г. Тверь, ул. Горького,  д.  88А</t>
  </si>
  <si>
    <t>г. Тверь, пр-т Победы, д. 42</t>
  </si>
  <si>
    <t>г. Тверь, пр-т Победы, д. 42А</t>
  </si>
  <si>
    <t>г. Тверь, Двор Пролетарки,  д. 43</t>
  </si>
  <si>
    <t>г. Тверь, ул. Крылова, д. 29/40</t>
  </si>
  <si>
    <t>г. Тверь, ул. Маршала Буденного, д. 19/1</t>
  </si>
  <si>
    <t>г. Тверь, ул. 15 лет Октября, д. 64/23</t>
  </si>
  <si>
    <t>г. Тверь, ул. 15 лет Октября, д. 62 корп. 1</t>
  </si>
  <si>
    <t>г. Тверь, ул. Ротмистрова, д. 20</t>
  </si>
  <si>
    <t>г. Тверь, ул. Ипподромная, д. 7 корп. 1</t>
  </si>
  <si>
    <t>г. Тверь, ул. Тамары Ильиной, д. 7 корп. 1</t>
  </si>
  <si>
    <t>г. Тверь, бульвар Радищева, д. 26</t>
  </si>
  <si>
    <t>г. Тверь, ул. Академика Туполева, д. 112/24</t>
  </si>
  <si>
    <t>г. Тверь, ул. Паши Савельевой, д. 7</t>
  </si>
  <si>
    <t>г. Тверь, ул. Орджоникидзе, д. 8</t>
  </si>
  <si>
    <t>г. Тверь, ул. Гвардейская, д. 5</t>
  </si>
  <si>
    <t>г. Тверь, пр-т Победы, д. 36/46</t>
  </si>
  <si>
    <t>г. Тверь, ул. Маршала Василевского, д. 20</t>
  </si>
  <si>
    <t>г. Тверь, пр-т Ленина, д. 43</t>
  </si>
  <si>
    <t>г. Тверь, ул. Мичурина, д. 37/23</t>
  </si>
  <si>
    <t>г. Тверь, ул. Горького, д. 10</t>
  </si>
  <si>
    <t>г. Тверь, ул. Громова, д. 36 корп. 2</t>
  </si>
  <si>
    <t>г. Тверь, ул. Королева, д. 4</t>
  </si>
  <si>
    <t>г. Тверь, Петербургское шоссе, д. 7А</t>
  </si>
  <si>
    <t>г. Тверь, пр-т Победы, д. 28 корп. 1</t>
  </si>
  <si>
    <t>г. Тверь, пр-т Калинина, д. 9</t>
  </si>
  <si>
    <t>г. Тверь, пр-т Ленина, д. 40</t>
  </si>
  <si>
    <t>г. Тверь, ул. Советская,  д. 24</t>
  </si>
  <si>
    <t>г. Тверь, ул. Спартака, д. 4/2</t>
  </si>
  <si>
    <t>г. Тверь, ул. Благоева, д. 6А</t>
  </si>
  <si>
    <t>г. Тверь, пр-т Чайковского, д. 24/2Б</t>
  </si>
  <si>
    <t>г. Тверь, пр-т Николая Корыткова, д. 44 А</t>
  </si>
  <si>
    <t>г. Тверь, ул. Громова, д. 44</t>
  </si>
  <si>
    <t>г. Тверь, тер. двор Пролетарки, д. 43</t>
  </si>
  <si>
    <t>г. Тверь, тер. двор Пролетарки, д. 164</t>
  </si>
  <si>
    <t>г. Тверь, ул. Инициативная, д. 10/11</t>
  </si>
  <si>
    <t>г. Тверь, ул. Маршала Захарова, д. 12</t>
  </si>
  <si>
    <t>г. Тверь, ул. Маршала Захарова, д. 16/17</t>
  </si>
  <si>
    <t>г. Тверь, пр-т Октябрьский, д. 87, корп. 1</t>
  </si>
  <si>
    <t>г. Тверь, шоссе Петербургское, д. 53</t>
  </si>
  <si>
    <t>г. Тверь, ул. Пушкинская, д. 2 А</t>
  </si>
  <si>
    <t>г. Тверь, переулок Студенческий, д. 30А</t>
  </si>
  <si>
    <t>г. Тверь, ул. Ткача, д. 2</t>
  </si>
  <si>
    <t>г. Тверь, ул. Седова, д. 7 в</t>
  </si>
  <si>
    <t>г. Тверь, ул. Екатерины Фарафоновой, д. 45</t>
  </si>
  <si>
    <t>г. Тверь, пр-т Чайковского, д. 4</t>
  </si>
  <si>
    <t>г. Тверь, ул. Орджоникидзе, д. 11</t>
  </si>
  <si>
    <t>г. Тверь, бульвар Гусева, д. 47, корп. 1</t>
  </si>
  <si>
    <t>г. Тверь, бульвар Гусева, д. 47, корп. 3</t>
  </si>
  <si>
    <t>г. Тверь, бульвар Профсоюзов, д. 18, корп. 2</t>
  </si>
  <si>
    <t>г. Тверь, набережная Степана Разина, д. 16</t>
  </si>
  <si>
    <t>г. Тверь, набережная Степана Разина, д. 19</t>
  </si>
  <si>
    <t>г. Тверь, переулок Садовый, д. 37/15</t>
  </si>
  <si>
    <t>г. Тверь, переулок Спортивный, д. 2, корп. 4</t>
  </si>
  <si>
    <t>г. Тверь, переулок Университетский, д. 3</t>
  </si>
  <si>
    <t>г. Тверь, проезд Ремесленный, д. 10а</t>
  </si>
  <si>
    <t>г. Тверь, пр-т Ленина, д. 23/1</t>
  </si>
  <si>
    <t>г. Тверь, пр-т Октябрьский, д. 95, корп. 4</t>
  </si>
  <si>
    <t>г. Тверь, пр-т Победы, д. 48/29</t>
  </si>
  <si>
    <t>г. Тверь, пр-т Тверской, д. 9</t>
  </si>
  <si>
    <t>г. Тверь, ул. Бобкова, д. 24</t>
  </si>
  <si>
    <t>г. Тверь, ул. Богданова, д. 24 корп. 2</t>
  </si>
  <si>
    <t>г. Тверь, ул. Громова, д. 48, корп. 1</t>
  </si>
  <si>
    <t>г. Тверь, ул. Громова, д. 9</t>
  </si>
  <si>
    <t>г. Тверь, ул. Евгения Пичугина, д. 56</t>
  </si>
  <si>
    <t>г. Тверь, ул. Карпинского, д. 12/32</t>
  </si>
  <si>
    <t>г. Тверь, ул. Пушкинская, д. 9</t>
  </si>
  <si>
    <t>г. Тверь, ул. Ржевская, д. 12А</t>
  </si>
  <si>
    <t>г. Тверь, ул. Салтыкова-Щедрина, д. 44</t>
  </si>
  <si>
    <t>г. Тверь, ул. Советская, д. 18</t>
  </si>
  <si>
    <t>г. Тверь, ул. Советская, д. 64</t>
  </si>
  <si>
    <t>г. Тверь, ул. Стахановская, д. 31</t>
  </si>
  <si>
    <t>г. Тверь, ул. Строителей, д. 11/16</t>
  </si>
  <si>
    <t>г. Тверь, ул. Тамары Ильиной, д. 35</t>
  </si>
  <si>
    <t>г. Тверь, ул. Фадеева, д. 38, корп. 2</t>
  </si>
  <si>
    <t>г. Тверь, шоссе Петербургское, д. 19</t>
  </si>
  <si>
    <t>г. Тверь, шоссе Петербургское, д. 43</t>
  </si>
  <si>
    <t>г. Тверь, ул. Можайского, д.  61в</t>
  </si>
  <si>
    <t>г. Тверь, ул. Советская, д.  24</t>
  </si>
  <si>
    <t>г. Тверь, ул. Ткача, д.  2</t>
  </si>
  <si>
    <t>г. Тверь, ул. Новоторжская, д.  14</t>
  </si>
  <si>
    <t>г. Тверь, ул. Пушкинская, д.  2а</t>
  </si>
  <si>
    <t>г. Тверь, ул. Железнодорожников, д.  35, корп. 1</t>
  </si>
  <si>
    <t>г. Тверь, ул. Железнодорожников, д. 35, корп. 2</t>
  </si>
  <si>
    <t>г. Тверь, шоссе Петербургское, д. 7а</t>
  </si>
  <si>
    <t>г. Тверь, бульвар Цанова, д.  21</t>
  </si>
  <si>
    <t>г. Тверь, территория Двор Пролетарки, д.  43</t>
  </si>
  <si>
    <t>г. Тверь, пр-т Чайковского, д.  7</t>
  </si>
  <si>
    <t>г. Тверь, пр-т Ленина, д. 8</t>
  </si>
  <si>
    <t>г. Тверь, ул. Трехсвятская, д.  12</t>
  </si>
  <si>
    <t>г. Тверь, переулок Трудолюбия, д.  37</t>
  </si>
  <si>
    <t>г. Тверь, ул. Зинаиды Коноплянниковой, д. 13</t>
  </si>
  <si>
    <t>г. Тверь, ул. Вагжанова, д.  16</t>
  </si>
  <si>
    <t>г. Тверь, ул. Зинаиды Коноплянниковой, д. 15</t>
  </si>
  <si>
    <t>г. Тверь, шоссе Петербургское, д.  19</t>
  </si>
  <si>
    <t>г. Тверь, пр-т Ленина, д. 28</t>
  </si>
  <si>
    <t>г. Тверь, переулок Свободный, д. 1г</t>
  </si>
  <si>
    <t>г. Тверь, ул. Вольного Новгорода, д. 23</t>
  </si>
  <si>
    <t>г. Тверь, ул. Кирова, д. 5а</t>
  </si>
  <si>
    <t>г. Тверь, ул. Склизкова, д. 35</t>
  </si>
  <si>
    <t>г. Тверь, пос.  Литвинки, д. 23</t>
  </si>
  <si>
    <t>г. Тверь, переулок Садовый 22</t>
  </si>
  <si>
    <t>г. Тверь, ул. Инициативная, д. 9/9</t>
  </si>
  <si>
    <t>г. Тверь, ул. Железнодорожников, д. 28</t>
  </si>
  <si>
    <t>г. Тверь, ул. Лизы Чайкиной, д. 25/2б</t>
  </si>
  <si>
    <t>г. Тверь, ул. Дарвина, д. 2</t>
  </si>
  <si>
    <t>г. Тверь, переулок Партизанский, д.  22/8</t>
  </si>
  <si>
    <t>г. Тверь, ул. 15 лет Октября, д. 47</t>
  </si>
  <si>
    <t>г. Тверь, бульвар Профсоюзов, д. 18 корп.  2</t>
  </si>
  <si>
    <t>г. Тверь, ул. Ржевская, д. 11</t>
  </si>
  <si>
    <t>г. Тверь, ул. Вокзальная, д. 5</t>
  </si>
  <si>
    <t>г. Тверь, ул. Терещенко, д. 36</t>
  </si>
  <si>
    <t>г. Тверь, ул. Ипподромная, д. 19</t>
  </si>
  <si>
    <t>г. Тверь, ул. Коробкова, д. 13</t>
  </si>
  <si>
    <t>г. Тверь, ул. Громова, д. 28 корп. 2</t>
  </si>
  <si>
    <t>г. Тверь, ул. Седова, д. 120а</t>
  </si>
  <si>
    <t>г. Тверь, бульвар Ногина, д. 2</t>
  </si>
  <si>
    <t>г. Тверь, ул. Восстания, д. 11/34</t>
  </si>
  <si>
    <t>г. Тверь, ул. Орджоникидзе, д. 2/1</t>
  </si>
  <si>
    <t>г. Тверь, ул. Горького, д. 15</t>
  </si>
  <si>
    <t>г. Тверь, пр-т Ленина, д. 36</t>
  </si>
  <si>
    <t>г. Тверь, ул. Горького, д. 184</t>
  </si>
  <si>
    <t>г. Тверь, ул. Карла Маркса, д. 9</t>
  </si>
  <si>
    <t>г. Тверь, ул. Благоева, д. 4 корп. 3</t>
  </si>
  <si>
    <t>г. Тверь, ул. Хромова, д. 22</t>
  </si>
  <si>
    <t xml:space="preserve">г. Тверь, ул. Паши Савельевой, д. 39 корп. 3 </t>
  </si>
  <si>
    <t>г. Тверь, ул. Зинаиды Коноплянниковой, д. 24</t>
  </si>
  <si>
    <t>г. Тверь, бульвар Шмидта, д. 38</t>
  </si>
  <si>
    <t>г. Тверь, ул. Красина, д. 53 корп. 1</t>
  </si>
  <si>
    <t>г. Тверь, ул. Красина, д. 53</t>
  </si>
  <si>
    <t>г. Тверь, ул. Мичурина, д. 44 корп. 2</t>
  </si>
  <si>
    <t>г. Тверь, ул. Благоева, д. 6а</t>
  </si>
  <si>
    <t>г. Тверь, шоссе Петербургское, д. 118</t>
  </si>
  <si>
    <t>г. Тверь, переулок Садовый, д. 20</t>
  </si>
  <si>
    <t>г. Тверь, ул. 15 лет Октября, д. 3/22</t>
  </si>
  <si>
    <t>г. Тверь, ул. Орджоникидзе, д. 44</t>
  </si>
  <si>
    <t>г. Тверь, ул. Терещенко, д. 26</t>
  </si>
  <si>
    <t>г. Тверь, ул. Гвардейская, д. 16</t>
  </si>
  <si>
    <t>г. Тверь, проезд Ремесленный, д. 8а</t>
  </si>
  <si>
    <t>г. Тверь, ул. 15 лет Октября, д. 48/15</t>
  </si>
  <si>
    <t>г. Тверь, ул. 15 лет Октября, д. 8</t>
  </si>
  <si>
    <t>г. Тверь, проезд Боровой, д. 10</t>
  </si>
  <si>
    <t>г. Тверь, переулок Садовый, д. 22</t>
  </si>
  <si>
    <t>г. Тверь, ул. Лукина, д. 10</t>
  </si>
  <si>
    <t>г. Тверь, ул. Бочкина, д. 22</t>
  </si>
  <si>
    <t>г. Тверь, набережная Степана Разина, д. 2</t>
  </si>
  <si>
    <t>г. Тверь, 1-ый переулок (пос. Элеватор), д. 1</t>
  </si>
  <si>
    <t>г. Тверь, территория двор Пролетарки, д. 43</t>
  </si>
  <si>
    <t>г. Тверь, территория двор Пролетарки, д. 164</t>
  </si>
  <si>
    <t>пгт Орша, ул. Юбилейная, д. 6</t>
  </si>
  <si>
    <t>пгт Орша, ул. Юбилейная, д. 3</t>
  </si>
  <si>
    <t>пгт Орша, ул. Юбилейная, д. 1/2</t>
  </si>
  <si>
    <t>пгт Орша, ул. Юбилейная, д. 6а</t>
  </si>
  <si>
    <t>г.Ржев, ул.Б.Спасская, д.41/65</t>
  </si>
  <si>
    <t>г.Ржев, ул.Б.Спасская, д.50/70</t>
  </si>
  <si>
    <t>г.Ржев, ул.Косарова, д.49</t>
  </si>
  <si>
    <t>г.Ржев, ул.Калинина, д.53</t>
  </si>
  <si>
    <t>г.Ржев, ул.Краностроителей, д.1</t>
  </si>
  <si>
    <t>г.Ржев, Торопецкий тр., д.2а/21</t>
  </si>
  <si>
    <t>г.Ржев, Красноармейская наб., д.30/1</t>
  </si>
  <si>
    <t>г.Ржев, ул.Республиканская, д.7б</t>
  </si>
  <si>
    <t>г.Ржев, ул.Чкалова, д.41</t>
  </si>
  <si>
    <t>г.Ржев, ул.П.Савельевой, д.119</t>
  </si>
  <si>
    <t>г.Ржев, ул.Рабочая, д.11/67</t>
  </si>
  <si>
    <t>г.Ржев, ул.Б.Спасская, д.46</t>
  </si>
  <si>
    <t>г.Ржев, ул.Б.Спасская, д.48/59</t>
  </si>
  <si>
    <t>г.Ржев, ул.Ленина, д.19</t>
  </si>
  <si>
    <t>г.Ржев, ул.Б.Спасская, д.35/56</t>
  </si>
  <si>
    <t>г.Ржев, ул.Куприянова, д.15</t>
  </si>
  <si>
    <t>г. Ржев, ул. Октябрьская, д. 8а</t>
  </si>
  <si>
    <t>г. Ржев, ул. Большая Спасская, д. 8/27</t>
  </si>
  <si>
    <t>г. Ржев, Торопецкий тракт, д. 2а/21</t>
  </si>
  <si>
    <t>г. Ржев, ул. Краностроителей, д. 1</t>
  </si>
  <si>
    <t xml:space="preserve"> г. Ржев, ул. Садовая, д. 17/11</t>
  </si>
  <si>
    <t>г. Ржев, пл. Советская, д. 11</t>
  </si>
  <si>
    <t>г. Ржев, пл. Советская, д. 2/1</t>
  </si>
  <si>
    <t>г. Ржев,  ул. Рижская, д. 4</t>
  </si>
  <si>
    <t>г. Нелидово, ул. Нахимова, д. 9/12</t>
  </si>
  <si>
    <t>г. Нелидово, ул. Шменкеля, д. 15</t>
  </si>
  <si>
    <t>г. Нелидово, ул. Шменкеля, д. 20</t>
  </si>
  <si>
    <t>г. Нелидово, 
ул. Нахимова, д. 9/12</t>
  </si>
  <si>
    <t>г. Нелидово, 
ул. Шменкеля, д. 15</t>
  </si>
  <si>
    <t>г. Нелидово, 
ул. Шменкеля, д. 20</t>
  </si>
  <si>
    <t xml:space="preserve">Краснохолмский муниципальный округ </t>
  </si>
  <si>
    <t xml:space="preserve">Итого по МО Городенское сельское поселение </t>
  </si>
  <si>
    <t>с. Городня, ул. Садовая, д. 3</t>
  </si>
  <si>
    <t>с. Городня, ул. Ленинградская, д. 187</t>
  </si>
  <si>
    <t>с. Городня, ул. Советская, д. 5</t>
  </si>
  <si>
    <t xml:space="preserve">Итого по МО Никулинское сельское поселение </t>
  </si>
  <si>
    <t>д. Никулино, ул. Юбилейная, д. 2</t>
  </si>
  <si>
    <t>с. Никольское, д. 3</t>
  </si>
  <si>
    <t>Итого по МО Никулинское сельское поселение</t>
  </si>
  <si>
    <t>Сандовский муниципальный округ</t>
  </si>
  <si>
    <t>п. Сандово, ул. Лесная, д. 3</t>
  </si>
  <si>
    <t>п. Сандово, ул. Советская, д. 20</t>
  </si>
  <si>
    <t>п. Сандово, ул. Пионерская, д. 18</t>
  </si>
  <si>
    <t>п. Сандово, ул. Октябрьская, д. 11</t>
  </si>
  <si>
    <t>Итого по МО Выползовское сельское поселение</t>
  </si>
  <si>
    <t>пос. Выползово, ул. Березовая роща, д. 10</t>
  </si>
  <si>
    <t>пос. Выползово, 
ул. Березовая роща, д. 10</t>
  </si>
  <si>
    <t xml:space="preserve">Итого по МО Щербининское сельское поселение </t>
  </si>
  <si>
    <t>ж/д ст. Чуприяновка, ул. Рабочая, д. 3</t>
  </si>
  <si>
    <t>ж/д ст. Чуприяновка,                  ул. Рабочая, д. 3</t>
  </si>
  <si>
    <t>Итого по МО Щербининское сельское поселение</t>
  </si>
  <si>
    <t>Итого по МО сельское поселение «Завидово»</t>
  </si>
  <si>
    <t>д. Мокшино, ул. Ленинградская, д. 8</t>
  </si>
  <si>
    <t>д. Мокшино, ул. Ленинградская, д. 2</t>
  </si>
  <si>
    <t>с. Завидово, ул. Школьная, д. 3</t>
  </si>
  <si>
    <t>д. Мокшино,                                     ул. Ленинградская, д. 8</t>
  </si>
  <si>
    <t>с. Завидово,                                  ул. Школьная, д. 4</t>
  </si>
  <si>
    <t>д. Мокшино,                                    ул. Солнечная, д. 3</t>
  </si>
  <si>
    <t>д. Мокшино,                                 ул. Ленинградская, д. 2</t>
  </si>
  <si>
    <t>с. Завидово,                                       ул. Школьная, д. 3</t>
  </si>
  <si>
    <t>Итого по МО городское поселение 
пос. Редкино</t>
  </si>
  <si>
    <t>Итого по МО городское поселение пос. Редкино</t>
  </si>
  <si>
    <t>Итого по МО городское поселение поселок Редкино</t>
  </si>
  <si>
    <t>Итого по МО Мошковское сельское поселение</t>
  </si>
  <si>
    <t>Итого по МО городское поселение пос. Новозавидовский</t>
  </si>
  <si>
    <t>Итого по МО городское поселение поселок Новозавидовский</t>
  </si>
  <si>
    <t>пос. Радченко, д. 43</t>
  </si>
  <si>
    <t>п. Выползово, ул. Березовая роща, д. 6</t>
  </si>
  <si>
    <t>пос. Приволжский, ул. Центральная, д. 6</t>
  </si>
  <si>
    <t>2</t>
  </si>
  <si>
    <t>2020</t>
  </si>
  <si>
    <t>д. Титово, ул. Центральная, д. 5</t>
  </si>
  <si>
    <t>пос. Приволжский,                       ул. Центральная, д. 6</t>
  </si>
  <si>
    <t>д. Титово,                                        ул. Центральная, д. 5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</si>
  <si>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</si>
  <si>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</si>
  <si>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</si>
  <si>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</si>
  <si>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с. Погорелое Городище, ул. Мелиоративная, 
д. 11</t>
  </si>
  <si>
    <t>с. Погорелое Городище, ул. Мелиоративная, д. 11</t>
  </si>
  <si>
    <t>Пеновский муниципальный округ</t>
  </si>
  <si>
    <t>пос. Пено, ул. З. Голицыной, д. 11</t>
  </si>
  <si>
    <t>пос. Пено, 
ул. З. Голицыной, д. 11</t>
  </si>
  <si>
    <t>Итого по МО Фралевское сельское поселение</t>
  </si>
  <si>
    <t>д. Селезенево, д. 2</t>
  </si>
  <si>
    <t>Итого по МО Кулицкое сельское поселение</t>
  </si>
  <si>
    <t xml:space="preserve">Итого по МО Кулицкое сельское поселение </t>
  </si>
  <si>
    <t>ж/д ст. Кулицкая, ул. Заводская, д. 4а</t>
  </si>
  <si>
    <t>ж/д ст. Кулицкая,               
ул. Заводская, д. 4а</t>
  </si>
  <si>
    <t>Итого по МО Селиховское сельское поселение</t>
  </si>
  <si>
    <t>с. Селихово, ул. Новая, д. 8</t>
  </si>
  <si>
    <t>с. Завидово, ул. Школьная, д. 9</t>
  </si>
  <si>
    <t>ул. Школьная, д. 9</t>
  </si>
  <si>
    <t>Максатихинский муниципальный округ</t>
  </si>
  <si>
    <t>пос. Максатиха, ул. Советская, д. 41а</t>
  </si>
  <si>
    <t>пос. Максатиха, 
ул. Советская, д. 41а</t>
  </si>
  <si>
    <t>пос. Пено, ул. Тарасова, д. 8</t>
  </si>
  <si>
    <t>пос. Пено, 
ул. Тарасова, д. 8</t>
  </si>
  <si>
    <t>г. Калязин, ул. Декабристов, д. 9</t>
  </si>
  <si>
    <t>г. Калязин, ул. Центральная, д. 10</t>
  </si>
  <si>
    <t>пос. Редкино, ул. Фадеева, д. 3</t>
  </si>
  <si>
    <t>пос. Новозавидовский, ул. Фабричная, д. 2</t>
  </si>
  <si>
    <t>пос. Новозавидовский, ул. Лесная, д. 1</t>
  </si>
  <si>
    <t>пос. Новозавидовский, ул. Юбилейная, д. 5</t>
  </si>
  <si>
    <t>г. Нелидово, ул. Горького, 
д. 4</t>
  </si>
  <si>
    <t>г. Нелидово, ул. Нахимова, 
д. 14/13</t>
  </si>
  <si>
    <t>г. Нелидово, ул. Горького, 
д. 10</t>
  </si>
  <si>
    <t>г. Нелидово, ул. Матросова, 
д. 26/1</t>
  </si>
  <si>
    <t>г. Лихославль, 
ул. Лихославльская, 
д. тяговой подстанции</t>
  </si>
  <si>
    <t>г. Лихославль, 
ул. Первомайская, д. 14</t>
  </si>
  <si>
    <t>г. Лихославль, 
ул. Юбилейная, д. 2</t>
  </si>
  <si>
    <t>г. Осташков, ул. Рабочая, 
д. 29</t>
  </si>
  <si>
    <t>г. Осташков, ул. Шевчука, 
д. 3</t>
  </si>
  <si>
    <t>г. Осташков, 
ул. Тимофеевская, д. 66</t>
  </si>
  <si>
    <t>г. Осташков, 
ул. Володарского, д. 43</t>
  </si>
  <si>
    <t>г. Старица, 
ул. Коммунистическая, д. 34</t>
  </si>
  <si>
    <t>д. Берново, ул. Советская, 
д. 8</t>
  </si>
  <si>
    <t>д. Берново, ул. Советская, 
д. 9</t>
  </si>
  <si>
    <t>г. Торопец, 
ул. Комсомольская, д. 40</t>
  </si>
  <si>
    <t>г. Торопец, ул. Советская, 
д. 130у</t>
  </si>
  <si>
    <t>г. Удомля, ул. Венецианова, 
д. 3</t>
  </si>
  <si>
    <t>г. Удомля, ул. Энтузиастов, 
д. 6/2</t>
  </si>
  <si>
    <t>пгт Озерный, пер. Садовый, 
д. 3</t>
  </si>
  <si>
    <t>пгт Озерный, ул. Киевская, 
д. 5а</t>
  </si>
  <si>
    <t>пгт Озерный, пер. Садовый, 
д. 4</t>
  </si>
  <si>
    <t>пгт Озерный, ул. Советская, 
д. 4</t>
  </si>
  <si>
    <t>г. Торжок, Тверецкая наб., 
д. 80</t>
  </si>
  <si>
    <t>г. Весьегонск, ул. Парковая, д. 6</t>
  </si>
  <si>
    <t>г. Кашин, ул. Ивана Тургенева, д. 3</t>
  </si>
  <si>
    <t>пос.  Изоплит, ул. Пионерская, д. 7</t>
  </si>
  <si>
    <t>г. Кувшиново, ул. Маяковского, д. 20</t>
  </si>
  <si>
    <t>г.Ржев, ул. Мира, д. 4</t>
  </si>
  <si>
    <t>г.Ржев, ул. Мира, д. 10</t>
  </si>
  <si>
    <t>г.Ржев, ул. Разина, д. 3</t>
  </si>
  <si>
    <t>г.Ржев, ул. Б.Спасская, д. 41/65</t>
  </si>
  <si>
    <t>г. Тверь, наб. Афанасия Никитина, д. 144,
 корп. 1</t>
  </si>
  <si>
    <t>г.Ржев, ул. П.Савельевой, д. 119</t>
  </si>
  <si>
    <t>г.Ржев, ул .Рабочая, д. 11/67</t>
  </si>
  <si>
    <t>г.Ржев, ул. Б.Спасская, д. 46</t>
  </si>
  <si>
    <t>г.Ржев, ул. Б.Спасская, д. 48/59</t>
  </si>
  <si>
    <t>г.Ржев, ул. Ленина, д. 19</t>
  </si>
  <si>
    <t>г.Ржев, ул. Б.Спасская, д. 35/56</t>
  </si>
  <si>
    <t>г.Ржев, ул. Калинина, д. 53</t>
  </si>
  <si>
    <t>г.Ржев, ул. Бехтерева, д. 84</t>
  </si>
  <si>
    <t>г.Ржев, ул. Косарова, д. 64</t>
  </si>
  <si>
    <t>г.Ржев, ул. Железнодорожная, д. 40</t>
  </si>
  <si>
    <t>г.Ржев, ул. Октябрьская, д. 47</t>
  </si>
  <si>
    <t>г.Ржев, Ленинградское ш., д. 15</t>
  </si>
  <si>
    <t>г.Ржев, ул. Куприянова, д. 15</t>
  </si>
  <si>
    <t>г. Тверь, пр-т Победы, д. 68 корп. 4</t>
  </si>
  <si>
    <t>г. Тверь, пр-т Победы, д. 68 корп. 1</t>
  </si>
  <si>
    <t>г. Вышний Волочек, ул. Пашинская, д. 11</t>
  </si>
  <si>
    <t>Вышневолоцкий район, пгт Красномайский, 
ул. Железнодорожная, д. 19</t>
  </si>
  <si>
    <t>г. Вышний Волочек, ул. Двор фабрики  «Пролетарский Авангард», д. 41</t>
  </si>
  <si>
    <t>г. Бежецк, проезд Восточный, д. 22</t>
  </si>
  <si>
    <t>г. Белый, ул. Смирнова, д. 16</t>
  </si>
  <si>
    <t>г. Белый, ул. Карла Маркса, д. 3</t>
  </si>
  <si>
    <t>г. Белый, ул. Ленина, д. 31</t>
  </si>
  <si>
    <t>г. Белый, ул. Кирова, д. 8</t>
  </si>
  <si>
    <t>г. Белый , ул. Ленина, д.  50</t>
  </si>
  <si>
    <t>г. Белый, ул. Кирова,д. д. 8</t>
  </si>
  <si>
    <t>г. Белый, ул Ленина, д. 10</t>
  </si>
  <si>
    <t>г. Белый, пер. Аптечный, д.  1</t>
  </si>
  <si>
    <t>г. Кашин, ул. Ленина, д. 8/11</t>
  </si>
  <si>
    <t>г. Кашин. ул. Михаила Калинина, д. 5</t>
  </si>
  <si>
    <t>г. Кашин, ул. Московская, д. 4а</t>
  </si>
  <si>
    <t>г. Кашин, ул. Советская, д. 17</t>
  </si>
  <si>
    <t>г. Кашин, ул.Комсомольская, д. .3</t>
  </si>
  <si>
    <t>г.Кашин, ул.Крестьянская, д. 7/5</t>
  </si>
  <si>
    <t>г. Кашин, ул. Ленина, д. 31</t>
  </si>
  <si>
    <t>г. Кашин, ул. Ленина, д. .36</t>
  </si>
  <si>
    <t>г. Кашин, ул. Михаила Калинина, д. 6</t>
  </si>
  <si>
    <t>г.Кашин, ул.Московская, д. 1б</t>
  </si>
  <si>
    <t>г.Ржев, ул.Мира, д. 4</t>
  </si>
  <si>
    <t>г.Ржев, ул.Мира, д. 10</t>
  </si>
  <si>
    <t>г.Ржев, ул.Разина, д. 3</t>
  </si>
  <si>
    <t>г.Ржев, ул.Чкалова, д. 41</t>
  </si>
  <si>
    <t>г.Ржев, Красноармейская наб., д. 30/1</t>
  </si>
  <si>
    <t>г.Ржев, Торопецкий тр., 
д. 2а/21</t>
  </si>
  <si>
    <t>г.Ржев, ул.Республиканская, 
д. 7б</t>
  </si>
  <si>
    <t>пос. Жарки, ул. Труда, д. 44</t>
  </si>
  <si>
    <t>г.Ржев, ул.Бехтерева, д. 84</t>
  </si>
  <si>
    <t>г.Ржев, ул.Косарова, д. 64</t>
  </si>
  <si>
    <t>г.Ржев, ул.Железнодорожная, д. 40</t>
  </si>
  <si>
    <t>г.Ржев, ул.Октябрьская, д. 47</t>
  </si>
  <si>
    <t>г. Торжок, ул. Студенческая, 
д. 14а</t>
  </si>
  <si>
    <t>пг. Тверь, р-т Победы, д. 68 корп. 1</t>
  </si>
  <si>
    <t>Вышневолоцкий район, пгт Красномайский, ул. Железнодорожная, д. 19</t>
  </si>
  <si>
    <t>г. Вышний Волочек, пр-т Казанский, д. 106/112</t>
  </si>
  <si>
    <t>г. Ржев,  Советская пл. д. 4</t>
  </si>
  <si>
    <t>г. Белый , ул. Ленина, д. 50</t>
  </si>
  <si>
    <t>г. Белый, пер. Аптечный, д. 1</t>
  </si>
  <si>
    <t>г. Кашин, ул.Комсомольская, д. 3</t>
  </si>
  <si>
    <t>г. Кашин, ул. Ленина, д. 36</t>
  </si>
  <si>
    <t>г. Кашин, ул.Карла Маркса д. 63а</t>
  </si>
  <si>
    <t>д. Тетьково, д. 17</t>
  </si>
  <si>
    <t>Вышневолоцкий район,  п. Белый Омут, 
ул. Советская, д. 2</t>
  </si>
  <si>
    <t>Вышневолоцкий район, п. Академический, 
ул. Пионерская, д. 2</t>
  </si>
  <si>
    <t>г. Вышний Волочек, ул. 4-я Пролетарская, 
д. 98/2</t>
  </si>
  <si>
    <t>пос. Озерки, пр-д Железнодорожный, 
д. 3</t>
  </si>
  <si>
    <t>с. Завидово,  ул. Школьная, д. 5</t>
  </si>
  <si>
    <t xml:space="preserve">Приложение 
к постановлению Правительства 
Тверской области 
от 29.12.2022 № 788-пп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</si>
</sst>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_р_._-;\-* #,##0_р_._-;_-* &quot;-&quot;_р_._-;_-@_-"/>
    <numFmt numFmtId="165" formatCode="_-* #,##0.00_р_._-;\-* #,##0.00_р_._-;_-* &quot;-&quot;??_р_._-;_-@_-"/>
    <numFmt numFmtId="166" formatCode="0.00000"/>
    <numFmt numFmtId="167" formatCode="0.0"/>
    <numFmt numFmtId="168" formatCode="#,##0.00_р_."/>
    <numFmt numFmtId="169" formatCode="\ #,##0.00&quot;    &quot;;\-#,##0.00&quot;    &quot;;&quot; -&quot;#&quot;    &quot;;@\ "/>
    <numFmt numFmtId="170" formatCode="\ #,##0&quot;    &quot;;\-#,##0&quot;    &quot;;&quot; -&quot;#&quot;    &quot;;@\ "/>
    <numFmt numFmtId="171" formatCode="#,##0.00_ ;\-#,##0.00\ "/>
    <numFmt numFmtId="172" formatCode="#,##0.0"/>
  </numFmts>
  <fonts count="7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1"/>
      <charset val="204"/>
    </font>
    <font>
      <sz val="11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u/>
      <sz val="16"/>
      <color theme="0"/>
      <name val="Arial"/>
      <family val="2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30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  <font>
      <sz val="30"/>
      <name val="Times New Roman1"/>
      <charset val="204"/>
    </font>
    <font>
      <sz val="30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30"/>
      <name val="Calibri"/>
      <family val="2"/>
      <charset val="204"/>
    </font>
    <font>
      <sz val="30"/>
      <color theme="5" tint="-0.499984740745262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9" fillId="0" borderId="0"/>
    <xf numFmtId="0" fontId="21" fillId="0" borderId="0"/>
    <xf numFmtId="0" fontId="24" fillId="0" borderId="0"/>
    <xf numFmtId="165" fontId="19" fillId="0" borderId="0" applyFont="0" applyFill="0" applyBorder="0" applyAlignment="0" applyProtection="0"/>
    <xf numFmtId="0" fontId="60" fillId="0" borderId="0"/>
  </cellStyleXfs>
  <cellXfs count="1463">
    <xf numFmtId="0" fontId="0" fillId="0" borderId="0" xfId="0"/>
    <xf numFmtId="0" fontId="0" fillId="2" borderId="0" xfId="0" applyFont="1" applyFill="1"/>
    <xf numFmtId="0" fontId="5" fillId="2" borderId="0" xfId="0" applyFont="1" applyFill="1"/>
    <xf numFmtId="0" fontId="0" fillId="2" borderId="0" xfId="0" applyFill="1"/>
    <xf numFmtId="4" fontId="10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/>
    <xf numFmtId="0" fontId="15" fillId="2" borderId="0" xfId="0" applyFont="1" applyFill="1"/>
    <xf numFmtId="0" fontId="0" fillId="2" borderId="0" xfId="0" applyFont="1" applyFill="1" applyBorder="1"/>
    <xf numFmtId="0" fontId="26" fillId="2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0" fillId="2" borderId="1" xfId="8" applyFont="1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ont="1" applyFill="1" applyAlignment="1"/>
    <xf numFmtId="0" fontId="0" fillId="2" borderId="0" xfId="0" applyFont="1" applyFill="1" applyAlignment="1">
      <alignment vertical="center"/>
    </xf>
    <xf numFmtId="0" fontId="9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/>
    <xf numFmtId="0" fontId="0" fillId="2" borderId="0" xfId="0" applyNumberFormat="1" applyFont="1" applyFill="1"/>
    <xf numFmtId="0" fontId="0" fillId="2" borderId="0" xfId="0" applyFont="1" applyFill="1" applyAlignment="1">
      <alignment horizontal="center" vertical="center"/>
    </xf>
    <xf numFmtId="0" fontId="23" fillId="2" borderId="0" xfId="0" applyFont="1" applyFill="1" applyBorder="1" applyAlignment="1"/>
    <xf numFmtId="4" fontId="0" fillId="2" borderId="0" xfId="0" applyNumberFormat="1" applyFont="1" applyFill="1"/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/>
    <xf numFmtId="0" fontId="1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wrapText="1"/>
    </xf>
    <xf numFmtId="0" fontId="6" fillId="2" borderId="0" xfId="0" applyFont="1" applyFill="1" applyAlignment="1">
      <alignment horizontal="right" vertical="top" wrapText="1"/>
    </xf>
    <xf numFmtId="0" fontId="19" fillId="2" borderId="0" xfId="0" applyFont="1" applyFill="1"/>
    <xf numFmtId="0" fontId="11" fillId="2" borderId="0" xfId="0" applyFont="1" applyFill="1" applyAlignment="1"/>
    <xf numFmtId="0" fontId="11" fillId="2" borderId="0" xfId="0" applyFont="1" applyFill="1" applyAlignment="1">
      <alignment horizontal="center"/>
    </xf>
    <xf numFmtId="4" fontId="5" fillId="2" borderId="0" xfId="0" applyNumberFormat="1" applyFont="1" applyFill="1"/>
    <xf numFmtId="4" fontId="15" fillId="2" borderId="0" xfId="0" applyNumberFormat="1" applyFont="1" applyFill="1"/>
    <xf numFmtId="0" fontId="2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0" fillId="0" borderId="0" xfId="0" applyFont="1" applyBorder="1"/>
    <xf numFmtId="0" fontId="17" fillId="0" borderId="0" xfId="0" applyFont="1"/>
    <xf numFmtId="0" fontId="17" fillId="0" borderId="0" xfId="0" applyFont="1" applyBorder="1"/>
    <xf numFmtId="0" fontId="0" fillId="0" borderId="0" xfId="0" applyFont="1" applyFill="1" applyAlignment="1">
      <alignment wrapText="1"/>
    </xf>
    <xf numFmtId="0" fontId="27" fillId="2" borderId="0" xfId="9" applyFont="1" applyFill="1"/>
    <xf numFmtId="0" fontId="0" fillId="2" borderId="0" xfId="0" applyFont="1" applyFill="1" applyAlignment="1">
      <alignment horizontal="left"/>
    </xf>
    <xf numFmtId="0" fontId="28" fillId="2" borderId="0" xfId="0" applyFont="1" applyFill="1"/>
    <xf numFmtId="0" fontId="16" fillId="2" borderId="0" xfId="0" applyFont="1" applyFill="1"/>
    <xf numFmtId="172" fontId="0" fillId="2" borderId="0" xfId="0" applyNumberFormat="1" applyFont="1" applyFill="1"/>
    <xf numFmtId="172" fontId="5" fillId="2" borderId="0" xfId="0" applyNumberFormat="1" applyFont="1" applyFill="1"/>
    <xf numFmtId="3" fontId="0" fillId="2" borderId="0" xfId="0" applyNumberFormat="1" applyFont="1" applyFill="1"/>
    <xf numFmtId="3" fontId="5" fillId="2" borderId="0" xfId="0" applyNumberFormat="1" applyFont="1" applyFill="1"/>
    <xf numFmtId="3" fontId="6" fillId="2" borderId="0" xfId="0" applyNumberFormat="1" applyFont="1" applyFill="1" applyAlignment="1">
      <alignment horizontal="right" vertical="top" wrapText="1"/>
    </xf>
    <xf numFmtId="0" fontId="0" fillId="0" borderId="0" xfId="0" applyFont="1"/>
    <xf numFmtId="0" fontId="1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5" fillId="2" borderId="0" xfId="0" applyFont="1" applyFill="1" applyAlignment="1"/>
    <xf numFmtId="165" fontId="10" fillId="2" borderId="1" xfId="8" applyFont="1" applyFill="1" applyBorder="1" applyAlignment="1">
      <alignment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0" fontId="27" fillId="2" borderId="0" xfId="9" applyFont="1" applyFill="1" applyAlignment="1">
      <alignment horizontal="center"/>
    </xf>
    <xf numFmtId="0" fontId="29" fillId="2" borderId="0" xfId="0" applyFont="1" applyFill="1" applyBorder="1" applyAlignment="1">
      <alignment horizontal="left" vertical="center" indent="1"/>
    </xf>
    <xf numFmtId="0" fontId="29" fillId="2" borderId="4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vertical="center" indent="1"/>
    </xf>
    <xf numFmtId="0" fontId="29" fillId="2" borderId="6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indent="1"/>
    </xf>
    <xf numFmtId="0" fontId="29" fillId="2" borderId="6" xfId="0" applyFont="1" applyFill="1" applyBorder="1" applyAlignment="1">
      <alignment horizontal="left" indent="1"/>
    </xf>
    <xf numFmtId="0" fontId="29" fillId="2" borderId="3" xfId="0" applyFont="1" applyFill="1" applyBorder="1" applyAlignment="1">
      <alignment horizontal="left" vertical="center" indent="1"/>
    </xf>
    <xf numFmtId="0" fontId="29" fillId="4" borderId="4" xfId="0" applyFont="1" applyFill="1" applyBorder="1" applyAlignment="1">
      <alignment horizontal="left" vertical="center" indent="1"/>
    </xf>
    <xf numFmtId="0" fontId="29" fillId="4" borderId="5" xfId="0" applyFont="1" applyFill="1" applyBorder="1" applyAlignment="1">
      <alignment horizontal="left" vertical="center" indent="1"/>
    </xf>
    <xf numFmtId="0" fontId="29" fillId="4" borderId="6" xfId="0" applyFont="1" applyFill="1" applyBorder="1" applyAlignment="1">
      <alignment horizontal="left" vertical="center" indent="1"/>
    </xf>
    <xf numFmtId="0" fontId="0" fillId="4" borderId="6" xfId="0" applyFill="1" applyBorder="1" applyAlignment="1">
      <alignment horizontal="left" indent="1"/>
    </xf>
    <xf numFmtId="0" fontId="30" fillId="2" borderId="0" xfId="0" applyFont="1" applyFill="1"/>
    <xf numFmtId="0" fontId="31" fillId="2" borderId="0" xfId="0" applyFont="1" applyFill="1" applyBorder="1" applyAlignment="1">
      <alignment horizontal="left" vertical="center" indent="1"/>
    </xf>
    <xf numFmtId="0" fontId="30" fillId="2" borderId="0" xfId="0" applyFont="1" applyFill="1" applyBorder="1"/>
    <xf numFmtId="0" fontId="15" fillId="2" borderId="5" xfId="0" applyFont="1" applyFill="1" applyBorder="1"/>
    <xf numFmtId="0" fontId="29" fillId="2" borderId="0" xfId="0" applyFont="1" applyFill="1" applyBorder="1" applyAlignment="1">
      <alignment horizontal="center" vertical="center"/>
    </xf>
    <xf numFmtId="4" fontId="0" fillId="2" borderId="0" xfId="0" applyNumberFormat="1" applyFill="1"/>
    <xf numFmtId="4" fontId="9" fillId="2" borderId="0" xfId="0" applyNumberFormat="1" applyFont="1" applyFill="1"/>
    <xf numFmtId="0" fontId="0" fillId="2" borderId="0" xfId="0" applyFont="1" applyFill="1" applyAlignment="1">
      <alignment vertical="center" wrapText="1"/>
    </xf>
    <xf numFmtId="4" fontId="6" fillId="2" borderId="0" xfId="0" applyNumberFormat="1" applyFont="1" applyFill="1" applyAlignment="1">
      <alignment horizontal="right" vertical="top" wrapText="1"/>
    </xf>
    <xf numFmtId="4" fontId="7" fillId="2" borderId="0" xfId="0" applyNumberFormat="1" applyFont="1" applyFill="1" applyAlignment="1">
      <alignment vertical="center" wrapText="1"/>
    </xf>
    <xf numFmtId="4" fontId="7" fillId="2" borderId="0" xfId="0" applyNumberFormat="1" applyFont="1" applyFill="1" applyAlignment="1"/>
    <xf numFmtId="0" fontId="0" fillId="0" borderId="0" xfId="0" applyFont="1" applyFill="1"/>
    <xf numFmtId="0" fontId="0" fillId="0" borderId="0" xfId="0" applyFont="1" applyBorder="1" applyAlignment="1"/>
    <xf numFmtId="0" fontId="9" fillId="2" borderId="0" xfId="0" applyFont="1" applyFill="1" applyAlignment="1">
      <alignment vertical="center"/>
    </xf>
    <xf numFmtId="4" fontId="0" fillId="2" borderId="0" xfId="0" applyNumberFormat="1" applyFont="1" applyFill="1" applyAlignment="1">
      <alignment horizontal="center"/>
    </xf>
    <xf numFmtId="172" fontId="14" fillId="2" borderId="7" xfId="0" applyNumberFormat="1" applyFont="1" applyFill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35" fillId="2" borderId="7" xfId="0" applyNumberFormat="1" applyFont="1" applyFill="1" applyBorder="1" applyAlignment="1">
      <alignment horizontal="center" vertical="center"/>
    </xf>
    <xf numFmtId="172" fontId="35" fillId="2" borderId="7" xfId="0" applyNumberFormat="1" applyFont="1" applyFill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vertical="center"/>
    </xf>
    <xf numFmtId="4" fontId="35" fillId="2" borderId="7" xfId="0" applyNumberFormat="1" applyFont="1" applyFill="1" applyBorder="1" applyAlignment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/>
    </xf>
    <xf numFmtId="2" fontId="35" fillId="2" borderId="7" xfId="0" applyNumberFormat="1" applyFont="1" applyFill="1" applyBorder="1" applyAlignment="1">
      <alignment vertical="center"/>
    </xf>
    <xf numFmtId="172" fontId="33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left" vertical="center" wrapText="1"/>
    </xf>
    <xf numFmtId="49" fontId="35" fillId="2" borderId="7" xfId="0" applyNumberFormat="1" applyFont="1" applyFill="1" applyBorder="1" applyAlignment="1">
      <alignment horizontal="center" vertical="center"/>
    </xf>
    <xf numFmtId="167" fontId="35" fillId="2" borderId="7" xfId="0" applyNumberFormat="1" applyFont="1" applyFill="1" applyBorder="1" applyAlignment="1">
      <alignment horizontal="center" vertical="center"/>
    </xf>
    <xf numFmtId="3" fontId="35" fillId="0" borderId="7" xfId="0" applyNumberFormat="1" applyFont="1" applyFill="1" applyBorder="1" applyAlignment="1">
      <alignment horizontal="center" vertical="center"/>
    </xf>
    <xf numFmtId="4" fontId="35" fillId="0" borderId="7" xfId="0" applyNumberFormat="1" applyFont="1" applyFill="1" applyBorder="1" applyAlignment="1">
      <alignment horizontal="center" vertical="center"/>
    </xf>
    <xf numFmtId="2" fontId="35" fillId="0" borderId="7" xfId="0" applyNumberFormat="1" applyFont="1" applyFill="1" applyBorder="1" applyAlignment="1">
      <alignment horizontal="center" vertical="center"/>
    </xf>
    <xf numFmtId="2" fontId="35" fillId="2" borderId="7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vertical="center" wrapText="1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172" fontId="35" fillId="0" borderId="7" xfId="8" applyNumberFormat="1" applyFont="1" applyFill="1" applyBorder="1" applyAlignment="1">
      <alignment horizontal="center" vertical="center"/>
    </xf>
    <xf numFmtId="2" fontId="33" fillId="0" borderId="7" xfId="0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172" fontId="33" fillId="0" borderId="7" xfId="8" applyNumberFormat="1" applyFont="1" applyBorder="1" applyAlignment="1">
      <alignment horizontal="center" vertical="center"/>
    </xf>
    <xf numFmtId="2" fontId="33" fillId="0" borderId="7" xfId="0" applyNumberFormat="1" applyFont="1" applyBorder="1" applyAlignment="1">
      <alignment horizontal="center" vertical="center"/>
    </xf>
    <xf numFmtId="3" fontId="33" fillId="0" borderId="7" xfId="0" applyNumberFormat="1" applyFont="1" applyFill="1" applyBorder="1" applyAlignment="1">
      <alignment horizontal="center" vertical="center"/>
    </xf>
    <xf numFmtId="165" fontId="33" fillId="3" borderId="7" xfId="0" applyNumberFormat="1" applyFont="1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 wrapText="1"/>
    </xf>
    <xf numFmtId="172" fontId="35" fillId="0" borderId="7" xfId="8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3" fontId="35" fillId="0" borderId="7" xfId="0" applyNumberFormat="1" applyFont="1" applyFill="1" applyBorder="1" applyAlignment="1">
      <alignment horizontal="center" vertical="center" wrapText="1"/>
    </xf>
    <xf numFmtId="2" fontId="35" fillId="3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left" vertical="center" wrapText="1"/>
    </xf>
    <xf numFmtId="172" fontId="35" fillId="0" borderId="7" xfId="0" applyNumberFormat="1" applyFont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172" fontId="35" fillId="0" borderId="7" xfId="0" applyNumberFormat="1" applyFont="1" applyBorder="1" applyAlignment="1">
      <alignment horizontal="center" vertical="center"/>
    </xf>
    <xf numFmtId="172" fontId="35" fillId="0" borderId="7" xfId="8" applyNumberFormat="1" applyFont="1" applyBorder="1" applyAlignment="1">
      <alignment horizontal="center" vertical="center" wrapText="1"/>
    </xf>
    <xf numFmtId="2" fontId="35" fillId="0" borderId="7" xfId="8" applyNumberFormat="1" applyFont="1" applyBorder="1" applyAlignment="1">
      <alignment horizontal="center" vertical="center"/>
    </xf>
    <xf numFmtId="4" fontId="35" fillId="0" borderId="7" xfId="8" applyNumberFormat="1" applyFont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/>
    </xf>
    <xf numFmtId="0" fontId="36" fillId="2" borderId="7" xfId="10" applyFont="1" applyFill="1" applyBorder="1" applyAlignment="1">
      <alignment horizontal="center" vertical="center" wrapText="1"/>
    </xf>
    <xf numFmtId="4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172" fontId="36" fillId="2" borderId="7" xfId="0" applyNumberFormat="1" applyFont="1" applyFill="1" applyBorder="1" applyAlignment="1">
      <alignment horizontal="center" vertical="center"/>
    </xf>
    <xf numFmtId="3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35" fillId="0" borderId="7" xfId="0" applyNumberFormat="1" applyFont="1" applyFill="1" applyBorder="1" applyAlignment="1">
      <alignment horizontal="center" vertical="center"/>
    </xf>
    <xf numFmtId="169" fontId="38" fillId="2" borderId="7" xfId="8" applyNumberFormat="1" applyFont="1" applyFill="1" applyBorder="1" applyAlignment="1" applyProtection="1">
      <alignment horizontal="left" vertical="center"/>
    </xf>
    <xf numFmtId="0" fontId="35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vertical="center"/>
    </xf>
    <xf numFmtId="4" fontId="38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 wrapText="1" shrinkToFit="1"/>
    </xf>
    <xf numFmtId="0" fontId="35" fillId="2" borderId="7" xfId="0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/>
    </xf>
    <xf numFmtId="2" fontId="35" fillId="0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7" xfId="0" applyFont="1" applyFill="1" applyBorder="1" applyAlignment="1">
      <alignment horizontal="left" vertical="center"/>
    </xf>
    <xf numFmtId="0" fontId="35" fillId="2" borderId="7" xfId="0" applyFont="1" applyFill="1" applyBorder="1" applyAlignment="1" applyProtection="1">
      <alignment horizontal="center" vertical="center" wrapText="1"/>
    </xf>
    <xf numFmtId="172" fontId="33" fillId="2" borderId="7" xfId="0" applyNumberFormat="1" applyFont="1" applyFill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/>
    </xf>
    <xf numFmtId="166" fontId="33" fillId="2" borderId="7" xfId="0" applyNumberFormat="1" applyFont="1" applyFill="1" applyBorder="1" applyAlignment="1">
      <alignment vertical="center" wrapText="1"/>
    </xf>
    <xf numFmtId="1" fontId="33" fillId="2" borderId="7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3" fontId="18" fillId="2" borderId="7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65" fontId="18" fillId="2" borderId="7" xfId="8" applyFont="1" applyFill="1" applyBorder="1" applyAlignment="1">
      <alignment horizontal="center" vertical="center"/>
    </xf>
    <xf numFmtId="4" fontId="42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/>
    </xf>
    <xf numFmtId="0" fontId="17" fillId="2" borderId="7" xfId="0" applyNumberFormat="1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4" fontId="17" fillId="0" borderId="7" xfId="0" applyNumberFormat="1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 wrapText="1"/>
    </xf>
    <xf numFmtId="4" fontId="18" fillId="3" borderId="7" xfId="8" applyNumberFormat="1" applyFont="1" applyFill="1" applyBorder="1" applyAlignment="1">
      <alignment horizontal="center" vertical="center"/>
    </xf>
    <xf numFmtId="4" fontId="16" fillId="0" borderId="7" xfId="0" applyNumberFormat="1" applyFont="1" applyFill="1" applyBorder="1" applyAlignment="1">
      <alignment horizontal="center" vertical="center"/>
    </xf>
    <xf numFmtId="0" fontId="16" fillId="2" borderId="7" xfId="0" applyNumberFormat="1" applyFont="1" applyFill="1" applyBorder="1" applyAlignment="1">
      <alignment horizontal="center" vertical="center"/>
    </xf>
    <xf numFmtId="4" fontId="17" fillId="0" borderId="7" xfId="8" applyNumberFormat="1" applyFont="1" applyBorder="1" applyAlignment="1">
      <alignment horizontal="center" vertical="center"/>
    </xf>
    <xf numFmtId="171" fontId="18" fillId="0" borderId="7" xfId="8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4" fontId="18" fillId="0" borderId="7" xfId="0" applyNumberFormat="1" applyFont="1" applyFill="1" applyBorder="1" applyAlignment="1">
      <alignment horizontal="center" vertical="center"/>
    </xf>
    <xf numFmtId="4" fontId="18" fillId="0" borderId="7" xfId="8" applyNumberFormat="1" applyFont="1" applyFill="1" applyBorder="1" applyAlignment="1">
      <alignment horizontal="center" vertical="center"/>
    </xf>
    <xf numFmtId="4" fontId="16" fillId="0" borderId="7" xfId="8" applyNumberFormat="1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4" fontId="16" fillId="2" borderId="7" xfId="0" applyNumberFormat="1" applyFont="1" applyFill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4" fontId="16" fillId="2" borderId="7" xfId="9" applyNumberFormat="1" applyFont="1" applyFill="1" applyBorder="1" applyAlignment="1">
      <alignment horizontal="center" vertical="center"/>
    </xf>
    <xf numFmtId="166" fontId="17" fillId="2" borderId="7" xfId="0" applyNumberFormat="1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/>
    </xf>
    <xf numFmtId="4" fontId="16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2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172" fontId="9" fillId="2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0" fontId="34" fillId="2" borderId="7" xfId="0" applyNumberFormat="1" applyFont="1" applyFill="1" applyBorder="1" applyAlignment="1">
      <alignment horizontal="center" vertical="center"/>
    </xf>
    <xf numFmtId="3" fontId="34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172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2" fontId="20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0" fillId="2" borderId="0" xfId="0" applyFill="1" applyAlignment="1"/>
    <xf numFmtId="0" fontId="0" fillId="2" borderId="0" xfId="0" applyFill="1" applyAlignment="1">
      <alignment wrapText="1"/>
    </xf>
    <xf numFmtId="4" fontId="44" fillId="2" borderId="1" xfId="0" applyNumberFormat="1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0" fontId="0" fillId="5" borderId="0" xfId="0" applyFont="1" applyFill="1"/>
    <xf numFmtId="0" fontId="45" fillId="2" borderId="0" xfId="0" applyFont="1" applyFill="1" applyBorder="1" applyAlignment="1">
      <alignment horizontal="center" vertical="center" wrapText="1"/>
    </xf>
    <xf numFmtId="0" fontId="44" fillId="2" borderId="0" xfId="0" applyNumberFormat="1" applyFont="1" applyFill="1" applyBorder="1" applyAlignment="1">
      <alignment horizontal="center" vertical="center" wrapText="1"/>
    </xf>
    <xf numFmtId="0" fontId="44" fillId="2" borderId="0" xfId="0" applyNumberFormat="1" applyFont="1" applyFill="1" applyBorder="1" applyAlignment="1">
      <alignment horizontal="center" vertical="center"/>
    </xf>
    <xf numFmtId="4" fontId="28" fillId="2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/>
    <xf numFmtId="0" fontId="33" fillId="2" borderId="7" xfId="0" applyFont="1" applyFill="1" applyBorder="1" applyAlignment="1">
      <alignment horizontal="left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6" fillId="2" borderId="7" xfId="0" applyNumberFormat="1" applyFont="1" applyFill="1" applyBorder="1" applyAlignment="1">
      <alignment horizontal="center" vertical="center"/>
    </xf>
    <xf numFmtId="4" fontId="47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/>
    </xf>
    <xf numFmtId="4" fontId="0" fillId="2" borderId="7" xfId="0" applyNumberFormat="1" applyFont="1" applyFill="1" applyBorder="1" applyAlignment="1">
      <alignment horizontal="center" vertical="center"/>
    </xf>
    <xf numFmtId="4" fontId="48" fillId="0" borderId="7" xfId="0" applyNumberFormat="1" applyFont="1" applyFill="1" applyBorder="1" applyAlignment="1">
      <alignment horizontal="center" vertical="center"/>
    </xf>
    <xf numFmtId="4" fontId="26" fillId="3" borderId="7" xfId="8" applyNumberFormat="1" applyFont="1" applyFill="1" applyBorder="1" applyAlignment="1">
      <alignment horizontal="center" vertical="center"/>
    </xf>
    <xf numFmtId="2" fontId="0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left" vertical="center"/>
    </xf>
    <xf numFmtId="0" fontId="3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/>
    </xf>
    <xf numFmtId="4" fontId="33" fillId="6" borderId="7" xfId="8" applyNumberFormat="1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/>
    </xf>
    <xf numFmtId="14" fontId="35" fillId="6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/>
    </xf>
    <xf numFmtId="4" fontId="33" fillId="7" borderId="7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/>
    </xf>
    <xf numFmtId="14" fontId="35" fillId="7" borderId="7" xfId="0" applyNumberFormat="1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center" vertical="center"/>
    </xf>
    <xf numFmtId="0" fontId="33" fillId="8" borderId="7" xfId="0" applyFont="1" applyFill="1" applyBorder="1" applyAlignment="1">
      <alignment horizontal="center" vertical="center" wrapText="1"/>
    </xf>
    <xf numFmtId="172" fontId="35" fillId="8" borderId="7" xfId="0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/>
    </xf>
    <xf numFmtId="4" fontId="33" fillId="8" borderId="7" xfId="8" applyNumberFormat="1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/>
    </xf>
    <xf numFmtId="14" fontId="35" fillId="8" borderId="7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172" fontId="4" fillId="7" borderId="7" xfId="0" applyNumberFormat="1" applyFont="1" applyFill="1" applyBorder="1" applyAlignment="1">
      <alignment horizontal="center" vertical="center"/>
    </xf>
    <xf numFmtId="0" fontId="4" fillId="7" borderId="7" xfId="0" applyNumberFormat="1" applyFont="1" applyFill="1" applyBorder="1" applyAlignment="1">
      <alignment horizontal="center" vertical="center"/>
    </xf>
    <xf numFmtId="3" fontId="4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center" vertical="center"/>
    </xf>
    <xf numFmtId="0" fontId="4" fillId="6" borderId="7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0" fontId="36" fillId="8" borderId="7" xfId="10" applyFont="1" applyFill="1" applyBorder="1" applyAlignment="1">
      <alignment horizontal="center" vertical="center" wrapText="1"/>
    </xf>
    <xf numFmtId="167" fontId="35" fillId="8" borderId="7" xfId="0" applyNumberFormat="1" applyFont="1" applyFill="1" applyBorder="1" applyAlignment="1">
      <alignment horizontal="center" vertical="center"/>
    </xf>
    <xf numFmtId="0" fontId="36" fillId="7" borderId="7" xfId="10" applyFont="1" applyFill="1" applyBorder="1" applyAlignment="1">
      <alignment horizontal="center" vertical="center" wrapText="1"/>
    </xf>
    <xf numFmtId="167" fontId="35" fillId="7" borderId="7" xfId="0" applyNumberFormat="1" applyFont="1" applyFill="1" applyBorder="1" applyAlignment="1">
      <alignment horizontal="center" vertical="center"/>
    </xf>
    <xf numFmtId="0" fontId="36" fillId="6" borderId="7" xfId="10" applyFont="1" applyFill="1" applyBorder="1" applyAlignment="1">
      <alignment horizontal="center" vertical="center" wrapText="1"/>
    </xf>
    <xf numFmtId="167" fontId="35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72" fontId="4" fillId="2" borderId="7" xfId="0" applyNumberFormat="1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center" vertical="center" wrapText="1"/>
    </xf>
    <xf numFmtId="172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3" fontId="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165" fontId="4" fillId="7" borderId="7" xfId="0" applyNumberFormat="1" applyFont="1" applyFill="1" applyBorder="1"/>
    <xf numFmtId="2" fontId="4" fillId="7" borderId="7" xfId="0" applyNumberFormat="1" applyFont="1" applyFill="1" applyBorder="1" applyAlignment="1">
      <alignment horizontal="center" vertical="center" wrapText="1"/>
    </xf>
    <xf numFmtId="3" fontId="4" fillId="7" borderId="7" xfId="0" applyNumberFormat="1" applyFont="1" applyFill="1" applyBorder="1" applyAlignment="1">
      <alignment horizontal="center" vertical="center" wrapText="1"/>
    </xf>
    <xf numFmtId="4" fontId="4" fillId="7" borderId="7" xfId="0" applyNumberFormat="1" applyFont="1" applyFill="1" applyBorder="1" applyAlignment="1">
      <alignment horizontal="center" vertical="center" wrapText="1"/>
    </xf>
    <xf numFmtId="2" fontId="4" fillId="7" borderId="7" xfId="0" applyNumberFormat="1" applyFont="1" applyFill="1" applyBorder="1" applyAlignment="1">
      <alignment horizontal="center" vertical="center"/>
    </xf>
    <xf numFmtId="0" fontId="35" fillId="7" borderId="1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172" fontId="4" fillId="7" borderId="13" xfId="0" applyNumberFormat="1" applyFont="1" applyFill="1" applyBorder="1" applyAlignment="1">
      <alignment horizontal="center" vertical="center" wrapText="1"/>
    </xf>
    <xf numFmtId="2" fontId="4" fillId="7" borderId="13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72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3" fontId="4" fillId="6" borderId="7" xfId="0" applyNumberFormat="1" applyFont="1" applyFill="1" applyBorder="1" applyAlignment="1">
      <alignment horizontal="center" vertical="center" wrapText="1"/>
    </xf>
    <xf numFmtId="4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vertical="center" wrapText="1"/>
    </xf>
    <xf numFmtId="0" fontId="33" fillId="8" borderId="7" xfId="0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/>
    </xf>
    <xf numFmtId="168" fontId="33" fillId="8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3" fillId="6" borderId="7" xfId="0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/>
    </xf>
    <xf numFmtId="168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vertical="center"/>
    </xf>
    <xf numFmtId="0" fontId="33" fillId="6" borderId="7" xfId="0" applyFont="1" applyFill="1" applyBorder="1" applyAlignment="1"/>
    <xf numFmtId="0" fontId="18" fillId="6" borderId="7" xfId="0" applyFont="1" applyFill="1" applyBorder="1" applyAlignment="1">
      <alignment horizontal="center"/>
    </xf>
    <xf numFmtId="168" fontId="18" fillId="6" borderId="7" xfId="0" applyNumberFormat="1" applyFont="1" applyFill="1" applyBorder="1" applyAlignment="1">
      <alignment horizontal="center"/>
    </xf>
    <xf numFmtId="4" fontId="18" fillId="6" borderId="7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/>
    </xf>
    <xf numFmtId="168" fontId="33" fillId="7" borderId="7" xfId="0" applyNumberFormat="1" applyFont="1" applyFill="1" applyBorder="1" applyAlignment="1">
      <alignment horizontal="center" vertical="center"/>
    </xf>
    <xf numFmtId="3" fontId="33" fillId="7" borderId="7" xfId="0" applyNumberFormat="1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horizontal="center" vertical="center"/>
    </xf>
    <xf numFmtId="4" fontId="33" fillId="7" borderId="13" xfId="0" applyNumberFormat="1" applyFont="1" applyFill="1" applyBorder="1" applyAlignment="1">
      <alignment horizontal="center" vertical="center"/>
    </xf>
    <xf numFmtId="3" fontId="33" fillId="7" borderId="13" xfId="0" applyNumberFormat="1" applyFont="1" applyFill="1" applyBorder="1" applyAlignment="1">
      <alignment horizontal="center" vertical="center" wrapText="1"/>
    </xf>
    <xf numFmtId="4" fontId="33" fillId="7" borderId="13" xfId="8" applyNumberFormat="1" applyFont="1" applyFill="1" applyBorder="1" applyAlignment="1">
      <alignment vertical="center"/>
    </xf>
    <xf numFmtId="0" fontId="33" fillId="7" borderId="7" xfId="0" applyFont="1" applyFill="1" applyBorder="1" applyAlignment="1">
      <alignment vertical="center"/>
    </xf>
    <xf numFmtId="0" fontId="18" fillId="7" borderId="7" xfId="0" applyFont="1" applyFill="1" applyBorder="1" applyAlignment="1">
      <alignment horizontal="center" vertical="center"/>
    </xf>
    <xf numFmtId="168" fontId="18" fillId="7" borderId="7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/>
    </xf>
    <xf numFmtId="4" fontId="18" fillId="6" borderId="7" xfId="0" applyNumberFormat="1" applyFont="1" applyFill="1" applyBorder="1" applyAlignment="1">
      <alignment horizontal="center" vertical="center" wrapText="1"/>
    </xf>
    <xf numFmtId="3" fontId="18" fillId="6" borderId="7" xfId="0" applyNumberFormat="1" applyFont="1" applyFill="1" applyBorder="1" applyAlignment="1">
      <alignment horizontal="center" vertical="center" wrapText="1"/>
    </xf>
    <xf numFmtId="4" fontId="26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/>
    </xf>
    <xf numFmtId="4" fontId="28" fillId="6" borderId="0" xfId="0" applyNumberFormat="1" applyFont="1" applyFill="1" applyBorder="1" applyAlignment="1">
      <alignment horizontal="center" vertical="center"/>
    </xf>
    <xf numFmtId="0" fontId="0" fillId="6" borderId="0" xfId="0" applyFont="1" applyFill="1" applyBorder="1"/>
    <xf numFmtId="0" fontId="17" fillId="6" borderId="7" xfId="0" applyFont="1" applyFill="1" applyBorder="1" applyAlignment="1">
      <alignment vertical="center" wrapText="1"/>
    </xf>
    <xf numFmtId="4" fontId="17" fillId="6" borderId="7" xfId="0" applyNumberFormat="1" applyFont="1" applyFill="1" applyBorder="1" applyAlignment="1">
      <alignment horizontal="center" vertical="center"/>
    </xf>
    <xf numFmtId="0" fontId="17" fillId="6" borderId="7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4" fontId="0" fillId="6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18" fillId="6" borderId="7" xfId="0" applyFont="1" applyFill="1" applyBorder="1" applyAlignment="1">
      <alignment vertical="center"/>
    </xf>
    <xf numFmtId="0" fontId="18" fillId="6" borderId="7" xfId="0" applyFont="1" applyFill="1" applyBorder="1" applyAlignment="1"/>
    <xf numFmtId="0" fontId="18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 wrapText="1"/>
    </xf>
    <xf numFmtId="4" fontId="9" fillId="6" borderId="7" xfId="0" applyNumberFormat="1" applyFont="1" applyFill="1" applyBorder="1" applyAlignment="1">
      <alignment horizontal="center" vertical="center"/>
    </xf>
    <xf numFmtId="3" fontId="9" fillId="6" borderId="7" xfId="0" applyNumberFormat="1" applyFont="1" applyFill="1" applyBorder="1" applyAlignment="1">
      <alignment horizontal="center" vertical="center"/>
    </xf>
    <xf numFmtId="0" fontId="9" fillId="6" borderId="7" xfId="0" applyNumberFormat="1" applyFont="1" applyFill="1" applyBorder="1" applyAlignment="1">
      <alignment horizontal="center" vertical="center"/>
    </xf>
    <xf numFmtId="4" fontId="9" fillId="6" borderId="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left" vertical="center"/>
    </xf>
    <xf numFmtId="0" fontId="17" fillId="6" borderId="7" xfId="0" applyFont="1" applyFill="1" applyBorder="1"/>
    <xf numFmtId="0" fontId="17" fillId="6" borderId="7" xfId="0" applyFont="1" applyFill="1" applyBorder="1" applyAlignment="1">
      <alignment horizontal="center" vertical="center"/>
    </xf>
    <xf numFmtId="0" fontId="4" fillId="6" borderId="7" xfId="0" applyFont="1" applyFill="1" applyBorder="1"/>
    <xf numFmtId="0" fontId="4" fillId="6" borderId="7" xfId="0" applyFont="1" applyFill="1" applyBorder="1" applyAlignment="1">
      <alignment horizontal="center"/>
    </xf>
    <xf numFmtId="165" fontId="4" fillId="6" borderId="7" xfId="0" applyNumberFormat="1" applyFont="1" applyFill="1" applyBorder="1"/>
    <xf numFmtId="0" fontId="18" fillId="6" borderId="7" xfId="0" applyNumberFormat="1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vertical="center"/>
    </xf>
    <xf numFmtId="0" fontId="17" fillId="6" borderId="7" xfId="0" applyFont="1" applyFill="1" applyBorder="1" applyAlignment="1">
      <alignment horizontal="left" vertical="center" wrapText="1"/>
    </xf>
    <xf numFmtId="0" fontId="0" fillId="6" borderId="0" xfId="0" applyFont="1" applyFill="1"/>
    <xf numFmtId="0" fontId="16" fillId="6" borderId="7" xfId="0" applyFont="1" applyFill="1" applyBorder="1" applyAlignment="1">
      <alignment horizontal="left" vertical="center" wrapText="1"/>
    </xf>
    <xf numFmtId="4" fontId="16" fillId="6" borderId="7" xfId="0" applyNumberFormat="1" applyFont="1" applyFill="1" applyBorder="1" applyAlignment="1">
      <alignment horizontal="center" vertical="center"/>
    </xf>
    <xf numFmtId="3" fontId="16" fillId="6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vertical="center"/>
    </xf>
    <xf numFmtId="4" fontId="18" fillId="8" borderId="7" xfId="0" applyNumberFormat="1" applyFont="1" applyFill="1" applyBorder="1" applyAlignment="1">
      <alignment horizontal="center" vertical="center"/>
    </xf>
    <xf numFmtId="0" fontId="18" fillId="8" borderId="7" xfId="0" applyNumberFormat="1" applyFont="1" applyFill="1" applyBorder="1" applyAlignment="1">
      <alignment horizontal="center" vertical="center"/>
    </xf>
    <xf numFmtId="3" fontId="18" fillId="8" borderId="7" xfId="0" applyNumberFormat="1" applyFont="1" applyFill="1" applyBorder="1" applyAlignment="1">
      <alignment horizontal="center" vertical="center"/>
    </xf>
    <xf numFmtId="2" fontId="18" fillId="8" borderId="7" xfId="0" applyNumberFormat="1" applyFont="1" applyFill="1" applyBorder="1" applyAlignment="1">
      <alignment horizontal="center" vertical="center"/>
    </xf>
    <xf numFmtId="0" fontId="20" fillId="8" borderId="7" xfId="0" applyNumberFormat="1" applyFont="1" applyFill="1" applyBorder="1" applyAlignment="1">
      <alignment horizontal="center" vertical="center"/>
    </xf>
    <xf numFmtId="4" fontId="47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/>
    <xf numFmtId="4" fontId="17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vertical="center" wrapText="1"/>
    </xf>
    <xf numFmtId="0" fontId="18" fillId="6" borderId="7" xfId="0" applyNumberFormat="1" applyFont="1" applyFill="1" applyBorder="1" applyAlignment="1">
      <alignment horizontal="center" vertical="center"/>
    </xf>
    <xf numFmtId="3" fontId="18" fillId="6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0" fontId="20" fillId="6" borderId="7" xfId="0" applyNumberFormat="1" applyFont="1" applyFill="1" applyBorder="1" applyAlignment="1">
      <alignment horizontal="center" vertical="center"/>
    </xf>
    <xf numFmtId="4" fontId="47" fillId="6" borderId="7" xfId="0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4" fontId="18" fillId="7" borderId="7" xfId="0" applyNumberFormat="1" applyFont="1" applyFill="1" applyBorder="1" applyAlignment="1">
      <alignment horizontal="center" vertical="center" wrapText="1"/>
    </xf>
    <xf numFmtId="3" fontId="18" fillId="7" borderId="7" xfId="0" applyNumberFormat="1" applyFont="1" applyFill="1" applyBorder="1" applyAlignment="1">
      <alignment horizontal="center" vertical="center" wrapText="1"/>
    </xf>
    <xf numFmtId="4" fontId="26" fillId="7" borderId="7" xfId="0" applyNumberFormat="1" applyFont="1" applyFill="1" applyBorder="1" applyAlignment="1">
      <alignment horizontal="center" vertical="center" wrapText="1"/>
    </xf>
    <xf numFmtId="4" fontId="18" fillId="7" borderId="7" xfId="0" applyNumberFormat="1" applyFont="1" applyFill="1" applyBorder="1" applyAlignment="1">
      <alignment horizontal="center" vertical="center"/>
    </xf>
    <xf numFmtId="0" fontId="18" fillId="7" borderId="7" xfId="0" applyNumberFormat="1" applyFont="1" applyFill="1" applyBorder="1" applyAlignment="1">
      <alignment horizontal="center" vertical="center"/>
    </xf>
    <xf numFmtId="3" fontId="18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0" fontId="20" fillId="7" borderId="7" xfId="0" applyNumberFormat="1" applyFont="1" applyFill="1" applyBorder="1" applyAlignment="1">
      <alignment horizontal="center" vertical="center"/>
    </xf>
    <xf numFmtId="4" fontId="47" fillId="7" borderId="7" xfId="0" applyNumberFormat="1" applyFont="1" applyFill="1" applyBorder="1" applyAlignment="1">
      <alignment horizontal="center" vertical="center"/>
    </xf>
    <xf numFmtId="4" fontId="17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vertical="center" wrapText="1"/>
    </xf>
    <xf numFmtId="0" fontId="18" fillId="7" borderId="7" xfId="0" applyNumberFormat="1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vertical="center"/>
    </xf>
    <xf numFmtId="0" fontId="17" fillId="7" borderId="7" xfId="0" applyNumberFormat="1" applyFont="1" applyFill="1" applyBorder="1" applyAlignment="1">
      <alignment horizontal="center" vertical="center"/>
    </xf>
    <xf numFmtId="3" fontId="17" fillId="7" borderId="7" xfId="0" applyNumberFormat="1" applyFont="1" applyFill="1" applyBorder="1" applyAlignment="1">
      <alignment horizontal="center" vertical="center"/>
    </xf>
    <xf numFmtId="4" fontId="0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left" vertical="center" wrapText="1"/>
    </xf>
    <xf numFmtId="4" fontId="16" fillId="7" borderId="7" xfId="0" applyNumberFormat="1" applyFont="1" applyFill="1" applyBorder="1" applyAlignment="1">
      <alignment horizontal="center" vertical="center"/>
    </xf>
    <xf numFmtId="3" fontId="16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/>
    <xf numFmtId="4" fontId="20" fillId="7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 wrapText="1"/>
    </xf>
    <xf numFmtId="4" fontId="18" fillId="8" borderId="7" xfId="0" applyNumberFormat="1" applyFont="1" applyFill="1" applyBorder="1" applyAlignment="1">
      <alignment horizontal="center" vertical="center" wrapText="1"/>
    </xf>
    <xf numFmtId="3" fontId="18" fillId="8" borderId="7" xfId="0" applyNumberFormat="1" applyFont="1" applyFill="1" applyBorder="1" applyAlignment="1">
      <alignment horizontal="center" vertical="center" wrapText="1"/>
    </xf>
    <xf numFmtId="4" fontId="26" fillId="8" borderId="7" xfId="0" applyNumberFormat="1" applyFont="1" applyFill="1" applyBorder="1" applyAlignment="1">
      <alignment horizontal="center" vertical="center" wrapText="1"/>
    </xf>
    <xf numFmtId="0" fontId="17" fillId="8" borderId="7" xfId="0" applyNumberFormat="1" applyFont="1" applyFill="1" applyBorder="1" applyAlignment="1">
      <alignment horizontal="center" vertical="center"/>
    </xf>
    <xf numFmtId="3" fontId="17" fillId="8" borderId="7" xfId="0" applyNumberFormat="1" applyFont="1" applyFill="1" applyBorder="1" applyAlignment="1">
      <alignment horizontal="center" vertical="center"/>
    </xf>
    <xf numFmtId="4" fontId="0" fillId="8" borderId="7" xfId="0" applyNumberFormat="1" applyFont="1" applyFill="1" applyBorder="1" applyAlignment="1">
      <alignment horizontal="center" vertical="center"/>
    </xf>
    <xf numFmtId="4" fontId="20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 wrapText="1"/>
    </xf>
    <xf numFmtId="4" fontId="16" fillId="8" borderId="7" xfId="0" applyNumberFormat="1" applyFont="1" applyFill="1" applyBorder="1" applyAlignment="1">
      <alignment horizontal="center" vertical="center"/>
    </xf>
    <xf numFmtId="3" fontId="16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 wrapText="1"/>
    </xf>
    <xf numFmtId="0" fontId="17" fillId="8" borderId="7" xfId="0" applyFont="1" applyFill="1" applyBorder="1" applyAlignment="1">
      <alignment vertical="center"/>
    </xf>
    <xf numFmtId="0" fontId="18" fillId="8" borderId="7" xfId="0" applyNumberFormat="1" applyFont="1" applyFill="1" applyBorder="1" applyAlignment="1">
      <alignment horizontal="center" vertical="center" wrapText="1"/>
    </xf>
    <xf numFmtId="4" fontId="49" fillId="2" borderId="0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4" fontId="9" fillId="7" borderId="7" xfId="0" applyNumberFormat="1" applyFont="1" applyFill="1" applyBorder="1" applyAlignment="1">
      <alignment horizontal="center" vertical="center"/>
    </xf>
    <xf numFmtId="3" fontId="9" fillId="7" borderId="7" xfId="0" applyNumberFormat="1" applyFont="1" applyFill="1" applyBorder="1" applyAlignment="1">
      <alignment horizontal="center" vertical="center"/>
    </xf>
    <xf numFmtId="0" fontId="9" fillId="7" borderId="7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right" vertical="center"/>
    </xf>
    <xf numFmtId="0" fontId="9" fillId="8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left" vertical="center" wrapText="1"/>
    </xf>
    <xf numFmtId="4" fontId="9" fillId="8" borderId="7" xfId="0" applyNumberFormat="1" applyFont="1" applyFill="1" applyBorder="1" applyAlignment="1">
      <alignment horizontal="center" vertical="center"/>
    </xf>
    <xf numFmtId="3" fontId="9" fillId="8" borderId="7" xfId="0" applyNumberFormat="1" applyFont="1" applyFill="1" applyBorder="1" applyAlignment="1">
      <alignment horizontal="center" vertical="center"/>
    </xf>
    <xf numFmtId="4" fontId="9" fillId="8" borderId="7" xfId="0" applyNumberFormat="1" applyFont="1" applyFill="1" applyBorder="1" applyAlignment="1">
      <alignment horizontal="right" vertical="center"/>
    </xf>
    <xf numFmtId="0" fontId="17" fillId="8" borderId="7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8" borderId="7" xfId="0" applyFont="1" applyFill="1" applyBorder="1" applyAlignment="1">
      <alignment vertical="center"/>
    </xf>
    <xf numFmtId="0" fontId="17" fillId="7" borderId="13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justify" vertical="center" wrapText="1"/>
    </xf>
    <xf numFmtId="172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/>
    </xf>
    <xf numFmtId="4" fontId="28" fillId="8" borderId="0" xfId="0" applyNumberFormat="1" applyFont="1" applyFill="1" applyBorder="1" applyAlignment="1">
      <alignment horizontal="center"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35" fillId="7" borderId="7" xfId="0" applyNumberFormat="1" applyFont="1" applyFill="1" applyBorder="1" applyAlignment="1">
      <alignment horizontal="center" vertical="center"/>
    </xf>
    <xf numFmtId="49" fontId="35" fillId="8" borderId="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 vertical="center" wrapText="1"/>
    </xf>
    <xf numFmtId="4" fontId="17" fillId="7" borderId="7" xfId="0" applyNumberFormat="1" applyFont="1" applyFill="1" applyBorder="1" applyAlignment="1">
      <alignment horizontal="center" vertical="center" wrapText="1"/>
    </xf>
    <xf numFmtId="4" fontId="17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2" fontId="18" fillId="7" borderId="7" xfId="0" applyNumberFormat="1" applyFont="1" applyFill="1" applyBorder="1" applyAlignment="1">
      <alignment horizontal="center" vertical="center" wrapText="1"/>
    </xf>
    <xf numFmtId="2" fontId="26" fillId="7" borderId="7" xfId="0" applyNumberFormat="1" applyFont="1" applyFill="1" applyBorder="1" applyAlignment="1">
      <alignment horizontal="center" vertical="center" wrapText="1"/>
    </xf>
    <xf numFmtId="2" fontId="18" fillId="8" borderId="7" xfId="0" applyNumberFormat="1" applyFont="1" applyFill="1" applyBorder="1" applyAlignment="1">
      <alignment horizontal="center" vertical="center" wrapText="1"/>
    </xf>
    <xf numFmtId="2" fontId="26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4" fontId="4" fillId="2" borderId="7" xfId="0" applyNumberFormat="1" applyFont="1" applyFill="1" applyBorder="1" applyAlignment="1">
      <alignment horizontal="right" vertical="center"/>
    </xf>
    <xf numFmtId="172" fontId="35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center" vertical="center" wrapText="1"/>
    </xf>
    <xf numFmtId="2" fontId="35" fillId="0" borderId="7" xfId="0" applyNumberFormat="1" applyFont="1" applyFill="1" applyBorder="1" applyAlignment="1">
      <alignment horizontal="right" vertical="center"/>
    </xf>
    <xf numFmtId="3" fontId="20" fillId="8" borderId="7" xfId="0" applyNumberFormat="1" applyFont="1" applyFill="1" applyBorder="1" applyAlignment="1">
      <alignment horizontal="center" vertical="center"/>
    </xf>
    <xf numFmtId="3" fontId="20" fillId="7" borderId="7" xfId="0" applyNumberFormat="1" applyFont="1" applyFill="1" applyBorder="1" applyAlignment="1">
      <alignment horizontal="center" vertical="center"/>
    </xf>
    <xf numFmtId="3" fontId="20" fillId="6" borderId="7" xfId="0" applyNumberFormat="1" applyFont="1" applyFill="1" applyBorder="1" applyAlignment="1">
      <alignment horizontal="center" vertical="center"/>
    </xf>
    <xf numFmtId="172" fontId="33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left" vertical="center" wrapText="1"/>
    </xf>
    <xf numFmtId="0" fontId="35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 wrapText="1"/>
    </xf>
    <xf numFmtId="4" fontId="35" fillId="8" borderId="7" xfId="9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 wrapText="1"/>
    </xf>
    <xf numFmtId="4" fontId="33" fillId="6" borderId="7" xfId="0" applyNumberFormat="1" applyFont="1" applyFill="1" applyBorder="1" applyAlignment="1">
      <alignment horizontal="right" vertical="center"/>
    </xf>
    <xf numFmtId="0" fontId="36" fillId="6" borderId="7" xfId="0" applyFont="1" applyFill="1" applyBorder="1" applyAlignment="1">
      <alignment horizontal="left" vertical="center" wrapText="1"/>
    </xf>
    <xf numFmtId="0" fontId="35" fillId="6" borderId="7" xfId="0" applyNumberFormat="1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 wrapText="1"/>
    </xf>
    <xf numFmtId="4" fontId="35" fillId="6" borderId="7" xfId="9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 wrapText="1"/>
    </xf>
    <xf numFmtId="172" fontId="33" fillId="7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 wrapText="1"/>
    </xf>
    <xf numFmtId="4" fontId="35" fillId="7" borderId="7" xfId="9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left" vertical="center" wrapText="1"/>
    </xf>
    <xf numFmtId="0" fontId="35" fillId="7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3" fontId="33" fillId="7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vertical="center" wrapText="1"/>
    </xf>
    <xf numFmtId="4" fontId="10" fillId="6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right" vertical="center"/>
    </xf>
    <xf numFmtId="4" fontId="33" fillId="2" borderId="7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35" fillId="6" borderId="7" xfId="0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 wrapText="1"/>
    </xf>
    <xf numFmtId="2" fontId="35" fillId="6" borderId="7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horizontal="center" vertical="center" wrapText="1"/>
    </xf>
    <xf numFmtId="14" fontId="35" fillId="6" borderId="12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4" fontId="33" fillId="6" borderId="13" xfId="8" applyNumberFormat="1" applyFont="1" applyFill="1" applyBorder="1" applyAlignment="1">
      <alignment vertical="center"/>
    </xf>
    <xf numFmtId="4" fontId="35" fillId="6" borderId="13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vertical="center" wrapText="1"/>
    </xf>
    <xf numFmtId="14" fontId="35" fillId="7" borderId="12" xfId="0" applyNumberFormat="1" applyFont="1" applyFill="1" applyBorder="1" applyAlignment="1">
      <alignment horizontal="center" vertical="center"/>
    </xf>
    <xf numFmtId="4" fontId="35" fillId="7" borderId="13" xfId="0" applyNumberFormat="1" applyFont="1" applyFill="1" applyBorder="1" applyAlignment="1">
      <alignment horizontal="center" vertical="center"/>
    </xf>
    <xf numFmtId="14" fontId="35" fillId="8" borderId="12" xfId="0" applyNumberFormat="1" applyFont="1" applyFill="1" applyBorder="1" applyAlignment="1">
      <alignment horizontal="center" vertical="center"/>
    </xf>
    <xf numFmtId="4" fontId="33" fillId="8" borderId="13" xfId="8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72" fontId="35" fillId="2" borderId="14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4" fontId="35" fillId="2" borderId="14" xfId="0" applyNumberFormat="1" applyFont="1" applyFill="1" applyBorder="1" applyAlignment="1">
      <alignment horizontal="right" vertical="center"/>
    </xf>
    <xf numFmtId="0" fontId="35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6" fillId="6" borderId="7" xfId="0" applyNumberFormat="1" applyFont="1" applyFill="1" applyBorder="1" applyAlignment="1">
      <alignment horizontal="center" vertical="center"/>
    </xf>
    <xf numFmtId="4" fontId="48" fillId="6" borderId="7" xfId="0" applyNumberFormat="1" applyFont="1" applyFill="1" applyBorder="1" applyAlignment="1">
      <alignment horizontal="center" vertical="center"/>
    </xf>
    <xf numFmtId="0" fontId="16" fillId="7" borderId="7" xfId="0" applyNumberFormat="1" applyFont="1" applyFill="1" applyBorder="1" applyAlignment="1">
      <alignment horizontal="center" vertical="center"/>
    </xf>
    <xf numFmtId="4" fontId="48" fillId="7" borderId="7" xfId="0" applyNumberFormat="1" applyFont="1" applyFill="1" applyBorder="1" applyAlignment="1">
      <alignment horizontal="center" vertical="center"/>
    </xf>
    <xf numFmtId="0" fontId="16" fillId="8" borderId="7" xfId="0" applyNumberFormat="1" applyFont="1" applyFill="1" applyBorder="1" applyAlignment="1">
      <alignment horizontal="center" vertical="center"/>
    </xf>
    <xf numFmtId="4" fontId="48" fillId="8" borderId="7" xfId="0" applyNumberFormat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0" fontId="20" fillId="6" borderId="7" xfId="0" applyNumberFormat="1" applyFont="1" applyFill="1" applyBorder="1" applyAlignment="1">
      <alignment horizontal="center" vertical="center" wrapText="1"/>
    </xf>
    <xf numFmtId="3" fontId="20" fillId="6" borderId="7" xfId="0" applyNumberFormat="1" applyFont="1" applyFill="1" applyBorder="1" applyAlignment="1">
      <alignment horizontal="center" vertical="center" wrapText="1"/>
    </xf>
    <xf numFmtId="0" fontId="20" fillId="7" borderId="7" xfId="0" applyNumberFormat="1" applyFont="1" applyFill="1" applyBorder="1" applyAlignment="1">
      <alignment horizontal="center" vertical="center" wrapText="1"/>
    </xf>
    <xf numFmtId="3" fontId="20" fillId="7" borderId="7" xfId="0" applyNumberFormat="1" applyFont="1" applyFill="1" applyBorder="1" applyAlignment="1">
      <alignment horizontal="center" vertical="center" wrapText="1"/>
    </xf>
    <xf numFmtId="0" fontId="20" fillId="8" borderId="7" xfId="0" applyNumberFormat="1" applyFont="1" applyFill="1" applyBorder="1" applyAlignment="1">
      <alignment horizontal="center" vertical="center" wrapText="1"/>
    </xf>
    <xf numFmtId="3" fontId="20" fillId="8" borderId="7" xfId="0" applyNumberFormat="1" applyFont="1" applyFill="1" applyBorder="1" applyAlignment="1">
      <alignment horizontal="center" vertical="center" wrapText="1"/>
    </xf>
    <xf numFmtId="167" fontId="33" fillId="6" borderId="7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left" vertical="center" wrapText="1"/>
    </xf>
    <xf numFmtId="4" fontId="33" fillId="2" borderId="12" xfId="8" applyNumberFormat="1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4" fontId="33" fillId="2" borderId="14" xfId="8" applyNumberFormat="1" applyFont="1" applyFill="1" applyBorder="1" applyAlignment="1">
      <alignment vertical="center"/>
    </xf>
    <xf numFmtId="166" fontId="17" fillId="8" borderId="7" xfId="0" applyNumberFormat="1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166" fontId="17" fillId="7" borderId="7" xfId="0" applyNumberFormat="1" applyFont="1" applyFill="1" applyBorder="1" applyAlignment="1">
      <alignment vertical="center" wrapText="1"/>
    </xf>
    <xf numFmtId="166" fontId="17" fillId="6" borderId="7" xfId="0" applyNumberFormat="1" applyFont="1" applyFill="1" applyBorder="1" applyAlignment="1">
      <alignment vertical="center" wrapText="1"/>
    </xf>
    <xf numFmtId="2" fontId="35" fillId="7" borderId="7" xfId="0" applyNumberFormat="1" applyFont="1" applyFill="1" applyBorder="1" applyAlignment="1">
      <alignment horizontal="center" vertical="center"/>
    </xf>
    <xf numFmtId="2" fontId="35" fillId="8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left" vertical="center"/>
    </xf>
    <xf numFmtId="0" fontId="36" fillId="6" borderId="7" xfId="0" applyFont="1" applyFill="1" applyBorder="1" applyAlignment="1">
      <alignment horizontal="center" vertical="center"/>
    </xf>
    <xf numFmtId="172" fontId="36" fillId="6" borderId="7" xfId="0" applyNumberFormat="1" applyFont="1" applyFill="1" applyBorder="1" applyAlignment="1">
      <alignment horizontal="center" vertical="center"/>
    </xf>
    <xf numFmtId="4" fontId="36" fillId="6" borderId="7" xfId="0" applyNumberFormat="1" applyFont="1" applyFill="1" applyBorder="1" applyAlignment="1">
      <alignment horizontal="center" vertical="center"/>
    </xf>
    <xf numFmtId="3" fontId="36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right" vertical="center"/>
    </xf>
    <xf numFmtId="0" fontId="36" fillId="7" borderId="7" xfId="0" applyFont="1" applyFill="1" applyBorder="1" applyAlignment="1">
      <alignment horizontal="center" vertical="center"/>
    </xf>
    <xf numFmtId="172" fontId="36" fillId="7" borderId="7" xfId="0" applyNumberFormat="1" applyFont="1" applyFill="1" applyBorder="1" applyAlignment="1">
      <alignment horizontal="center" vertical="center"/>
    </xf>
    <xf numFmtId="4" fontId="36" fillId="7" borderId="7" xfId="0" applyNumberFormat="1" applyFont="1" applyFill="1" applyBorder="1" applyAlignment="1">
      <alignment horizontal="center" vertical="center"/>
    </xf>
    <xf numFmtId="3" fontId="36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center" vertical="center"/>
    </xf>
    <xf numFmtId="172" fontId="36" fillId="8" borderId="7" xfId="0" applyNumberFormat="1" applyFont="1" applyFill="1" applyBorder="1" applyAlignment="1">
      <alignment horizontal="center" vertical="center"/>
    </xf>
    <xf numFmtId="4" fontId="36" fillId="8" borderId="7" xfId="0" applyNumberFormat="1" applyFont="1" applyFill="1" applyBorder="1" applyAlignment="1">
      <alignment horizontal="center" vertical="center"/>
    </xf>
    <xf numFmtId="3" fontId="36" fillId="8" borderId="7" xfId="0" applyNumberFormat="1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right" vertical="center"/>
    </xf>
    <xf numFmtId="172" fontId="4" fillId="6" borderId="14" xfId="0" applyNumberFormat="1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18" fillId="6" borderId="7" xfId="11" applyNumberFormat="1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wrapText="1"/>
    </xf>
    <xf numFmtId="4" fontId="18" fillId="6" borderId="7" xfId="0" applyNumberFormat="1" applyFont="1" applyFill="1" applyBorder="1" applyAlignment="1">
      <alignment horizontal="right" vertical="center" wrapText="1"/>
    </xf>
    <xf numFmtId="4" fontId="33" fillId="6" borderId="12" xfId="8" applyNumberFormat="1" applyFont="1" applyFill="1" applyBorder="1" applyAlignment="1">
      <alignment vertical="center"/>
    </xf>
    <xf numFmtId="0" fontId="33" fillId="6" borderId="13" xfId="11" applyNumberFormat="1" applyFont="1" applyFill="1" applyBorder="1" applyAlignment="1">
      <alignment horizontal="left" vertical="center" wrapText="1"/>
    </xf>
    <xf numFmtId="3" fontId="4" fillId="6" borderId="13" xfId="0" applyNumberFormat="1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172" fontId="4" fillId="6" borderId="13" xfId="0" applyNumberFormat="1" applyFont="1" applyFill="1" applyBorder="1" applyAlignment="1">
      <alignment horizontal="center" vertical="center"/>
    </xf>
    <xf numFmtId="0" fontId="33" fillId="6" borderId="7" xfId="11" applyNumberFormat="1" applyFont="1" applyFill="1" applyBorder="1" applyAlignment="1">
      <alignment horizontal="left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172" fontId="4" fillId="7" borderId="7" xfId="0" applyNumberFormat="1" applyFont="1" applyFill="1" applyBorder="1" applyAlignment="1">
      <alignment horizontal="center" vertical="center" wrapText="1"/>
    </xf>
    <xf numFmtId="0" fontId="33" fillId="7" borderId="7" xfId="11" applyNumberFormat="1" applyFont="1" applyFill="1" applyBorder="1" applyAlignment="1">
      <alignment horizontal="left" vertical="center" wrapText="1"/>
    </xf>
    <xf numFmtId="4" fontId="4" fillId="7" borderId="7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0" fontId="33" fillId="8" borderId="7" xfId="11" applyNumberFormat="1" applyFont="1" applyFill="1" applyBorder="1" applyAlignment="1">
      <alignment horizontal="left" vertical="center" wrapText="1"/>
    </xf>
    <xf numFmtId="0" fontId="18" fillId="8" borderId="7" xfId="11" applyNumberFormat="1" applyFont="1" applyFill="1" applyBorder="1" applyAlignment="1">
      <alignment horizontal="left" vertical="center" wrapText="1"/>
    </xf>
    <xf numFmtId="0" fontId="18" fillId="7" borderId="7" xfId="11" applyNumberFormat="1" applyFont="1" applyFill="1" applyBorder="1" applyAlignment="1">
      <alignment horizontal="left" vertical="center" wrapText="1"/>
    </xf>
    <xf numFmtId="4" fontId="17" fillId="6" borderId="0" xfId="0" applyNumberFormat="1" applyFont="1" applyFill="1"/>
    <xf numFmtId="4" fontId="17" fillId="7" borderId="0" xfId="0" applyNumberFormat="1" applyFont="1" applyFill="1"/>
    <xf numFmtId="4" fontId="17" fillId="8" borderId="7" xfId="0" applyNumberFormat="1" applyFont="1" applyFill="1" applyBorder="1" applyAlignment="1">
      <alignment horizontal="right" vertical="center"/>
    </xf>
    <xf numFmtId="4" fontId="17" fillId="8" borderId="0" xfId="0" applyNumberFormat="1" applyFont="1" applyFill="1"/>
    <xf numFmtId="0" fontId="4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4" fontId="4" fillId="8" borderId="7" xfId="0" applyNumberFormat="1" applyFont="1" applyFill="1" applyBorder="1" applyAlignment="1">
      <alignment horizontal="right" vertical="center"/>
    </xf>
    <xf numFmtId="4" fontId="35" fillId="6" borderId="7" xfId="0" applyNumberFormat="1" applyFont="1" applyFill="1" applyBorder="1" applyAlignment="1">
      <alignment horizontal="right" vertical="center"/>
    </xf>
    <xf numFmtId="0" fontId="35" fillId="6" borderId="10" xfId="0" applyFont="1" applyFill="1" applyBorder="1" applyAlignment="1">
      <alignment horizontal="left" vertical="center" wrapText="1"/>
    </xf>
    <xf numFmtId="167" fontId="4" fillId="6" borderId="7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167" fontId="4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right" vertical="center"/>
    </xf>
    <xf numFmtId="1" fontId="4" fillId="6" borderId="7" xfId="0" applyNumberFormat="1" applyFont="1" applyFill="1" applyBorder="1" applyAlignment="1">
      <alignment vertical="center" wrapText="1"/>
    </xf>
    <xf numFmtId="1" fontId="4" fillId="6" borderId="7" xfId="0" applyNumberFormat="1" applyFont="1" applyFill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vertical="center"/>
    </xf>
    <xf numFmtId="1" fontId="4" fillId="7" borderId="7" xfId="0" applyNumberFormat="1" applyFont="1" applyFill="1" applyBorder="1" applyAlignment="1">
      <alignment vertical="center" wrapText="1"/>
    </xf>
    <xf numFmtId="1" fontId="4" fillId="7" borderId="7" xfId="0" applyNumberFormat="1" applyFont="1" applyFill="1" applyBorder="1" applyAlignment="1">
      <alignment horizontal="center" vertical="center" wrapText="1"/>
    </xf>
    <xf numFmtId="1" fontId="4" fillId="7" borderId="7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 wrapText="1"/>
    </xf>
    <xf numFmtId="1" fontId="4" fillId="8" borderId="7" xfId="0" applyNumberFormat="1" applyFont="1" applyFill="1" applyBorder="1" applyAlignment="1">
      <alignment horizontal="center" vertical="center"/>
    </xf>
    <xf numFmtId="1" fontId="4" fillId="8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horizontal="center" vertical="center" wrapText="1"/>
    </xf>
    <xf numFmtId="172" fontId="4" fillId="6" borderId="14" xfId="0" applyNumberFormat="1" applyFont="1" applyFill="1" applyBorder="1" applyAlignment="1">
      <alignment horizontal="center" vertical="center"/>
    </xf>
    <xf numFmtId="4" fontId="4" fillId="6" borderId="14" xfId="0" applyNumberFormat="1" applyFont="1" applyFill="1" applyBorder="1" applyAlignment="1">
      <alignment horizontal="right" vertical="center"/>
    </xf>
    <xf numFmtId="4" fontId="4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center" vertical="center"/>
    </xf>
    <xf numFmtId="4" fontId="35" fillId="6" borderId="7" xfId="0" applyNumberFormat="1" applyFont="1" applyFill="1" applyBorder="1" applyAlignment="1">
      <alignment horizontal="right" vertical="center" wrapText="1"/>
    </xf>
    <xf numFmtId="0" fontId="35" fillId="6" borderId="7" xfId="0" applyFont="1" applyFill="1" applyBorder="1" applyAlignment="1">
      <alignment horizontal="justify" vertical="center" wrapText="1"/>
    </xf>
    <xf numFmtId="172" fontId="4" fillId="7" borderId="14" xfId="0" applyNumberFormat="1" applyFont="1" applyFill="1" applyBorder="1" applyAlignment="1">
      <alignment horizontal="center" vertical="center"/>
    </xf>
    <xf numFmtId="4" fontId="4" fillId="7" borderId="14" xfId="0" applyNumberFormat="1" applyFont="1" applyFill="1" applyBorder="1" applyAlignment="1">
      <alignment horizontal="right" vertical="center"/>
    </xf>
    <xf numFmtId="4" fontId="4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 wrapText="1"/>
    </xf>
    <xf numFmtId="0" fontId="35" fillId="7" borderId="7" xfId="0" applyFont="1" applyFill="1" applyBorder="1" applyAlignment="1">
      <alignment horizontal="justify" vertical="center" wrapText="1"/>
    </xf>
    <xf numFmtId="172" fontId="4" fillId="8" borderId="14" xfId="0" applyNumberFormat="1" applyFont="1" applyFill="1" applyBorder="1" applyAlignment="1">
      <alignment horizontal="center" vertical="center"/>
    </xf>
    <xf numFmtId="4" fontId="4" fillId="8" borderId="14" xfId="0" applyNumberFormat="1" applyFont="1" applyFill="1" applyBorder="1" applyAlignment="1">
      <alignment horizontal="right" vertical="center"/>
    </xf>
    <xf numFmtId="4" fontId="4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center" vertical="center"/>
    </xf>
    <xf numFmtId="0" fontId="33" fillId="8" borderId="10" xfId="0" applyFont="1" applyFill="1" applyBorder="1" applyAlignment="1">
      <alignment horizontal="center" vertical="center" wrapText="1"/>
    </xf>
    <xf numFmtId="4" fontId="35" fillId="8" borderId="7" xfId="0" applyNumberFormat="1" applyFont="1" applyFill="1" applyBorder="1" applyAlignment="1">
      <alignment horizontal="right" vertical="center"/>
    </xf>
    <xf numFmtId="0" fontId="35" fillId="8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 wrapText="1"/>
    </xf>
    <xf numFmtId="172" fontId="17" fillId="6" borderId="7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horizontal="justify" vertical="center" wrapText="1"/>
    </xf>
    <xf numFmtId="0" fontId="16" fillId="7" borderId="7" xfId="0" applyFont="1" applyFill="1" applyBorder="1" applyAlignment="1">
      <alignment vertical="center"/>
    </xf>
    <xf numFmtId="0" fontId="16" fillId="8" borderId="7" xfId="0" applyFont="1" applyFill="1" applyBorder="1" applyAlignment="1">
      <alignment vertical="center" wrapText="1"/>
    </xf>
    <xf numFmtId="0" fontId="16" fillId="8" borderId="7" xfId="0" applyFont="1" applyFill="1" applyBorder="1" applyAlignment="1">
      <alignment horizontal="justify" vertical="center" wrapText="1"/>
    </xf>
    <xf numFmtId="0" fontId="16" fillId="8" borderId="7" xfId="0" applyFont="1" applyFill="1" applyBorder="1" applyAlignment="1">
      <alignment vertical="center"/>
    </xf>
    <xf numFmtId="172" fontId="35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wrapText="1"/>
    </xf>
    <xf numFmtId="0" fontId="16" fillId="0" borderId="7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172" fontId="4" fillId="2" borderId="13" xfId="0" applyNumberFormat="1" applyFont="1" applyFill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35" fillId="0" borderId="7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/>
    </xf>
    <xf numFmtId="3" fontId="35" fillId="2" borderId="11" xfId="0" applyNumberFormat="1" applyFont="1" applyFill="1" applyBorder="1" applyAlignment="1">
      <alignment horizontal="center" vertical="center"/>
    </xf>
    <xf numFmtId="4" fontId="33" fillId="2" borderId="13" xfId="8" applyNumberFormat="1" applyFont="1" applyFill="1" applyBorder="1" applyAlignment="1">
      <alignment vertical="center"/>
    </xf>
    <xf numFmtId="168" fontId="35" fillId="0" borderId="7" xfId="0" applyNumberFormat="1" applyFont="1" applyFill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3" fontId="35" fillId="2" borderId="14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left" vertical="center" wrapText="1"/>
    </xf>
    <xf numFmtId="0" fontId="35" fillId="2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35" fillId="2" borderId="13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168" fontId="4" fillId="0" borderId="7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4" fontId="4" fillId="6" borderId="7" xfId="0" applyNumberFormat="1" applyFont="1" applyFill="1" applyBorder="1" applyAlignment="1">
      <alignment horizontal="right" vertical="center" wrapText="1"/>
    </xf>
    <xf numFmtId="170" fontId="35" fillId="2" borderId="10" xfId="8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70" fontId="35" fillId="2" borderId="10" xfId="8" applyNumberFormat="1" applyFont="1" applyFill="1" applyBorder="1" applyAlignment="1" applyProtection="1">
      <alignment vertical="center"/>
    </xf>
    <xf numFmtId="0" fontId="38" fillId="0" borderId="7" xfId="8" applyNumberFormat="1" applyFont="1" applyFill="1" applyBorder="1" applyAlignment="1" applyProtection="1">
      <alignment horizontal="center" vertical="center"/>
    </xf>
    <xf numFmtId="0" fontId="35" fillId="0" borderId="7" xfId="8" applyNumberFormat="1" applyFont="1" applyFill="1" applyBorder="1" applyAlignment="1" applyProtection="1">
      <alignment horizontal="center" vertical="center"/>
    </xf>
    <xf numFmtId="172" fontId="35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right" vertical="center"/>
    </xf>
    <xf numFmtId="0" fontId="20" fillId="6" borderId="7" xfId="0" applyFont="1" applyFill="1" applyBorder="1" applyAlignment="1">
      <alignment horizontal="center" vertical="center" wrapText="1"/>
    </xf>
    <xf numFmtId="172" fontId="17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right" vertical="center" wrapText="1"/>
    </xf>
    <xf numFmtId="172" fontId="35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right" vertical="center"/>
    </xf>
    <xf numFmtId="0" fontId="35" fillId="7" borderId="10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 wrapText="1"/>
    </xf>
    <xf numFmtId="172" fontId="20" fillId="7" borderId="7" xfId="0" applyNumberFormat="1" applyFont="1" applyFill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right" vertical="center" wrapText="1"/>
    </xf>
    <xf numFmtId="4" fontId="20" fillId="7" borderId="7" xfId="0" applyNumberFormat="1" applyFont="1" applyFill="1" applyBorder="1" applyAlignment="1">
      <alignment horizontal="center" vertical="center" wrapText="1"/>
    </xf>
    <xf numFmtId="172" fontId="35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right" vertical="center"/>
    </xf>
    <xf numFmtId="0" fontId="20" fillId="8" borderId="7" xfId="0" applyFont="1" applyFill="1" applyBorder="1" applyAlignment="1">
      <alignment horizontal="center" vertical="center" wrapText="1"/>
    </xf>
    <xf numFmtId="172" fontId="17" fillId="8" borderId="7" xfId="0" applyNumberFormat="1" applyFont="1" applyFill="1" applyBorder="1" applyAlignment="1">
      <alignment horizontal="center" vertical="center" wrapText="1"/>
    </xf>
    <xf numFmtId="172" fontId="20" fillId="8" borderId="7" xfId="0" applyNumberFormat="1" applyFont="1" applyFill="1" applyBorder="1" applyAlignment="1">
      <alignment horizontal="center" vertical="center" wrapText="1"/>
    </xf>
    <xf numFmtId="4" fontId="20" fillId="8" borderId="7" xfId="0" applyNumberFormat="1" applyFont="1" applyFill="1" applyBorder="1" applyAlignment="1">
      <alignment horizontal="right" vertical="center" wrapText="1"/>
    </xf>
    <xf numFmtId="4" fontId="20" fillId="8" borderId="7" xfId="0" applyNumberFormat="1" applyFont="1" applyFill="1" applyBorder="1" applyAlignment="1">
      <alignment horizontal="center" vertical="center" wrapText="1"/>
    </xf>
    <xf numFmtId="4" fontId="35" fillId="8" borderId="12" xfId="0" applyNumberFormat="1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right" vertical="center"/>
    </xf>
    <xf numFmtId="172" fontId="4" fillId="7" borderId="7" xfId="0" applyNumberFormat="1" applyFont="1" applyFill="1" applyBorder="1" applyAlignment="1">
      <alignment horizontal="right" vertical="center"/>
    </xf>
    <xf numFmtId="2" fontId="18" fillId="6" borderId="7" xfId="0" applyNumberFormat="1" applyFont="1" applyFill="1" applyBorder="1" applyAlignment="1">
      <alignment horizontal="center" vertical="center" wrapText="1"/>
    </xf>
    <xf numFmtId="2" fontId="26" fillId="6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4" fontId="8" fillId="6" borderId="7" xfId="0" applyNumberFormat="1" applyFont="1" applyFill="1" applyBorder="1" applyAlignment="1">
      <alignment horizontal="center" vertical="center"/>
    </xf>
    <xf numFmtId="4" fontId="8" fillId="6" borderId="7" xfId="0" applyNumberFormat="1" applyFont="1" applyFill="1" applyBorder="1" applyAlignment="1">
      <alignment horizontal="right" vertical="center"/>
    </xf>
    <xf numFmtId="3" fontId="8" fillId="6" borderId="7" xfId="0" applyNumberFormat="1" applyFont="1" applyFill="1" applyBorder="1" applyAlignment="1">
      <alignment horizontal="center" vertical="center"/>
    </xf>
    <xf numFmtId="0" fontId="8" fillId="6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4" fontId="8" fillId="7" borderId="7" xfId="0" applyNumberFormat="1" applyFont="1" applyFill="1" applyBorder="1" applyAlignment="1">
      <alignment horizontal="center" vertical="center"/>
    </xf>
    <xf numFmtId="3" fontId="8" fillId="7" borderId="7" xfId="0" applyNumberFormat="1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right" vertical="center"/>
    </xf>
    <xf numFmtId="0" fontId="8" fillId="7" borderId="7" xfId="0" applyNumberFormat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4" fontId="8" fillId="8" borderId="7" xfId="0" applyNumberFormat="1" applyFont="1" applyFill="1" applyBorder="1" applyAlignment="1">
      <alignment horizontal="center" vertical="center"/>
    </xf>
    <xf numFmtId="3" fontId="8" fillId="8" borderId="7" xfId="0" applyNumberFormat="1" applyFont="1" applyFill="1" applyBorder="1" applyAlignment="1">
      <alignment horizontal="center" vertical="center"/>
    </xf>
    <xf numFmtId="4" fontId="8" fillId="8" borderId="7" xfId="0" applyNumberFormat="1" applyFont="1" applyFill="1" applyBorder="1" applyAlignment="1">
      <alignment horizontal="right" vertical="center"/>
    </xf>
    <xf numFmtId="0" fontId="8" fillId="8" borderId="7" xfId="0" applyNumberFormat="1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left" vertical="center" wrapText="1"/>
    </xf>
    <xf numFmtId="0" fontId="33" fillId="8" borderId="7" xfId="0" applyFont="1" applyFill="1" applyBorder="1" applyAlignment="1">
      <alignment horizontal="justify" vertical="center" wrapText="1"/>
    </xf>
    <xf numFmtId="0" fontId="33" fillId="6" borderId="10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4" fontId="16" fillId="6" borderId="7" xfId="0" applyNumberFormat="1" applyFont="1" applyFill="1" applyBorder="1" applyAlignment="1">
      <alignment horizontal="right" vertical="center"/>
    </xf>
    <xf numFmtId="4" fontId="33" fillId="6" borderId="12" xfId="8" applyNumberFormat="1" applyFont="1" applyFill="1" applyBorder="1" applyAlignment="1">
      <alignment horizontal="right" vertical="center"/>
    </xf>
    <xf numFmtId="4" fontId="33" fillId="6" borderId="7" xfId="8" applyNumberFormat="1" applyFont="1" applyFill="1" applyBorder="1" applyAlignment="1">
      <alignment horizontal="right" vertical="center"/>
    </xf>
    <xf numFmtId="0" fontId="0" fillId="6" borderId="7" xfId="0" applyFont="1" applyFill="1" applyBorder="1" applyAlignment="1">
      <alignment horizontal="center" wrapText="1"/>
    </xf>
    <xf numFmtId="0" fontId="33" fillId="7" borderId="7" xfId="0" applyFont="1" applyFill="1" applyBorder="1" applyAlignment="1">
      <alignment horizontal="justify" vertical="center" wrapText="1"/>
    </xf>
    <xf numFmtId="0" fontId="33" fillId="7" borderId="10" xfId="0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wrapText="1"/>
    </xf>
    <xf numFmtId="4" fontId="33" fillId="7" borderId="12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/>
    </xf>
    <xf numFmtId="4" fontId="39" fillId="7" borderId="7" xfId="0" applyNumberFormat="1" applyFont="1" applyFill="1" applyBorder="1" applyAlignment="1">
      <alignment horizontal="center" wrapText="1"/>
    </xf>
    <xf numFmtId="4" fontId="37" fillId="7" borderId="7" xfId="0" applyNumberFormat="1" applyFont="1" applyFill="1" applyBorder="1" applyAlignment="1">
      <alignment horizontal="center" wrapText="1"/>
    </xf>
    <xf numFmtId="4" fontId="4" fillId="8" borderId="7" xfId="0" applyNumberFormat="1" applyFont="1" applyFill="1" applyBorder="1" applyAlignment="1">
      <alignment horizontal="center" wrapText="1"/>
    </xf>
    <xf numFmtId="4" fontId="33" fillId="8" borderId="12" xfId="8" applyNumberFormat="1" applyFont="1" applyFill="1" applyBorder="1" applyAlignment="1">
      <alignment vertical="center"/>
    </xf>
    <xf numFmtId="4" fontId="16" fillId="8" borderId="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" fontId="16" fillId="7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justify" vertical="center" wrapText="1"/>
    </xf>
    <xf numFmtId="4" fontId="16" fillId="6" borderId="7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4" fontId="35" fillId="8" borderId="7" xfId="0" applyNumberFormat="1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33" fillId="7" borderId="7" xfId="0" applyFont="1" applyFill="1" applyBorder="1" applyAlignment="1">
      <alignment vertical="center" wrapText="1"/>
    </xf>
    <xf numFmtId="172" fontId="33" fillId="7" borderId="7" xfId="0" applyNumberFormat="1" applyFont="1" applyFill="1" applyBorder="1" applyAlignment="1">
      <alignment horizontal="center" vertical="center" wrapText="1"/>
    </xf>
    <xf numFmtId="0" fontId="12" fillId="6" borderId="7" xfId="0" applyNumberFormat="1" applyFont="1" applyFill="1" applyBorder="1" applyAlignment="1">
      <alignment horizontal="center" vertical="center"/>
    </xf>
    <xf numFmtId="0" fontId="12" fillId="7" borderId="7" xfId="0" applyNumberFormat="1" applyFont="1" applyFill="1" applyBorder="1" applyAlignment="1">
      <alignment horizontal="center" vertical="center"/>
    </xf>
    <xf numFmtId="0" fontId="12" fillId="8" borderId="7" xfId="0" applyNumberFormat="1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left" vertical="center" indent="1"/>
    </xf>
    <xf numFmtId="0" fontId="29" fillId="9" borderId="5" xfId="0" applyFont="1" applyFill="1" applyBorder="1" applyAlignment="1">
      <alignment horizontal="left" vertical="center" indent="1"/>
    </xf>
    <xf numFmtId="172" fontId="35" fillId="2" borderId="13" xfId="0" applyNumberFormat="1" applyFont="1" applyFill="1" applyBorder="1" applyAlignment="1">
      <alignment horizontal="right" vertical="center"/>
    </xf>
    <xf numFmtId="0" fontId="35" fillId="2" borderId="13" xfId="0" applyFont="1" applyFill="1" applyBorder="1" applyAlignment="1">
      <alignment horizontal="right" vertical="center"/>
    </xf>
    <xf numFmtId="167" fontId="35" fillId="2" borderId="13" xfId="0" applyNumberFormat="1" applyFont="1" applyFill="1" applyBorder="1" applyAlignment="1">
      <alignment horizontal="right" vertical="center"/>
    </xf>
    <xf numFmtId="0" fontId="4" fillId="6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/>
    </xf>
    <xf numFmtId="172" fontId="35" fillId="7" borderId="7" xfId="0" applyNumberFormat="1" applyFont="1" applyFill="1" applyBorder="1" applyAlignment="1">
      <alignment horizontal="right" vertical="center"/>
    </xf>
    <xf numFmtId="172" fontId="35" fillId="8" borderId="13" xfId="0" applyNumberFormat="1" applyFont="1" applyFill="1" applyBorder="1" applyAlignment="1">
      <alignment horizontal="center" vertical="center"/>
    </xf>
    <xf numFmtId="172" fontId="35" fillId="8" borderId="7" xfId="0" applyNumberFormat="1" applyFont="1" applyFill="1" applyBorder="1" applyAlignment="1">
      <alignment horizontal="right" vertical="center"/>
    </xf>
    <xf numFmtId="172" fontId="35" fillId="6" borderId="13" xfId="0" applyNumberFormat="1" applyFont="1" applyFill="1" applyBorder="1" applyAlignment="1">
      <alignment horizontal="center" vertical="center"/>
    </xf>
    <xf numFmtId="167" fontId="35" fillId="6" borderId="13" xfId="0" applyNumberFormat="1" applyFont="1" applyFill="1" applyBorder="1" applyAlignment="1">
      <alignment horizontal="center" vertical="center"/>
    </xf>
    <xf numFmtId="3" fontId="35" fillId="6" borderId="13" xfId="0" applyNumberFormat="1" applyFont="1" applyFill="1" applyBorder="1" applyAlignment="1">
      <alignment horizontal="center" vertical="center"/>
    </xf>
    <xf numFmtId="2" fontId="35" fillId="6" borderId="7" xfId="0" applyNumberFormat="1" applyFont="1" applyFill="1" applyBorder="1" applyAlignment="1">
      <alignment horizontal="center" vertical="center"/>
    </xf>
    <xf numFmtId="2" fontId="26" fillId="6" borderId="7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2" fontId="26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vertical="center"/>
    </xf>
    <xf numFmtId="0" fontId="35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17" fillId="6" borderId="7" xfId="0" applyNumberFormat="1" applyFont="1" applyFill="1" applyBorder="1" applyAlignment="1">
      <alignment horizontal="center" vertical="center" wrapText="1"/>
    </xf>
    <xf numFmtId="3" fontId="17" fillId="6" borderId="7" xfId="0" applyNumberFormat="1" applyFont="1" applyFill="1" applyBorder="1" applyAlignment="1">
      <alignment horizontal="center" vertical="center" wrapText="1"/>
    </xf>
    <xf numFmtId="2" fontId="0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2" fontId="17" fillId="6" borderId="7" xfId="0" applyNumberFormat="1" applyFont="1" applyFill="1" applyBorder="1" applyAlignment="1">
      <alignment horizontal="center" vertical="center" wrapText="1"/>
    </xf>
    <xf numFmtId="4" fontId="0" fillId="6" borderId="7" xfId="0" applyNumberFormat="1" applyFont="1" applyFill="1" applyBorder="1" applyAlignment="1">
      <alignment horizontal="center" vertical="center" wrapText="1"/>
    </xf>
    <xf numFmtId="2" fontId="20" fillId="6" borderId="7" xfId="0" applyNumberFormat="1" applyFont="1" applyFill="1" applyBorder="1" applyAlignment="1">
      <alignment horizontal="center" vertical="center" wrapText="1"/>
    </xf>
    <xf numFmtId="172" fontId="20" fillId="6" borderId="7" xfId="0" applyNumberFormat="1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/>
    </xf>
    <xf numFmtId="0" fontId="17" fillId="7" borderId="7" xfId="0" applyNumberFormat="1" applyFont="1" applyFill="1" applyBorder="1" applyAlignment="1">
      <alignment horizontal="center" vertical="center" wrapText="1"/>
    </xf>
    <xf numFmtId="3" fontId="17" fillId="7" borderId="7" xfId="0" applyNumberFormat="1" applyFont="1" applyFill="1" applyBorder="1" applyAlignment="1">
      <alignment horizontal="center" vertical="center" wrapText="1"/>
    </xf>
    <xf numFmtId="4" fontId="0" fillId="7" borderId="7" xfId="0" applyNumberFormat="1" applyFont="1" applyFill="1" applyBorder="1" applyAlignment="1">
      <alignment horizontal="center" vertical="center" wrapText="1"/>
    </xf>
    <xf numFmtId="2" fontId="17" fillId="7" borderId="7" xfId="0" applyNumberFormat="1" applyFont="1" applyFill="1" applyBorder="1" applyAlignment="1">
      <alignment horizontal="center" vertical="center" wrapText="1"/>
    </xf>
    <xf numFmtId="0" fontId="17" fillId="8" borderId="7" xfId="0" applyNumberFormat="1" applyFont="1" applyFill="1" applyBorder="1" applyAlignment="1">
      <alignment horizontal="center" vertical="center" wrapText="1"/>
    </xf>
    <xf numFmtId="3" fontId="17" fillId="8" borderId="7" xfId="0" applyNumberFormat="1" applyFont="1" applyFill="1" applyBorder="1" applyAlignment="1">
      <alignment horizontal="center" vertical="center" wrapText="1"/>
    </xf>
    <xf numFmtId="4" fontId="0" fillId="8" borderId="7" xfId="0" applyNumberFormat="1" applyFont="1" applyFill="1" applyBorder="1" applyAlignment="1">
      <alignment horizontal="center" vertical="center" wrapText="1"/>
    </xf>
    <xf numFmtId="2" fontId="17" fillId="8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4" fontId="17" fillId="5" borderId="7" xfId="0" applyNumberFormat="1" applyFont="1" applyFill="1" applyBorder="1" applyAlignment="1">
      <alignment horizontal="center" vertical="center"/>
    </xf>
    <xf numFmtId="3" fontId="17" fillId="5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4" fontId="33" fillId="7" borderId="7" xfId="0" applyNumberFormat="1" applyFont="1" applyFill="1" applyBorder="1" applyAlignment="1">
      <alignment horizontal="right" vertical="center"/>
    </xf>
    <xf numFmtId="4" fontId="37" fillId="7" borderId="7" xfId="0" applyNumberFormat="1" applyFont="1" applyFill="1" applyBorder="1" applyAlignment="1">
      <alignment horizontal="center" vertical="center"/>
    </xf>
    <xf numFmtId="4" fontId="45" fillId="2" borderId="0" xfId="0" applyNumberFormat="1" applyFont="1" applyFill="1" applyBorder="1" applyAlignment="1">
      <alignment horizontal="center" vertical="center"/>
    </xf>
    <xf numFmtId="0" fontId="37" fillId="2" borderId="0" xfId="0" applyFont="1" applyFill="1"/>
    <xf numFmtId="0" fontId="4" fillId="2" borderId="14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7" xfId="0" applyNumberFormat="1" applyFont="1" applyFill="1" applyBorder="1" applyAlignment="1">
      <alignment horizontal="center" vertical="center"/>
    </xf>
    <xf numFmtId="167" fontId="13" fillId="0" borderId="7" xfId="0" applyNumberFormat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Fill="1" applyBorder="1" applyAlignment="1">
      <alignment horizontal="center" vertical="center"/>
    </xf>
    <xf numFmtId="172" fontId="35" fillId="6" borderId="13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right" vertical="center" wrapText="1" shrinkToFit="1"/>
    </xf>
    <xf numFmtId="0" fontId="35" fillId="6" borderId="7" xfId="0" applyFont="1" applyFill="1" applyBorder="1" applyAlignment="1">
      <alignment horizontal="left" vertical="center" wrapText="1" shrinkToFit="1"/>
    </xf>
    <xf numFmtId="0" fontId="35" fillId="6" borderId="7" xfId="0" applyFont="1" applyFill="1" applyBorder="1" applyAlignment="1">
      <alignment horizontal="center" vertical="center" wrapText="1" shrinkToFit="1"/>
    </xf>
    <xf numFmtId="172" fontId="35" fillId="6" borderId="7" xfId="0" applyNumberFormat="1" applyFont="1" applyFill="1" applyBorder="1" applyAlignment="1">
      <alignment horizontal="center" vertical="center" wrapText="1" shrinkToFit="1"/>
    </xf>
    <xf numFmtId="3" fontId="35" fillId="6" borderId="7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right" vertical="center" wrapText="1" shrinkToFit="1"/>
    </xf>
    <xf numFmtId="0" fontId="35" fillId="7" borderId="7" xfId="0" applyFont="1" applyFill="1" applyBorder="1" applyAlignment="1">
      <alignment horizontal="left" vertical="center" wrapText="1" shrinkToFit="1"/>
    </xf>
    <xf numFmtId="0" fontId="35" fillId="7" borderId="7" xfId="0" applyFont="1" applyFill="1" applyBorder="1" applyAlignment="1">
      <alignment horizontal="center" vertical="center" wrapText="1" shrinkToFit="1"/>
    </xf>
    <xf numFmtId="172" fontId="35" fillId="7" borderId="7" xfId="0" applyNumberFormat="1" applyFont="1" applyFill="1" applyBorder="1" applyAlignment="1">
      <alignment horizontal="center" vertical="center" wrapText="1" shrinkToFit="1"/>
    </xf>
    <xf numFmtId="3" fontId="35" fillId="7" borderId="7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center" vertical="center" wrapText="1" shrinkToFit="1"/>
    </xf>
    <xf numFmtId="172" fontId="35" fillId="8" borderId="13" xfId="0" applyNumberFormat="1" applyFont="1" applyFill="1" applyBorder="1" applyAlignment="1">
      <alignment horizontal="center" vertical="center" wrapText="1" shrinkToFit="1"/>
    </xf>
    <xf numFmtId="1" fontId="35" fillId="8" borderId="13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right" vertical="center" wrapText="1" shrinkToFit="1"/>
    </xf>
    <xf numFmtId="0" fontId="35" fillId="8" borderId="7" xfId="0" applyFont="1" applyFill="1" applyBorder="1" applyAlignment="1">
      <alignment horizontal="left" vertical="center" wrapText="1" shrinkToFit="1"/>
    </xf>
    <xf numFmtId="0" fontId="35" fillId="8" borderId="7" xfId="0" applyFont="1" applyFill="1" applyBorder="1" applyAlignment="1">
      <alignment horizontal="center" vertical="center" wrapText="1" shrinkToFit="1"/>
    </xf>
    <xf numFmtId="172" fontId="35" fillId="8" borderId="7" xfId="0" applyNumberFormat="1" applyFont="1" applyFill="1" applyBorder="1" applyAlignment="1">
      <alignment horizontal="center" vertical="center" wrapText="1" shrinkToFit="1"/>
    </xf>
    <xf numFmtId="3" fontId="35" fillId="8" borderId="7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center" vertical="center" wrapText="1" shrinkToFit="1"/>
    </xf>
    <xf numFmtId="0" fontId="29" fillId="2" borderId="6" xfId="0" applyFont="1" applyFill="1" applyBorder="1"/>
    <xf numFmtId="4" fontId="51" fillId="2" borderId="1" xfId="0" applyNumberFormat="1" applyFont="1" applyFill="1" applyBorder="1" applyAlignment="1">
      <alignment horizontal="right" vertical="center"/>
    </xf>
    <xf numFmtId="4" fontId="51" fillId="2" borderId="1" xfId="8" applyNumberFormat="1" applyFont="1" applyFill="1" applyBorder="1" applyAlignment="1">
      <alignment horizontal="right" vertical="center"/>
    </xf>
    <xf numFmtId="1" fontId="5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3" fontId="51" fillId="2" borderId="1" xfId="0" applyNumberFormat="1" applyFont="1" applyFill="1" applyBorder="1" applyAlignment="1">
      <alignment horizontal="center" vertical="center"/>
    </xf>
    <xf numFmtId="4" fontId="51" fillId="2" borderId="1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4" fontId="51" fillId="2" borderId="1" xfId="0" applyNumberFormat="1" applyFont="1" applyFill="1" applyBorder="1" applyAlignment="1">
      <alignment horizontal="right" vertical="center" wrapText="1"/>
    </xf>
    <xf numFmtId="0" fontId="51" fillId="2" borderId="0" xfId="0" applyFont="1" applyFill="1" applyAlignment="1">
      <alignment horizontal="center" vertical="center" wrapText="1"/>
    </xf>
    <xf numFmtId="0" fontId="50" fillId="2" borderId="0" xfId="0" applyFont="1" applyFill="1" applyAlignment="1">
      <alignment vertical="center" wrapText="1"/>
    </xf>
    <xf numFmtId="4" fontId="50" fillId="2" borderId="0" xfId="0" applyNumberFormat="1" applyFont="1" applyFill="1" applyAlignment="1">
      <alignment horizontal="right" vertical="center"/>
    </xf>
    <xf numFmtId="0" fontId="51" fillId="2" borderId="0" xfId="0" applyFont="1" applyFill="1" applyBorder="1" applyAlignment="1">
      <alignment vertical="center"/>
    </xf>
    <xf numFmtId="0" fontId="51" fillId="2" borderId="0" xfId="9" applyFont="1" applyFill="1" applyAlignment="1">
      <alignment horizontal="center" vertical="center"/>
    </xf>
    <xf numFmtId="0" fontId="51" fillId="2" borderId="0" xfId="9" applyFont="1" applyFill="1" applyAlignment="1">
      <alignment vertical="center"/>
    </xf>
    <xf numFmtId="0" fontId="51" fillId="2" borderId="0" xfId="0" applyFont="1" applyFill="1" applyAlignment="1">
      <alignment horizontal="left" vertical="center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 wrapText="1"/>
    </xf>
    <xf numFmtId="4" fontId="50" fillId="2" borderId="0" xfId="0" applyNumberFormat="1" applyFont="1" applyFill="1" applyAlignment="1">
      <alignment horizontal="center" vertical="center"/>
    </xf>
    <xf numFmtId="0" fontId="7" fillId="2" borderId="0" xfId="0" applyFont="1" applyFill="1"/>
    <xf numFmtId="2" fontId="51" fillId="2" borderId="1" xfId="0" applyNumberFormat="1" applyFont="1" applyFill="1" applyBorder="1" applyAlignment="1">
      <alignment horizontal="center" vertical="center" wrapText="1"/>
    </xf>
    <xf numFmtId="2" fontId="51" fillId="2" borderId="1" xfId="0" applyNumberFormat="1" applyFont="1" applyFill="1" applyBorder="1" applyAlignment="1">
      <alignment horizontal="center" vertical="center"/>
    </xf>
    <xf numFmtId="2" fontId="51" fillId="2" borderId="0" xfId="0" applyNumberFormat="1" applyFont="1" applyFill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1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1" fillId="2" borderId="0" xfId="9" applyFont="1" applyFill="1" applyAlignment="1">
      <alignment horizontal="center" vertical="center" wrapText="1"/>
    </xf>
    <xf numFmtId="0" fontId="51" fillId="2" borderId="0" xfId="0" applyFont="1" applyFill="1" applyAlignment="1">
      <alignment horizontal="left" vertical="center" wrapText="1"/>
    </xf>
    <xf numFmtId="49" fontId="5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 wrapText="1"/>
    </xf>
    <xf numFmtId="4" fontId="51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51" fillId="2" borderId="0" xfId="0" applyFont="1" applyFill="1"/>
    <xf numFmtId="0" fontId="6" fillId="2" borderId="0" xfId="0" applyFont="1" applyFill="1" applyAlignment="1">
      <alignment vertical="center"/>
    </xf>
    <xf numFmtId="1" fontId="51" fillId="2" borderId="1" xfId="0" applyNumberFormat="1" applyFont="1" applyFill="1" applyBorder="1" applyAlignment="1">
      <alignment vertical="center" wrapText="1"/>
    </xf>
    <xf numFmtId="1" fontId="51" fillId="2" borderId="1" xfId="0" applyNumberFormat="1" applyFont="1" applyFill="1" applyBorder="1" applyAlignment="1">
      <alignment horizontal="center" vertical="center"/>
    </xf>
    <xf numFmtId="1" fontId="51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/>
    </xf>
    <xf numFmtId="0" fontId="61" fillId="2" borderId="0" xfId="0" applyFont="1" applyFill="1" applyAlignment="1">
      <alignment horizontal="left" vertical="center"/>
    </xf>
    <xf numFmtId="0" fontId="7" fillId="2" borderId="0" xfId="0" applyFont="1" applyFill="1" applyBorder="1"/>
    <xf numFmtId="0" fontId="33" fillId="2" borderId="0" xfId="0" applyFont="1" applyFill="1"/>
    <xf numFmtId="2" fontId="51" fillId="2" borderId="1" xfId="0" applyNumberFormat="1" applyFont="1" applyFill="1" applyBorder="1" applyAlignment="1">
      <alignment horizontal="right" vertical="center"/>
    </xf>
    <xf numFmtId="172" fontId="51" fillId="2" borderId="1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vertical="center" wrapText="1"/>
    </xf>
    <xf numFmtId="0" fontId="57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53" fillId="2" borderId="1" xfId="0" applyNumberFormat="1" applyFont="1" applyFill="1" applyBorder="1" applyAlignment="1">
      <alignment horizontal="center" vertical="center"/>
    </xf>
    <xf numFmtId="3" fontId="53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4" fontId="9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72" fontId="26" fillId="2" borderId="0" xfId="0" applyNumberFormat="1" applyFont="1" applyFill="1"/>
    <xf numFmtId="3" fontId="26" fillId="2" borderId="0" xfId="0" applyNumberFormat="1" applyFont="1" applyFill="1"/>
    <xf numFmtId="0" fontId="50" fillId="2" borderId="0" xfId="0" applyFont="1" applyFill="1" applyAlignment="1">
      <alignment horizontal="center" vertical="center"/>
    </xf>
    <xf numFmtId="0" fontId="63" fillId="2" borderId="1" xfId="0" applyFont="1" applyFill="1" applyBorder="1" applyAlignment="1">
      <alignment horizontal="left" vertical="center" wrapText="1"/>
    </xf>
    <xf numFmtId="4" fontId="63" fillId="2" borderId="1" xfId="0" applyNumberFormat="1" applyFont="1" applyFill="1" applyBorder="1" applyAlignment="1">
      <alignment horizontal="right" vertical="center" wrapText="1"/>
    </xf>
    <xf numFmtId="0" fontId="63" fillId="2" borderId="0" xfId="0" applyFont="1" applyFill="1" applyBorder="1" applyAlignment="1">
      <alignment horizontal="right" vertical="center"/>
    </xf>
    <xf numFmtId="0" fontId="63" fillId="2" borderId="0" xfId="0" applyFont="1" applyFill="1" applyAlignment="1">
      <alignment horizontal="center" vertical="center"/>
    </xf>
    <xf numFmtId="1" fontId="63" fillId="2" borderId="1" xfId="0" applyNumberFormat="1" applyFont="1" applyFill="1" applyBorder="1" applyAlignment="1">
      <alignment horizontal="right" vertical="center"/>
    </xf>
    <xf numFmtId="0" fontId="63" fillId="2" borderId="1" xfId="0" applyNumberFormat="1" applyFont="1" applyFill="1" applyBorder="1" applyAlignment="1">
      <alignment horizontal="center" vertical="center"/>
    </xf>
    <xf numFmtId="4" fontId="63" fillId="2" borderId="1" xfId="0" applyNumberFormat="1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vertical="center" wrapText="1"/>
    </xf>
    <xf numFmtId="1" fontId="63" fillId="2" borderId="1" xfId="0" applyNumberFormat="1" applyFont="1" applyFill="1" applyBorder="1" applyAlignment="1">
      <alignment horizontal="right" vertical="center" wrapText="1"/>
    </xf>
    <xf numFmtId="0" fontId="63" fillId="2" borderId="0" xfId="0" applyFont="1" applyFill="1" applyAlignment="1">
      <alignment vertical="center" wrapText="1"/>
    </xf>
    <xf numFmtId="0" fontId="66" fillId="2" borderId="0" xfId="0" applyFont="1" applyFill="1" applyAlignment="1">
      <alignment vertical="center" wrapText="1"/>
    </xf>
    <xf numFmtId="0" fontId="67" fillId="2" borderId="0" xfId="0" applyFont="1" applyFill="1" applyAlignment="1">
      <alignment vertical="center" wrapText="1"/>
    </xf>
    <xf numFmtId="0" fontId="63" fillId="2" borderId="0" xfId="0" applyFont="1" applyFill="1" applyAlignment="1">
      <alignment horizontal="center" vertical="center" wrapText="1"/>
    </xf>
    <xf numFmtId="4" fontId="63" fillId="2" borderId="1" xfId="0" applyNumberFormat="1" applyFont="1" applyFill="1" applyBorder="1" applyAlignment="1">
      <alignment vertical="center" wrapText="1"/>
    </xf>
    <xf numFmtId="0" fontId="65" fillId="2" borderId="0" xfId="0" applyFont="1" applyFill="1" applyAlignment="1">
      <alignment wrapText="1"/>
    </xf>
    <xf numFmtId="2" fontId="63" fillId="2" borderId="1" xfId="0" applyNumberFormat="1" applyFont="1" applyFill="1" applyBorder="1" applyAlignment="1">
      <alignment horizontal="right" vertical="center" wrapText="1"/>
    </xf>
    <xf numFmtId="0" fontId="65" fillId="2" borderId="0" xfId="0" applyFont="1" applyFill="1" applyAlignment="1">
      <alignment vertical="center" wrapText="1"/>
    </xf>
    <xf numFmtId="0" fontId="69" fillId="2" borderId="0" xfId="0" applyFont="1" applyFill="1" applyAlignment="1">
      <alignment wrapText="1"/>
    </xf>
    <xf numFmtId="1" fontId="63" fillId="2" borderId="1" xfId="0" applyNumberFormat="1" applyFont="1" applyFill="1" applyBorder="1" applyAlignment="1">
      <alignment vertical="center" wrapText="1"/>
    </xf>
    <xf numFmtId="0" fontId="66" fillId="2" borderId="0" xfId="0" applyFont="1" applyFill="1" applyAlignment="1">
      <alignment wrapText="1"/>
    </xf>
    <xf numFmtId="0" fontId="65" fillId="2" borderId="0" xfId="0" applyFont="1" applyFill="1" applyAlignment="1">
      <alignment horizontal="center" vertical="center" wrapText="1"/>
    </xf>
    <xf numFmtId="4" fontId="63" fillId="2" borderId="1" xfId="12" applyNumberFormat="1" applyFont="1" applyFill="1" applyBorder="1" applyAlignment="1">
      <alignment vertical="center" wrapText="1"/>
    </xf>
    <xf numFmtId="3" fontId="63" fillId="2" borderId="1" xfId="0" applyNumberFormat="1" applyFont="1" applyFill="1" applyBorder="1" applyAlignment="1">
      <alignment vertical="center" wrapText="1"/>
    </xf>
    <xf numFmtId="0" fontId="63" fillId="2" borderId="0" xfId="0" applyFont="1" applyFill="1" applyAlignment="1">
      <alignment wrapText="1"/>
    </xf>
    <xf numFmtId="0" fontId="63" fillId="2" borderId="0" xfId="0" applyFont="1" applyFill="1" applyBorder="1" applyAlignment="1">
      <alignment vertical="center" wrapText="1"/>
    </xf>
    <xf numFmtId="0" fontId="71" fillId="2" borderId="0" xfId="0" applyFont="1" applyFill="1" applyAlignment="1">
      <alignment vertical="center" wrapText="1"/>
    </xf>
    <xf numFmtId="0" fontId="63" fillId="2" borderId="0" xfId="0" applyFont="1" applyFill="1" applyAlignment="1">
      <alignment horizontal="right" vertical="center"/>
    </xf>
    <xf numFmtId="1" fontId="63" fillId="2" borderId="0" xfId="0" applyNumberFormat="1" applyFont="1" applyFill="1" applyAlignment="1">
      <alignment horizontal="right" vertical="center"/>
    </xf>
    <xf numFmtId="0" fontId="63" fillId="2" borderId="0" xfId="0" applyNumberFormat="1" applyFont="1" applyFill="1" applyAlignment="1">
      <alignment horizontal="right" vertical="center"/>
    </xf>
    <xf numFmtId="4" fontId="63" fillId="2" borderId="0" xfId="0" applyNumberFormat="1" applyFont="1" applyFill="1" applyAlignment="1">
      <alignment horizontal="right" vertical="center"/>
    </xf>
    <xf numFmtId="0" fontId="50" fillId="2" borderId="0" xfId="0" applyFont="1" applyFill="1" applyAlignment="1">
      <alignment vertical="center"/>
    </xf>
    <xf numFmtId="4" fontId="51" fillId="2" borderId="0" xfId="0" applyNumberFormat="1" applyFont="1" applyFill="1" applyAlignment="1">
      <alignment vertical="center" wrapText="1"/>
    </xf>
    <xf numFmtId="0" fontId="63" fillId="2" borderId="0" xfId="0" applyFont="1" applyFill="1" applyBorder="1" applyAlignment="1">
      <alignment vertical="center"/>
    </xf>
    <xf numFmtId="1" fontId="53" fillId="2" borderId="1" xfId="0" applyNumberFormat="1" applyFont="1" applyFill="1" applyBorder="1" applyAlignment="1">
      <alignment horizontal="center" vertical="center"/>
    </xf>
    <xf numFmtId="1" fontId="26" fillId="2" borderId="0" xfId="0" applyNumberFormat="1" applyFont="1" applyFill="1"/>
    <xf numFmtId="0" fontId="69" fillId="2" borderId="0" xfId="0" applyFont="1" applyFill="1" applyBorder="1" applyAlignment="1"/>
    <xf numFmtId="4" fontId="33" fillId="2" borderId="1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right"/>
    </xf>
    <xf numFmtId="4" fontId="72" fillId="2" borderId="1" xfId="0" applyNumberFormat="1" applyFont="1" applyFill="1" applyBorder="1" applyAlignment="1">
      <alignment vertical="center" wrapText="1"/>
    </xf>
    <xf numFmtId="1" fontId="50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/>
    <xf numFmtId="17" fontId="5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51" fillId="2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65" fillId="2" borderId="1" xfId="0" applyNumberFormat="1" applyFont="1" applyFill="1" applyBorder="1" applyAlignment="1">
      <alignment horizontal="center" vertical="center" wrapText="1"/>
    </xf>
    <xf numFmtId="2" fontId="65" fillId="2" borderId="1" xfId="0" applyNumberFormat="1" applyFont="1" applyFill="1" applyBorder="1" applyAlignment="1">
      <alignment horizontal="center" vertical="center"/>
    </xf>
    <xf numFmtId="3" fontId="65" fillId="2" borderId="1" xfId="0" applyNumberFormat="1" applyFont="1" applyFill="1" applyBorder="1" applyAlignment="1">
      <alignment horizontal="center" vertical="center"/>
    </xf>
    <xf numFmtId="37" fontId="65" fillId="2" borderId="1" xfId="12" applyNumberFormat="1" applyFont="1" applyFill="1" applyBorder="1" applyAlignment="1">
      <alignment horizontal="center" vertical="center"/>
    </xf>
    <xf numFmtId="39" fontId="65" fillId="2" borderId="1" xfId="12" applyNumberFormat="1" applyFont="1" applyFill="1" applyBorder="1" applyAlignment="1">
      <alignment horizontal="center" vertical="center"/>
    </xf>
    <xf numFmtId="4" fontId="63" fillId="2" borderId="1" xfId="0" applyNumberFormat="1" applyFont="1" applyFill="1" applyBorder="1" applyAlignment="1">
      <alignment horizontal="left" vertical="center" wrapText="1"/>
    </xf>
    <xf numFmtId="0" fontId="63" fillId="2" borderId="0" xfId="0" applyFont="1" applyFill="1" applyAlignment="1">
      <alignment horizontal="left" vertical="center" wrapText="1"/>
    </xf>
    <xf numFmtId="0" fontId="65" fillId="2" borderId="0" xfId="0" applyFont="1" applyFill="1" applyAlignment="1">
      <alignment horizontal="left" vertical="center" wrapText="1"/>
    </xf>
    <xf numFmtId="4" fontId="65" fillId="2" borderId="1" xfId="0" applyNumberFormat="1" applyFont="1" applyFill="1" applyBorder="1" applyAlignment="1">
      <alignment horizontal="center" vertical="center"/>
    </xf>
    <xf numFmtId="4" fontId="65" fillId="2" borderId="1" xfId="0" applyNumberFormat="1" applyFont="1" applyFill="1" applyBorder="1" applyAlignment="1">
      <alignment horizontal="right" vertical="center"/>
    </xf>
    <xf numFmtId="4" fontId="65" fillId="2" borderId="1" xfId="0" applyNumberFormat="1" applyFont="1" applyFill="1" applyBorder="1" applyAlignment="1">
      <alignment horizontal="center" vertical="center" wrapText="1" readingOrder="1"/>
    </xf>
    <xf numFmtId="0" fontId="51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vertical="center" wrapText="1"/>
    </xf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center" vertical="center"/>
    </xf>
    <xf numFmtId="4" fontId="51" fillId="2" borderId="1" xfId="0" applyNumberFormat="1" applyFont="1" applyFill="1" applyBorder="1" applyAlignment="1">
      <alignment horizontal="center" vertical="center" textRotation="90" wrapText="1"/>
    </xf>
    <xf numFmtId="4" fontId="51" fillId="2" borderId="1" xfId="0" applyNumberFormat="1" applyFont="1" applyFill="1" applyBorder="1" applyAlignment="1">
      <alignment horizontal="center" vertical="center" wrapText="1"/>
    </xf>
    <xf numFmtId="0" fontId="63" fillId="2" borderId="0" xfId="0" applyFont="1" applyFill="1" applyAlignment="1">
      <alignment vertical="center"/>
    </xf>
    <xf numFmtId="0" fontId="63" fillId="2" borderId="0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/>
    </xf>
    <xf numFmtId="0" fontId="63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165" fontId="7" fillId="2" borderId="1" xfId="12" applyFont="1" applyFill="1" applyBorder="1" applyAlignment="1">
      <alignment horizontal="right" vertical="center"/>
    </xf>
    <xf numFmtId="39" fontId="7" fillId="2" borderId="1" xfId="12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center" vertical="center"/>
    </xf>
    <xf numFmtId="165" fontId="7" fillId="2" borderId="1" xfId="12" applyFont="1" applyFill="1" applyBorder="1" applyAlignment="1">
      <alignment horizontal="right"/>
    </xf>
    <xf numFmtId="0" fontId="51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" fontId="7" fillId="2" borderId="2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4" fontId="7" fillId="2" borderId="1" xfId="0" applyNumberFormat="1" applyFont="1" applyFill="1" applyBorder="1" applyAlignment="1">
      <alignment horizontal="right"/>
    </xf>
    <xf numFmtId="0" fontId="52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" fontId="52" fillId="2" borderId="1" xfId="0" applyNumberFormat="1" applyFont="1" applyFill="1" applyBorder="1" applyAlignment="1">
      <alignment horizontal="right" vertical="center"/>
    </xf>
    <xf numFmtId="4" fontId="51" fillId="11" borderId="1" xfId="0" applyNumberFormat="1" applyFont="1" applyFill="1" applyBorder="1" applyAlignment="1">
      <alignment vertical="center"/>
    </xf>
    <xf numFmtId="4" fontId="51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9" fontId="51" fillId="2" borderId="1" xfId="0" applyNumberFormat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/>
    </xf>
    <xf numFmtId="170" fontId="57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horizontal="right" vertical="center"/>
    </xf>
    <xf numFmtId="1" fontId="6" fillId="2" borderId="1" xfId="8" applyNumberFormat="1" applyFont="1" applyFill="1" applyBorder="1" applyAlignment="1" applyProtection="1">
      <alignment horizontal="center" vertical="center"/>
    </xf>
    <xf numFmtId="4" fontId="6" fillId="2" borderId="1" xfId="8" applyNumberFormat="1" applyFont="1" applyFill="1" applyBorder="1" applyAlignment="1" applyProtection="1">
      <alignment vertical="center"/>
    </xf>
    <xf numFmtId="0" fontId="51" fillId="2" borderId="1" xfId="0" applyFont="1" applyFill="1" applyBorder="1" applyAlignment="1">
      <alignment horizontal="justify" vertical="center"/>
    </xf>
    <xf numFmtId="170" fontId="6" fillId="2" borderId="1" xfId="8" applyNumberFormat="1" applyFont="1" applyFill="1" applyBorder="1" applyAlignment="1" applyProtection="1">
      <alignment horizontal="center" vertical="center"/>
    </xf>
    <xf numFmtId="0" fontId="54" fillId="2" borderId="1" xfId="8" applyNumberFormat="1" applyFont="1" applyFill="1" applyBorder="1" applyAlignment="1" applyProtection="1">
      <alignment horizontal="right" vertical="center"/>
    </xf>
    <xf numFmtId="1" fontId="54" fillId="2" borderId="1" xfId="8" applyNumberFormat="1" applyFont="1" applyFill="1" applyBorder="1" applyAlignment="1" applyProtection="1">
      <alignment horizontal="center" vertical="center"/>
    </xf>
    <xf numFmtId="4" fontId="54" fillId="2" borderId="1" xfId="8" applyNumberFormat="1" applyFont="1" applyFill="1" applyBorder="1" applyAlignment="1" applyProtection="1">
      <alignment horizontal="right" vertical="center"/>
    </xf>
    <xf numFmtId="4" fontId="6" fillId="2" borderId="1" xfId="0" applyNumberFormat="1" applyFont="1" applyFill="1" applyBorder="1" applyAlignment="1">
      <alignment vertical="center" wrapText="1"/>
    </xf>
    <xf numFmtId="1" fontId="7" fillId="2" borderId="8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right" vertical="center"/>
    </xf>
    <xf numFmtId="165" fontId="51" fillId="2" borderId="1" xfId="12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left" vertical="center" wrapText="1"/>
    </xf>
    <xf numFmtId="0" fontId="51" fillId="2" borderId="1" xfId="1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 wrapText="1"/>
    </xf>
    <xf numFmtId="4" fontId="51" fillId="2" borderId="1" xfId="12" applyNumberFormat="1" applyFont="1" applyFill="1" applyBorder="1" applyAlignment="1">
      <alignment horizontal="right" vertical="center" wrapText="1"/>
    </xf>
    <xf numFmtId="165" fontId="51" fillId="2" borderId="1" xfId="12" applyFont="1" applyFill="1" applyBorder="1" applyAlignment="1">
      <alignment vertical="center"/>
    </xf>
    <xf numFmtId="172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/>
    </xf>
    <xf numFmtId="172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65" fontId="7" fillId="2" borderId="1" xfId="12" applyFont="1" applyFill="1" applyBorder="1" applyAlignment="1">
      <alignment horizontal="center" vertical="center"/>
    </xf>
    <xf numFmtId="39" fontId="7" fillId="2" borderId="1" xfId="12" applyNumberFormat="1" applyFont="1" applyFill="1" applyBorder="1" applyAlignment="1">
      <alignment horizontal="center" vertical="center"/>
    </xf>
    <xf numFmtId="165" fontId="7" fillId="2" borderId="1" xfId="12" applyFont="1" applyFill="1" applyBorder="1" applyAlignment="1">
      <alignment horizontal="left"/>
    </xf>
    <xf numFmtId="165" fontId="51" fillId="2" borderId="1" xfId="12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left" vertical="center" wrapText="1"/>
    </xf>
    <xf numFmtId="172" fontId="7" fillId="2" borderId="1" xfId="0" applyNumberFormat="1" applyFont="1" applyFill="1" applyBorder="1" applyAlignment="1">
      <alignment horizontal="center" vertical="center" wrapText="1"/>
    </xf>
    <xf numFmtId="4" fontId="51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1" fillId="2" borderId="1" xfId="11" applyNumberFormat="1" applyFont="1" applyFill="1" applyBorder="1" applyAlignment="1">
      <alignment vertical="center" wrapText="1"/>
    </xf>
    <xf numFmtId="2" fontId="51" fillId="2" borderId="1" xfId="0" applyNumberFormat="1" applyFont="1" applyFill="1" applyBorder="1" applyAlignment="1">
      <alignment horizontal="right" vertical="center" wrapText="1"/>
    </xf>
    <xf numFmtId="168" fontId="51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horizontal="justify" vertical="center" wrapText="1"/>
    </xf>
    <xf numFmtId="169" fontId="54" fillId="2" borderId="1" xfId="8" applyNumberFormat="1" applyFont="1" applyFill="1" applyBorder="1" applyAlignment="1" applyProtection="1">
      <alignment vertical="center"/>
    </xf>
    <xf numFmtId="0" fontId="58" fillId="2" borderId="1" xfId="8" applyNumberFormat="1" applyFont="1" applyFill="1" applyBorder="1" applyAlignment="1" applyProtection="1">
      <alignment horizontal="center" vertical="center"/>
    </xf>
    <xf numFmtId="0" fontId="6" fillId="2" borderId="1" xfId="8" applyNumberFormat="1" applyFont="1" applyFill="1" applyBorder="1" applyAlignment="1" applyProtection="1">
      <alignment vertical="center"/>
    </xf>
    <xf numFmtId="0" fontId="54" fillId="2" borderId="1" xfId="8" applyNumberFormat="1" applyFont="1" applyFill="1" applyBorder="1" applyAlignment="1" applyProtection="1">
      <alignment vertical="center"/>
    </xf>
    <xf numFmtId="0" fontId="52" fillId="2" borderId="1" xfId="0" applyFont="1" applyFill="1" applyBorder="1" applyAlignment="1">
      <alignment horizontal="left" vertical="center" wrapText="1" shrinkToFit="1"/>
    </xf>
    <xf numFmtId="0" fontId="51" fillId="2" borderId="1" xfId="0" applyFont="1" applyFill="1" applyBorder="1" applyAlignment="1">
      <alignment vertical="center" wrapText="1" shrinkToFit="1"/>
    </xf>
    <xf numFmtId="0" fontId="51" fillId="2" borderId="1" xfId="0" applyFont="1" applyFill="1" applyBorder="1" applyAlignment="1">
      <alignment horizontal="center" vertical="center" wrapText="1" shrinkToFit="1"/>
    </xf>
    <xf numFmtId="0" fontId="51" fillId="2" borderId="1" xfId="0" applyFont="1" applyFill="1" applyBorder="1" applyAlignment="1">
      <alignment horizontal="left" vertical="center" wrapText="1" shrinkToFit="1"/>
    </xf>
    <xf numFmtId="4" fontId="51" fillId="2" borderId="1" xfId="0" applyNumberFormat="1" applyFont="1" applyFill="1" applyBorder="1" applyAlignment="1">
      <alignment horizontal="right" vertical="center" wrapText="1" shrinkToFit="1"/>
    </xf>
    <xf numFmtId="1" fontId="51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wrapText="1"/>
    </xf>
    <xf numFmtId="172" fontId="51" fillId="2" borderId="1" xfId="0" applyNumberFormat="1" applyFont="1" applyFill="1" applyBorder="1" applyAlignment="1">
      <alignment horizontal="right" vertical="center"/>
    </xf>
    <xf numFmtId="166" fontId="51" fillId="2" borderId="1" xfId="0" applyNumberFormat="1" applyFont="1" applyFill="1" applyBorder="1" applyAlignment="1">
      <alignment vertical="center" wrapText="1"/>
    </xf>
    <xf numFmtId="172" fontId="51" fillId="2" borderId="1" xfId="0" applyNumberFormat="1" applyFont="1" applyFill="1" applyBorder="1" applyAlignment="1">
      <alignment horizontal="right" vertical="center" wrapText="1"/>
    </xf>
    <xf numFmtId="0" fontId="51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/>
    </xf>
    <xf numFmtId="3" fontId="51" fillId="2" borderId="1" xfId="0" applyNumberFormat="1" applyFont="1" applyFill="1" applyBorder="1" applyAlignment="1">
      <alignment vertical="center" wrapText="1"/>
    </xf>
    <xf numFmtId="4" fontId="51" fillId="2" borderId="1" xfId="8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51" fillId="2" borderId="1" xfId="0" applyNumberFormat="1" applyFont="1" applyFill="1" applyBorder="1" applyAlignment="1">
      <alignment vertical="center"/>
    </xf>
    <xf numFmtId="4" fontId="51" fillId="2" borderId="1" xfId="8" applyNumberFormat="1" applyFont="1" applyFill="1" applyBorder="1" applyAlignment="1">
      <alignment vertical="center"/>
    </xf>
    <xf numFmtId="4" fontId="51" fillId="2" borderId="19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71" fontId="6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center" vertical="center" wrapText="1"/>
    </xf>
    <xf numFmtId="0" fontId="65" fillId="2" borderId="1" xfId="0" applyFont="1" applyFill="1" applyBorder="1" applyAlignment="1">
      <alignment horizontal="left" vertical="center" wrapText="1"/>
    </xf>
    <xf numFmtId="4" fontId="65" fillId="2" borderId="1" xfId="0" applyNumberFormat="1" applyFont="1" applyFill="1" applyBorder="1" applyAlignment="1">
      <alignment horizontal="right" vertical="center" wrapText="1"/>
    </xf>
    <xf numFmtId="3" fontId="65" fillId="2" borderId="1" xfId="0" applyNumberFormat="1" applyFont="1" applyFill="1" applyBorder="1" applyAlignment="1">
      <alignment horizontal="right" vertical="center" wrapText="1"/>
    </xf>
    <xf numFmtId="1" fontId="65" fillId="2" borderId="1" xfId="0" applyNumberFormat="1" applyFont="1" applyFill="1" applyBorder="1" applyAlignment="1">
      <alignment horizontal="right" vertical="center"/>
    </xf>
    <xf numFmtId="165" fontId="65" fillId="2" borderId="22" xfId="0" applyNumberFormat="1" applyFont="1" applyFill="1" applyBorder="1" applyAlignment="1">
      <alignment horizontal="right" vertical="center"/>
    </xf>
    <xf numFmtId="2" fontId="65" fillId="2" borderId="1" xfId="0" applyNumberFormat="1" applyFont="1" applyFill="1" applyBorder="1" applyAlignment="1">
      <alignment horizontal="right" vertical="center"/>
    </xf>
    <xf numFmtId="3" fontId="65" fillId="2" borderId="1" xfId="0" applyNumberFormat="1" applyFont="1" applyFill="1" applyBorder="1" applyAlignment="1">
      <alignment horizontal="right" vertical="center"/>
    </xf>
    <xf numFmtId="4" fontId="68" fillId="2" borderId="1" xfId="0" applyNumberFormat="1" applyFont="1" applyFill="1" applyBorder="1" applyAlignment="1">
      <alignment vertical="center" wrapText="1"/>
    </xf>
    <xf numFmtId="4" fontId="65" fillId="2" borderId="1" xfId="0" applyNumberFormat="1" applyFont="1" applyFill="1" applyBorder="1" applyAlignment="1">
      <alignment vertical="center" wrapText="1"/>
    </xf>
    <xf numFmtId="0" fontId="63" fillId="2" borderId="1" xfId="11" applyNumberFormat="1" applyFont="1" applyFill="1" applyBorder="1" applyAlignment="1">
      <alignment horizontal="left" vertical="center" wrapText="1"/>
    </xf>
    <xf numFmtId="0" fontId="63" fillId="2" borderId="1" xfId="0" applyFont="1" applyFill="1" applyBorder="1" applyAlignment="1">
      <alignment horizontal="center" wrapText="1"/>
    </xf>
    <xf numFmtId="2" fontId="63" fillId="2" borderId="1" xfId="0" applyNumberFormat="1" applyFont="1" applyFill="1" applyBorder="1" applyAlignment="1">
      <alignment horizontal="left" vertical="center" wrapText="1"/>
    </xf>
    <xf numFmtId="0" fontId="71" fillId="2" borderId="1" xfId="0" applyFont="1" applyFill="1" applyBorder="1" applyAlignment="1">
      <alignment vertical="center" wrapText="1"/>
    </xf>
    <xf numFmtId="4" fontId="63" fillId="2" borderId="1" xfId="0" applyNumberFormat="1" applyFont="1" applyFill="1" applyBorder="1"/>
    <xf numFmtId="0" fontId="65" fillId="2" borderId="1" xfId="0" applyFont="1" applyFill="1" applyBorder="1" applyAlignment="1">
      <alignment vertical="center" wrapText="1"/>
    </xf>
    <xf numFmtId="4" fontId="73" fillId="2" borderId="1" xfId="0" applyNumberFormat="1" applyFont="1" applyFill="1" applyBorder="1"/>
    <xf numFmtId="0" fontId="68" fillId="2" borderId="1" xfId="0" applyFont="1" applyFill="1" applyBorder="1" applyAlignment="1">
      <alignment horizontal="left" vertical="center" wrapText="1"/>
    </xf>
    <xf numFmtId="1" fontId="63" fillId="2" borderId="1" xfId="0" applyNumberFormat="1" applyFont="1" applyFill="1" applyBorder="1" applyAlignment="1">
      <alignment horizontal="right" wrapText="1"/>
    </xf>
    <xf numFmtId="4" fontId="63" fillId="2" borderId="1" xfId="0" applyNumberFormat="1" applyFont="1" applyFill="1" applyBorder="1" applyAlignment="1">
      <alignment horizontal="right" wrapText="1"/>
    </xf>
    <xf numFmtId="2" fontId="63" fillId="2" borderId="1" xfId="0" applyNumberFormat="1" applyFont="1" applyFill="1" applyBorder="1" applyAlignment="1">
      <alignment vertical="center" wrapText="1"/>
    </xf>
    <xf numFmtId="49" fontId="63" fillId="2" borderId="1" xfId="0" applyNumberFormat="1" applyFont="1" applyFill="1" applyBorder="1" applyAlignment="1">
      <alignment horizontal="right" vertical="center" wrapText="1"/>
    </xf>
    <xf numFmtId="4" fontId="63" fillId="11" borderId="1" xfId="0" applyNumberFormat="1" applyFont="1" applyFill="1" applyBorder="1" applyAlignment="1">
      <alignment horizontal="right" vertical="center" wrapText="1"/>
    </xf>
    <xf numFmtId="4" fontId="65" fillId="2" borderId="0" xfId="0" applyNumberFormat="1" applyFont="1" applyFill="1" applyAlignment="1">
      <alignment horizontal="right" vertical="center"/>
    </xf>
    <xf numFmtId="0" fontId="65" fillId="2" borderId="1" xfId="0" applyFont="1" applyFill="1" applyBorder="1" applyAlignment="1">
      <alignment horizontal="justify" vertical="center" wrapText="1"/>
    </xf>
    <xf numFmtId="165" fontId="63" fillId="2" borderId="1" xfId="0" applyNumberFormat="1" applyFont="1" applyFill="1" applyBorder="1" applyAlignment="1">
      <alignment horizontal="right" vertical="center" wrapText="1"/>
    </xf>
    <xf numFmtId="165" fontId="76" fillId="2" borderId="1" xfId="0" applyNumberFormat="1" applyFont="1" applyFill="1" applyBorder="1" applyAlignment="1">
      <alignment horizontal="center" vertical="center"/>
    </xf>
    <xf numFmtId="37" fontId="76" fillId="2" borderId="1" xfId="12" applyNumberFormat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>
      <alignment horizontal="center" vertical="center"/>
    </xf>
    <xf numFmtId="2" fontId="76" fillId="2" borderId="1" xfId="0" applyNumberFormat="1" applyFont="1" applyFill="1" applyBorder="1" applyAlignment="1">
      <alignment horizontal="center" vertical="center"/>
    </xf>
    <xf numFmtId="165" fontId="65" fillId="2" borderId="1" xfId="0" applyNumberFormat="1" applyFont="1" applyFill="1" applyBorder="1" applyAlignment="1">
      <alignment horizontal="center" vertical="center"/>
    </xf>
    <xf numFmtId="1" fontId="65" fillId="2" borderId="1" xfId="0" applyNumberFormat="1" applyFont="1" applyFill="1" applyBorder="1" applyAlignment="1">
      <alignment horizontal="center" vertical="center"/>
    </xf>
    <xf numFmtId="165" fontId="75" fillId="2" borderId="1" xfId="0" applyNumberFormat="1" applyFont="1" applyFill="1" applyBorder="1" applyAlignment="1">
      <alignment horizontal="center" vertical="center"/>
    </xf>
    <xf numFmtId="4" fontId="65" fillId="2" borderId="1" xfId="0" applyNumberFormat="1" applyFont="1" applyFill="1" applyBorder="1" applyAlignment="1">
      <alignment horizontal="right"/>
    </xf>
    <xf numFmtId="4" fontId="63" fillId="2" borderId="1" xfId="8" applyNumberFormat="1" applyFont="1" applyFill="1" applyBorder="1" applyAlignment="1" applyProtection="1">
      <alignment vertical="center" wrapText="1"/>
    </xf>
    <xf numFmtId="0" fontId="63" fillId="2" borderId="1" xfId="0" applyFont="1" applyFill="1" applyBorder="1" applyAlignment="1">
      <alignment horizontal="justify" vertical="center" wrapText="1"/>
    </xf>
    <xf numFmtId="4" fontId="70" fillId="2" borderId="1" xfId="8" applyNumberFormat="1" applyFont="1" applyFill="1" applyBorder="1" applyAlignment="1" applyProtection="1">
      <alignment horizontal="right" vertical="center" wrapText="1"/>
    </xf>
    <xf numFmtId="4" fontId="63" fillId="2" borderId="1" xfId="0" applyNumberFormat="1" applyFont="1" applyFill="1" applyBorder="1" applyAlignment="1">
      <alignment vertical="center"/>
    </xf>
    <xf numFmtId="4" fontId="74" fillId="2" borderId="1" xfId="0" applyNumberFormat="1" applyFont="1" applyFill="1" applyBorder="1" applyAlignment="1">
      <alignment vertical="center"/>
    </xf>
    <xf numFmtId="4" fontId="68" fillId="2" borderId="1" xfId="0" applyNumberFormat="1" applyFont="1" applyFill="1" applyBorder="1" applyAlignment="1">
      <alignment vertical="center"/>
    </xf>
    <xf numFmtId="4" fontId="65" fillId="2" borderId="1" xfId="0" applyNumberFormat="1" applyFont="1" applyFill="1" applyBorder="1" applyAlignment="1">
      <alignment vertical="center"/>
    </xf>
    <xf numFmtId="0" fontId="71" fillId="2" borderId="1" xfId="0" applyFont="1" applyFill="1" applyBorder="1" applyAlignment="1">
      <alignment horizontal="left" vertical="center" wrapText="1"/>
    </xf>
    <xf numFmtId="39" fontId="65" fillId="2" borderId="1" xfId="12" applyNumberFormat="1" applyFont="1" applyFill="1" applyBorder="1" applyAlignment="1">
      <alignment horizontal="right" vertical="center"/>
    </xf>
    <xf numFmtId="37" fontId="65" fillId="2" borderId="1" xfId="12" applyNumberFormat="1" applyFont="1" applyFill="1" applyBorder="1" applyAlignment="1">
      <alignment horizontal="right" vertical="center"/>
    </xf>
    <xf numFmtId="39" fontId="65" fillId="2" borderId="19" xfId="12" applyNumberFormat="1" applyFont="1" applyFill="1" applyBorder="1" applyAlignment="1">
      <alignment horizontal="right" vertical="center"/>
    </xf>
    <xf numFmtId="0" fontId="65" fillId="2" borderId="1" xfId="0" applyFont="1" applyFill="1" applyBorder="1" applyAlignment="1">
      <alignment horizontal="right" vertical="center"/>
    </xf>
    <xf numFmtId="0" fontId="65" fillId="2" borderId="15" xfId="0" applyFont="1" applyFill="1" applyBorder="1" applyAlignment="1">
      <alignment horizontal="left" vertical="center" wrapText="1"/>
    </xf>
    <xf numFmtId="4" fontId="65" fillId="2" borderId="15" xfId="0" applyNumberFormat="1" applyFont="1" applyFill="1" applyBorder="1" applyAlignment="1">
      <alignment horizontal="right" vertical="center" wrapText="1"/>
    </xf>
    <xf numFmtId="4" fontId="63" fillId="2" borderId="1" xfId="9" applyNumberFormat="1" applyFont="1" applyFill="1" applyBorder="1" applyAlignment="1">
      <alignment horizontal="right" vertical="center" wrapText="1"/>
    </xf>
    <xf numFmtId="4" fontId="63" fillId="2" borderId="19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horizontal="right"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" xfId="0" applyNumberFormat="1" applyFont="1" applyFill="1" applyBorder="1" applyAlignment="1">
      <alignment horizontal="right" vertical="center"/>
    </xf>
    <xf numFmtId="0" fontId="65" fillId="2" borderId="1" xfId="0" applyFont="1" applyFill="1" applyBorder="1" applyAlignment="1">
      <alignment horizontal="right" vertical="center" wrapText="1"/>
    </xf>
    <xf numFmtId="2" fontId="65" fillId="2" borderId="1" xfId="0" applyNumberFormat="1" applyFont="1" applyFill="1" applyBorder="1" applyAlignment="1">
      <alignment horizontal="right" vertical="center" wrapText="1"/>
    </xf>
    <xf numFmtId="171" fontId="65" fillId="2" borderId="1" xfId="12" applyNumberFormat="1" applyFont="1" applyFill="1" applyBorder="1" applyAlignment="1">
      <alignment horizontal="right" vertical="center"/>
    </xf>
    <xf numFmtId="0" fontId="65" fillId="2" borderId="1" xfId="0" applyFont="1" applyFill="1" applyBorder="1" applyAlignment="1">
      <alignment horizontal="right" vertical="top" wrapText="1"/>
    </xf>
    <xf numFmtId="0" fontId="69" fillId="2" borderId="1" xfId="0" applyFont="1" applyFill="1" applyBorder="1" applyAlignment="1">
      <alignment horizontal="right"/>
    </xf>
    <xf numFmtId="0" fontId="65" fillId="2" borderId="1" xfId="0" applyFont="1" applyFill="1" applyBorder="1" applyAlignment="1">
      <alignment horizontal="right"/>
    </xf>
    <xf numFmtId="4" fontId="65" fillId="2" borderId="1" xfId="12" applyNumberFormat="1" applyFont="1" applyFill="1" applyBorder="1" applyAlignment="1">
      <alignment horizontal="right" vertical="center"/>
    </xf>
    <xf numFmtId="4" fontId="65" fillId="2" borderId="8" xfId="0" applyNumberFormat="1" applyFont="1" applyFill="1" applyBorder="1" applyAlignment="1">
      <alignment horizontal="right" vertical="center" wrapText="1"/>
    </xf>
    <xf numFmtId="4" fontId="69" fillId="2" borderId="1" xfId="0" applyNumberFormat="1" applyFont="1" applyFill="1" applyBorder="1" applyAlignment="1">
      <alignment horizontal="right"/>
    </xf>
    <xf numFmtId="4" fontId="65" fillId="2" borderId="19" xfId="12" applyNumberFormat="1" applyFont="1" applyFill="1" applyBorder="1" applyAlignment="1">
      <alignment horizontal="right" vertical="center"/>
    </xf>
    <xf numFmtId="2" fontId="65" fillId="2" borderId="1" xfId="0" applyNumberFormat="1" applyFont="1" applyFill="1" applyBorder="1" applyAlignment="1">
      <alignment horizontal="left" vertical="center" wrapText="1"/>
    </xf>
    <xf numFmtId="4" fontId="65" fillId="2" borderId="0" xfId="0" applyNumberFormat="1" applyFont="1" applyFill="1" applyAlignment="1">
      <alignment horizontal="right"/>
    </xf>
    <xf numFmtId="0" fontId="65" fillId="2" borderId="8" xfId="0" applyFont="1" applyFill="1" applyBorder="1" applyAlignment="1">
      <alignment horizontal="left" vertical="center" wrapText="1"/>
    </xf>
    <xf numFmtId="0" fontId="65" fillId="2" borderId="1" xfId="0" applyNumberFormat="1" applyFont="1" applyFill="1" applyBorder="1" applyAlignment="1">
      <alignment horizontal="left" vertical="center" wrapText="1"/>
    </xf>
    <xf numFmtId="0" fontId="68" fillId="2" borderId="1" xfId="0" applyNumberFormat="1" applyFont="1" applyFill="1" applyBorder="1" applyAlignment="1">
      <alignment horizontal="left" vertical="center" wrapText="1"/>
    </xf>
    <xf numFmtId="0" fontId="63" fillId="2" borderId="1" xfId="11" applyFont="1" applyFill="1" applyBorder="1" applyAlignment="1">
      <alignment horizontal="left" vertical="center" wrapText="1"/>
    </xf>
    <xf numFmtId="0" fontId="65" fillId="2" borderId="1" xfId="0" applyFont="1" applyFill="1" applyBorder="1"/>
    <xf numFmtId="2" fontId="63" fillId="2" borderId="1" xfId="0" applyNumberFormat="1" applyFont="1" applyFill="1" applyBorder="1" applyAlignment="1">
      <alignment horizontal="center" vertical="center" wrapText="1"/>
    </xf>
    <xf numFmtId="4" fontId="63" fillId="2" borderId="1" xfId="0" applyNumberFormat="1" applyFont="1" applyFill="1" applyBorder="1" applyAlignment="1">
      <alignment horizontal="center" vertical="center" wrapText="1"/>
    </xf>
    <xf numFmtId="169" fontId="63" fillId="2" borderId="1" xfId="8" applyNumberFormat="1" applyFont="1" applyFill="1" applyBorder="1" applyAlignment="1" applyProtection="1">
      <alignment vertical="center" wrapText="1"/>
    </xf>
    <xf numFmtId="0" fontId="63" fillId="2" borderId="1" xfId="0" applyFont="1" applyFill="1" applyBorder="1" applyAlignment="1">
      <alignment horizontal="left" vertical="center" wrapText="1" shrinkToFit="1"/>
    </xf>
    <xf numFmtId="0" fontId="65" fillId="2" borderId="1" xfId="0" applyFont="1" applyFill="1" applyBorder="1" applyAlignment="1">
      <alignment wrapText="1"/>
    </xf>
    <xf numFmtId="0" fontId="63" fillId="2" borderId="1" xfId="0" applyFont="1" applyFill="1" applyBorder="1" applyAlignment="1">
      <alignment horizontal="justify" vertical="center"/>
    </xf>
    <xf numFmtId="166" fontId="63" fillId="2" borderId="1" xfId="0" applyNumberFormat="1" applyFont="1" applyFill="1" applyBorder="1" applyAlignment="1">
      <alignment vertical="center" wrapText="1"/>
    </xf>
    <xf numFmtId="172" fontId="63" fillId="2" borderId="1" xfId="0" applyNumberFormat="1" applyFont="1" applyFill="1" applyBorder="1" applyAlignment="1">
      <alignment vertical="center" wrapText="1"/>
    </xf>
    <xf numFmtId="167" fontId="63" fillId="2" borderId="1" xfId="0" applyNumberFormat="1" applyFont="1" applyFill="1" applyBorder="1" applyAlignment="1">
      <alignment vertical="center" wrapText="1"/>
    </xf>
    <xf numFmtId="4" fontId="68" fillId="2" borderId="1" xfId="0" applyNumberFormat="1" applyFont="1" applyFill="1" applyBorder="1" applyAlignment="1">
      <alignment horizontal="right" vertical="center"/>
    </xf>
    <xf numFmtId="0" fontId="65" fillId="2" borderId="15" xfId="0" applyFont="1" applyFill="1" applyBorder="1" applyAlignment="1">
      <alignment vertical="center" wrapText="1"/>
    </xf>
    <xf numFmtId="0" fontId="51" fillId="2" borderId="1" xfId="0" applyFont="1" applyFill="1" applyBorder="1" applyAlignment="1">
      <alignment vertical="center"/>
    </xf>
    <xf numFmtId="2" fontId="51" fillId="2" borderId="1" xfId="0" applyNumberFormat="1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vertical="center" wrapText="1"/>
    </xf>
    <xf numFmtId="1" fontId="51" fillId="2" borderId="1" xfId="0" applyNumberFormat="1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horizontal="center" vertical="center" wrapText="1"/>
    </xf>
    <xf numFmtId="4" fontId="51" fillId="2" borderId="1" xfId="0" applyNumberFormat="1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vertical="center" wrapText="1"/>
    </xf>
    <xf numFmtId="0" fontId="55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vertical="center"/>
    </xf>
    <xf numFmtId="1" fontId="4" fillId="8" borderId="10" xfId="0" applyNumberFormat="1" applyFont="1" applyFill="1" applyBorder="1" applyAlignment="1">
      <alignment horizontal="left" vertical="center" wrapText="1"/>
    </xf>
    <xf numFmtId="1" fontId="4" fillId="8" borderId="11" xfId="0" applyNumberFormat="1" applyFont="1" applyFill="1" applyBorder="1" applyAlignment="1">
      <alignment horizontal="left" vertical="center" wrapText="1"/>
    </xf>
    <xf numFmtId="1" fontId="4" fillId="8" borderId="12" xfId="0" applyNumberFormat="1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justify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vertical="center"/>
    </xf>
    <xf numFmtId="0" fontId="36" fillId="8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35" fillId="8" borderId="1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left" vertical="center" wrapText="1"/>
    </xf>
    <xf numFmtId="0" fontId="35" fillId="0" borderId="11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6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35" fillId="6" borderId="10" xfId="0" applyFont="1" applyFill="1" applyBorder="1" applyAlignment="1">
      <alignment horizontal="left" vertical="center" wrapText="1"/>
    </xf>
    <xf numFmtId="0" fontId="35" fillId="6" borderId="11" xfId="0" applyFont="1" applyFill="1" applyBorder="1" applyAlignment="1">
      <alignment horizontal="left" vertical="center" wrapText="1"/>
    </xf>
    <xf numFmtId="0" fontId="35" fillId="6" borderId="12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left" vertical="center"/>
    </xf>
    <xf numFmtId="4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14" fillId="2" borderId="7" xfId="0" applyFont="1" applyFill="1" applyBorder="1" applyAlignment="1">
      <alignment horizontal="center" vertical="center" textRotation="90" wrapText="1"/>
    </xf>
    <xf numFmtId="0" fontId="33" fillId="2" borderId="7" xfId="0" applyFont="1" applyFill="1" applyBorder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3" fontId="14" fillId="2" borderId="7" xfId="0" applyNumberFormat="1" applyFont="1" applyFill="1" applyBorder="1" applyAlignment="1">
      <alignment horizontal="center" vertical="center" textRotation="90" wrapText="1"/>
    </xf>
    <xf numFmtId="4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172" fontId="14" fillId="2" borderId="7" xfId="0" applyNumberFormat="1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5" fillId="6" borderId="13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1" fontId="4" fillId="6" borderId="10" xfId="0" applyNumberFormat="1" applyFont="1" applyFill="1" applyBorder="1" applyAlignment="1">
      <alignment horizontal="left" vertical="center" wrapText="1"/>
    </xf>
    <xf numFmtId="1" fontId="4" fillId="6" borderId="11" xfId="0" applyNumberFormat="1" applyFont="1" applyFill="1" applyBorder="1" applyAlignment="1">
      <alignment horizontal="left" vertical="center" wrapText="1"/>
    </xf>
    <xf numFmtId="1" fontId="4" fillId="6" borderId="12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172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vertical="center"/>
    </xf>
    <xf numFmtId="0" fontId="51" fillId="2" borderId="1" xfId="0" applyFont="1" applyFill="1" applyBorder="1" applyAlignment="1">
      <alignment horizontal="left" vertical="center" wrapText="1"/>
    </xf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vertical="center" wrapText="1"/>
    </xf>
    <xf numFmtId="0" fontId="51" fillId="2" borderId="1" xfId="0" applyFont="1" applyFill="1" applyBorder="1" applyAlignment="1">
      <alignment horizontal="center" vertical="center" wrapText="1"/>
    </xf>
    <xf numFmtId="2" fontId="51" fillId="2" borderId="1" xfId="0" applyNumberFormat="1" applyFont="1" applyFill="1" applyBorder="1" applyAlignment="1">
      <alignment horizontal="left" vertical="center" wrapText="1"/>
    </xf>
    <xf numFmtId="1" fontId="51" fillId="2" borderId="1" xfId="0" applyNumberFormat="1" applyFont="1" applyFill="1" applyBorder="1" applyAlignment="1">
      <alignment horizontal="left" vertical="center" wrapText="1"/>
    </xf>
    <xf numFmtId="0" fontId="51" fillId="2" borderId="1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vertical="center"/>
    </xf>
    <xf numFmtId="4" fontId="51" fillId="2" borderId="1" xfId="0" applyNumberFormat="1" applyFont="1" applyFill="1" applyBorder="1" applyAlignment="1">
      <alignment horizontal="center" vertical="center" wrapText="1"/>
    </xf>
    <xf numFmtId="4" fontId="50" fillId="2" borderId="1" xfId="0" applyNumberFormat="1" applyFont="1" applyFill="1" applyBorder="1" applyAlignment="1">
      <alignment horizontal="center" vertical="center"/>
    </xf>
    <xf numFmtId="4" fontId="51" fillId="2" borderId="1" xfId="0" applyNumberFormat="1" applyFont="1" applyFill="1" applyBorder="1" applyAlignment="1">
      <alignment horizontal="center" vertical="center" textRotation="90" wrapText="1"/>
    </xf>
    <xf numFmtId="0" fontId="51" fillId="2" borderId="1" xfId="0" applyFont="1" applyFill="1" applyBorder="1" applyAlignment="1">
      <alignment horizontal="center" vertical="center" textRotation="90" wrapText="1"/>
    </xf>
    <xf numFmtId="0" fontId="51" fillId="2" borderId="1" xfId="0" applyFont="1" applyFill="1" applyBorder="1" applyAlignment="1">
      <alignment horizontal="center" vertical="center" textRotation="90"/>
    </xf>
    <xf numFmtId="4" fontId="55" fillId="2" borderId="0" xfId="0" applyNumberFormat="1" applyFont="1" applyFill="1" applyAlignment="1">
      <alignment horizontal="left" vertical="center" wrapText="1"/>
    </xf>
    <xf numFmtId="0" fontId="55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vertical="center"/>
    </xf>
    <xf numFmtId="0" fontId="55" fillId="2" borderId="0" xfId="0" applyFont="1" applyFill="1" applyBorder="1" applyAlignment="1">
      <alignment horizontal="center" vertical="center" wrapText="1"/>
    </xf>
    <xf numFmtId="0" fontId="56" fillId="2" borderId="0" xfId="0" applyFont="1" applyFill="1" applyBorder="1" applyAlignment="1">
      <alignment vertical="center"/>
    </xf>
    <xf numFmtId="0" fontId="51" fillId="2" borderId="1" xfId="0" applyFont="1" applyFill="1" applyBorder="1" applyAlignment="1">
      <alignment horizontal="center" vertical="center"/>
    </xf>
    <xf numFmtId="1" fontId="51" fillId="2" borderId="1" xfId="0" applyNumberFormat="1" applyFont="1" applyFill="1" applyBorder="1" applyAlignment="1">
      <alignment horizontal="center" vertical="center" textRotation="90" wrapText="1"/>
    </xf>
    <xf numFmtId="0" fontId="63" fillId="2" borderId="0" xfId="0" applyFont="1" applyFill="1" applyBorder="1" applyAlignment="1">
      <alignment vertical="top"/>
    </xf>
    <xf numFmtId="0" fontId="63" fillId="2" borderId="1" xfId="0" applyFont="1" applyFill="1" applyBorder="1" applyAlignment="1">
      <alignment horizontal="center" vertical="center" wrapText="1"/>
    </xf>
    <xf numFmtId="0" fontId="63" fillId="2" borderId="0" xfId="0" applyFont="1" applyFill="1" applyAlignment="1">
      <alignment horizontal="left" vertical="center"/>
    </xf>
    <xf numFmtId="0" fontId="63" fillId="2" borderId="0" xfId="0" applyFont="1" applyFill="1" applyBorder="1" applyAlignment="1">
      <alignment vertical="top" wrapText="1"/>
    </xf>
    <xf numFmtId="0" fontId="63" fillId="2" borderId="0" xfId="0" applyFont="1" applyFill="1" applyAlignment="1">
      <alignment vertical="center"/>
    </xf>
    <xf numFmtId="0" fontId="63" fillId="2" borderId="0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/>
    </xf>
  </cellXfs>
  <cellStyles count="14">
    <cellStyle name="Excel Built-in Normal 1" xfId="9" xr:uid="{00000000-0005-0000-0000-000000000000}"/>
    <cellStyle name="TableStyleLight1" xfId="10" xr:uid="{00000000-0005-0000-0000-000001000000}"/>
    <cellStyle name="Обычный" xfId="0" builtinId="0"/>
    <cellStyle name="Обычный 2" xfId="1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7" xr:uid="{00000000-0005-0000-0000-000009000000}"/>
    <cellStyle name="Обычный 8" xfId="13" xr:uid="{00000000-0005-0000-0000-00000A000000}"/>
    <cellStyle name="Обычный_Лист1" xfId="11" xr:uid="{00000000-0005-0000-0000-00000B000000}"/>
    <cellStyle name="Финансовый" xfId="8" builtinId="3"/>
    <cellStyle name="Финансовый 2" xfId="12" xr:uid="{00000000-0005-0000-0000-00000D000000}"/>
  </cellStyles>
  <dxfs count="0"/>
  <tableStyles count="0" defaultTableStyle="TableStyleMedium2" defaultPivotStyle="PivotStyleLight16"/>
  <colors>
    <mruColors>
      <color rgb="FF99FFCC"/>
      <color rgb="FFFFFF66"/>
      <color rgb="FFFF3300"/>
      <color rgb="FFCC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33.100\Users\&#1064;&#1083;&#1103;&#1087;&#1080;&#1085;&#1072;&#1057;&#1070;\Downloads\&#1050;&#1086;&#1087;&#1080;&#1103;%20&#1080;&#1079;&#1084;&#1077;&#1085;&#1077;&#1085;&#1080;&#1103;%20&#1074;%2062-&#1087;&#1087;%20&#1087;&#1088;&#1080;&#1083;%20%20-%2024%2012%202018%201111%20&#1055;&#1069;&#1054;.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асть 1"/>
      <sheetName val="часть 2"/>
      <sheetName val="часть 3"/>
      <sheetName val="№ п-п"/>
      <sheetName val="2-51"/>
      <sheetName val="52-87"/>
      <sheetName val="86-97"/>
      <sheetName val="база"/>
      <sheetName val="Копия изменения в 62-пп прил  -"/>
      <sheetName val="2-5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0">
          <cell r="E10">
            <v>0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L260">
            <v>0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L261">
            <v>0</v>
          </cell>
        </row>
        <row r="263"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L263">
            <v>0</v>
          </cell>
        </row>
        <row r="264"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L264">
            <v>0</v>
          </cell>
        </row>
        <row r="267"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L267">
            <v>0</v>
          </cell>
        </row>
        <row r="268"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L268">
            <v>0</v>
          </cell>
        </row>
        <row r="351"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L351">
            <v>0</v>
          </cell>
          <cell r="P351">
            <v>0</v>
          </cell>
          <cell r="R351">
            <v>0</v>
          </cell>
          <cell r="T351">
            <v>0</v>
          </cell>
        </row>
        <row r="352"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L352">
            <v>0</v>
          </cell>
          <cell r="P352">
            <v>0</v>
          </cell>
          <cell r="R352">
            <v>0</v>
          </cell>
          <cell r="T352">
            <v>0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5" Type="http://schemas.openxmlformats.org/officeDocument/2006/relationships/printerSettings" Target="../printerSettings/printerSettings71.bin"/><Relationship Id="rId10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BJ1580"/>
  <sheetViews>
    <sheetView view="pageBreakPreview" topLeftCell="A10" zoomScale="62" zoomScaleNormal="45" zoomScaleSheetLayoutView="62" workbookViewId="0">
      <pane xSplit="2" ySplit="8" topLeftCell="C818" activePane="bottomRight" state="frozen"/>
      <selection activeCell="A10" sqref="A10"/>
      <selection pane="topRight" activeCell="C10" sqref="C10"/>
      <selection pane="bottomLeft" activeCell="A18" sqref="A18"/>
      <selection pane="bottomRight" activeCell="A10" sqref="A1:XFD1048576"/>
    </sheetView>
  </sheetViews>
  <sheetFormatPr defaultColWidth="8.85546875" defaultRowHeight="18.75"/>
  <cols>
    <col min="1" max="1" width="10.85546875" style="14" customWidth="1"/>
    <col min="2" max="2" width="34.85546875" style="85" customWidth="1"/>
    <col min="3" max="3" width="9.28515625" style="2" customWidth="1"/>
    <col min="4" max="4" width="7.5703125" style="2" customWidth="1"/>
    <col min="5" max="5" width="14" style="2" customWidth="1"/>
    <col min="6" max="6" width="6.5703125" style="2" customWidth="1"/>
    <col min="7" max="7" width="6.7109375" style="2" customWidth="1"/>
    <col min="8" max="8" width="14.7109375" style="55" customWidth="1"/>
    <col min="9" max="9" width="13.42578125" style="2" customWidth="1"/>
    <col min="10" max="10" width="12.42578125" style="2" customWidth="1"/>
    <col min="11" max="11" width="12.42578125" style="57" customWidth="1"/>
    <col min="12" max="12" width="17.42578125" style="38" customWidth="1"/>
    <col min="13" max="13" width="11.28515625" style="2" customWidth="1"/>
    <col min="14" max="14" width="14.28515625" style="38" customWidth="1"/>
    <col min="15" max="15" width="16.7109375" style="38" customWidth="1"/>
    <col min="16" max="16" width="11.28515625" style="2" customWidth="1"/>
    <col min="17" max="17" width="10.7109375" style="38" customWidth="1"/>
    <col min="18" max="18" width="10.85546875" style="38" customWidth="1"/>
    <col min="19" max="19" width="12" style="2" customWidth="1"/>
    <col min="20" max="16384" width="8.85546875" style="2"/>
  </cols>
  <sheetData>
    <row r="1" spans="1:21">
      <c r="O1" s="1385" t="s">
        <v>31</v>
      </c>
      <c r="P1" s="1386"/>
      <c r="Q1" s="1385"/>
      <c r="R1" s="1385"/>
      <c r="S1" s="1386"/>
    </row>
    <row r="2" spans="1:21">
      <c r="O2" s="1385" t="s">
        <v>214</v>
      </c>
      <c r="P2" s="1386"/>
      <c r="Q2" s="1385"/>
      <c r="R2" s="1385"/>
      <c r="S2" s="1386"/>
    </row>
    <row r="3" spans="1:21">
      <c r="O3" s="1385" t="s">
        <v>437</v>
      </c>
      <c r="P3" s="1386"/>
      <c r="Q3" s="1385"/>
      <c r="R3" s="1385"/>
      <c r="S3" s="1386"/>
    </row>
    <row r="4" spans="1:21">
      <c r="J4" s="34"/>
      <c r="K4" s="58"/>
      <c r="L4" s="86"/>
      <c r="M4" s="34"/>
      <c r="N4" s="87"/>
      <c r="O4" s="1391"/>
      <c r="P4" s="1392"/>
      <c r="Q4" s="1391"/>
      <c r="R4" s="1391"/>
      <c r="S4" s="1392"/>
    </row>
    <row r="5" spans="1:21">
      <c r="J5" s="34"/>
      <c r="K5" s="58"/>
      <c r="L5" s="86"/>
      <c r="M5" s="34"/>
      <c r="N5" s="88"/>
      <c r="O5" s="1385"/>
      <c r="P5" s="1386"/>
      <c r="Q5" s="1385"/>
      <c r="R5" s="1385"/>
      <c r="S5" s="1386"/>
    </row>
    <row r="6" spans="1:21">
      <c r="A6" s="1396" t="s">
        <v>438</v>
      </c>
      <c r="B6" s="1396"/>
      <c r="C6" s="1396"/>
      <c r="D6" s="1396"/>
      <c r="E6" s="1396"/>
      <c r="F6" s="1396"/>
      <c r="G6" s="1396"/>
      <c r="H6" s="1396"/>
      <c r="I6" s="1396"/>
      <c r="J6" s="1396"/>
      <c r="K6" s="1396"/>
      <c r="L6" s="1397"/>
      <c r="M6" s="1396"/>
      <c r="N6" s="1397"/>
      <c r="O6" s="1397"/>
      <c r="P6" s="1396"/>
      <c r="Q6" s="1397"/>
      <c r="R6" s="1397"/>
      <c r="S6" s="1396"/>
    </row>
    <row r="7" spans="1:21">
      <c r="A7" s="1396" t="s">
        <v>465</v>
      </c>
      <c r="B7" s="1396"/>
      <c r="C7" s="1396"/>
      <c r="D7" s="1396"/>
      <c r="E7" s="1396"/>
      <c r="F7" s="1396"/>
      <c r="G7" s="1396"/>
      <c r="H7" s="1396"/>
      <c r="I7" s="1396"/>
      <c r="J7" s="1396"/>
      <c r="K7" s="1396"/>
      <c r="L7" s="1397"/>
      <c r="M7" s="1396"/>
      <c r="N7" s="1397"/>
      <c r="O7" s="1397"/>
      <c r="P7" s="1396"/>
      <c r="Q7" s="1397"/>
      <c r="R7" s="1397"/>
      <c r="S7" s="1396"/>
    </row>
    <row r="8" spans="1:21">
      <c r="A8" s="1396" t="s">
        <v>466</v>
      </c>
      <c r="B8" s="1396"/>
      <c r="C8" s="1396"/>
      <c r="D8" s="1396"/>
      <c r="E8" s="1396"/>
      <c r="F8" s="1396"/>
      <c r="G8" s="1396"/>
      <c r="H8" s="1396"/>
      <c r="I8" s="1396"/>
      <c r="J8" s="1396"/>
      <c r="K8" s="1396"/>
      <c r="L8" s="1397"/>
      <c r="M8" s="1396"/>
      <c r="N8" s="1397"/>
      <c r="O8" s="1397"/>
      <c r="P8" s="1396"/>
      <c r="Q8" s="1397"/>
      <c r="R8" s="1397"/>
      <c r="S8" s="1396"/>
    </row>
    <row r="9" spans="1:21">
      <c r="A9" s="1396"/>
      <c r="B9" s="1396"/>
      <c r="C9" s="1396"/>
      <c r="D9" s="1396"/>
      <c r="E9" s="1396"/>
      <c r="F9" s="1396"/>
      <c r="G9" s="1396"/>
      <c r="H9" s="1396"/>
      <c r="I9" s="1396"/>
      <c r="J9" s="1396"/>
      <c r="K9" s="1396"/>
      <c r="L9" s="1397"/>
      <c r="M9" s="1396"/>
      <c r="N9" s="1397"/>
      <c r="O9" s="1397"/>
      <c r="P9" s="1396"/>
      <c r="Q9" s="1397"/>
      <c r="R9" s="1397"/>
      <c r="S9" s="1396"/>
    </row>
    <row r="10" spans="1:21">
      <c r="A10" s="1399" t="s">
        <v>38</v>
      </c>
      <c r="B10" s="1399"/>
      <c r="C10" s="1399"/>
      <c r="D10" s="1399"/>
      <c r="E10" s="1399"/>
      <c r="F10" s="1399"/>
      <c r="G10" s="1399"/>
      <c r="H10" s="1399"/>
      <c r="I10" s="1399"/>
      <c r="J10" s="1399"/>
      <c r="K10" s="1399"/>
      <c r="L10" s="1400"/>
      <c r="M10" s="1399"/>
      <c r="N10" s="1400"/>
      <c r="O10" s="1400"/>
      <c r="P10" s="1399"/>
      <c r="Q10" s="1400"/>
      <c r="R10" s="1400"/>
      <c r="S10" s="1399"/>
    </row>
    <row r="11" spans="1:21" ht="38.25" customHeight="1">
      <c r="A11" s="1395" t="s">
        <v>0</v>
      </c>
      <c r="B11" s="1395" t="s">
        <v>442</v>
      </c>
      <c r="C11" s="1401" t="s">
        <v>1</v>
      </c>
      <c r="D11" s="1401"/>
      <c r="E11" s="1393" t="s">
        <v>2</v>
      </c>
      <c r="F11" s="1393" t="s">
        <v>3</v>
      </c>
      <c r="G11" s="1393" t="s">
        <v>4</v>
      </c>
      <c r="H11" s="1398" t="s">
        <v>33</v>
      </c>
      <c r="I11" s="1395" t="s">
        <v>5</v>
      </c>
      <c r="J11" s="1395"/>
      <c r="K11" s="1390" t="s">
        <v>441</v>
      </c>
      <c r="L11" s="1394" t="s">
        <v>36</v>
      </c>
      <c r="M11" s="1395"/>
      <c r="N11" s="1394"/>
      <c r="O11" s="1394"/>
      <c r="P11" s="1395"/>
      <c r="Q11" s="1389" t="s">
        <v>8</v>
      </c>
      <c r="R11" s="1389" t="s">
        <v>9</v>
      </c>
      <c r="S11" s="1387" t="s">
        <v>10</v>
      </c>
    </row>
    <row r="12" spans="1:21" ht="24.75" customHeight="1">
      <c r="A12" s="1395"/>
      <c r="B12" s="1395"/>
      <c r="C12" s="1387" t="s">
        <v>11</v>
      </c>
      <c r="D12" s="1387" t="s">
        <v>32</v>
      </c>
      <c r="E12" s="1393"/>
      <c r="F12" s="1393"/>
      <c r="G12" s="1393"/>
      <c r="H12" s="1398"/>
      <c r="I12" s="1387" t="s">
        <v>12</v>
      </c>
      <c r="J12" s="1387" t="s">
        <v>13</v>
      </c>
      <c r="K12" s="1390"/>
      <c r="L12" s="1389" t="s">
        <v>12</v>
      </c>
      <c r="M12" s="1395" t="s">
        <v>18</v>
      </c>
      <c r="N12" s="1394"/>
      <c r="O12" s="1394"/>
      <c r="P12" s="1395"/>
      <c r="Q12" s="1389"/>
      <c r="R12" s="1389"/>
      <c r="S12" s="1387"/>
    </row>
    <row r="13" spans="1:21" ht="150.75" customHeight="1">
      <c r="A13" s="1395"/>
      <c r="B13" s="1395"/>
      <c r="C13" s="1387"/>
      <c r="D13" s="1387"/>
      <c r="E13" s="1393"/>
      <c r="F13" s="1393"/>
      <c r="G13" s="1393"/>
      <c r="H13" s="1398"/>
      <c r="I13" s="1387"/>
      <c r="J13" s="1387"/>
      <c r="K13" s="1390"/>
      <c r="L13" s="1389"/>
      <c r="M13" s="306" t="s">
        <v>471</v>
      </c>
      <c r="N13" s="268" t="s">
        <v>14</v>
      </c>
      <c r="O13" s="268" t="s">
        <v>15</v>
      </c>
      <c r="P13" s="265" t="s">
        <v>19</v>
      </c>
      <c r="Q13" s="1389"/>
      <c r="R13" s="1389"/>
      <c r="S13" s="1387"/>
    </row>
    <row r="14" spans="1:21">
      <c r="A14" s="1395"/>
      <c r="B14" s="1395"/>
      <c r="C14" s="1387"/>
      <c r="D14" s="1387"/>
      <c r="E14" s="1393"/>
      <c r="F14" s="1393"/>
      <c r="G14" s="1393"/>
      <c r="H14" s="93" t="s">
        <v>21</v>
      </c>
      <c r="I14" s="267" t="s">
        <v>21</v>
      </c>
      <c r="J14" s="267" t="s">
        <v>21</v>
      </c>
      <c r="K14" s="94" t="s">
        <v>16</v>
      </c>
      <c r="L14" s="266" t="s">
        <v>17</v>
      </c>
      <c r="M14" s="267" t="s">
        <v>17</v>
      </c>
      <c r="N14" s="266" t="s">
        <v>17</v>
      </c>
      <c r="O14" s="266" t="s">
        <v>17</v>
      </c>
      <c r="P14" s="267" t="s">
        <v>17</v>
      </c>
      <c r="Q14" s="266" t="s">
        <v>439</v>
      </c>
      <c r="R14" s="266" t="s">
        <v>439</v>
      </c>
      <c r="S14" s="1387"/>
    </row>
    <row r="15" spans="1:21" s="63" customFormat="1">
      <c r="A15" s="95">
        <v>1</v>
      </c>
      <c r="B15" s="95">
        <v>2</v>
      </c>
      <c r="C15" s="96">
        <v>3</v>
      </c>
      <c r="D15" s="96">
        <v>4</v>
      </c>
      <c r="E15" s="96">
        <v>5</v>
      </c>
      <c r="F15" s="96">
        <v>6</v>
      </c>
      <c r="G15" s="96">
        <v>7</v>
      </c>
      <c r="H15" s="97">
        <v>8</v>
      </c>
      <c r="I15" s="96">
        <v>9</v>
      </c>
      <c r="J15" s="96">
        <v>10</v>
      </c>
      <c r="K15" s="98">
        <v>11</v>
      </c>
      <c r="L15" s="96">
        <v>12</v>
      </c>
      <c r="M15" s="96">
        <v>13</v>
      </c>
      <c r="N15" s="96">
        <v>14</v>
      </c>
      <c r="O15" s="96">
        <v>15</v>
      </c>
      <c r="P15" s="96">
        <v>16</v>
      </c>
      <c r="Q15" s="97">
        <v>17</v>
      </c>
      <c r="R15" s="96">
        <v>18</v>
      </c>
      <c r="S15" s="96">
        <v>19</v>
      </c>
      <c r="U15" s="5"/>
    </row>
    <row r="16" spans="1:21" s="5" customFormat="1" ht="15.75" customHeight="1">
      <c r="A16" s="99"/>
      <c r="B16" s="1388" t="s">
        <v>42</v>
      </c>
      <c r="C16" s="1388"/>
      <c r="D16" s="1388"/>
      <c r="E16" s="1388"/>
      <c r="F16" s="1388"/>
      <c r="G16" s="1388"/>
      <c r="H16" s="100">
        <f t="shared" ref="H16:O16" si="0">H18+H521</f>
        <v>479481.46999999986</v>
      </c>
      <c r="I16" s="100">
        <f t="shared" si="0"/>
        <v>398294.75</v>
      </c>
      <c r="J16" s="100">
        <f t="shared" si="0"/>
        <v>358677.09000000008</v>
      </c>
      <c r="K16" s="101">
        <f t="shared" si="0"/>
        <v>15980</v>
      </c>
      <c r="L16" s="113">
        <f t="shared" si="0"/>
        <v>699893215.88999999</v>
      </c>
      <c r="M16" s="113">
        <f t="shared" si="0"/>
        <v>0</v>
      </c>
      <c r="N16" s="113">
        <f t="shared" si="0"/>
        <v>8635753.959999999</v>
      </c>
      <c r="O16" s="113">
        <f t="shared" si="0"/>
        <v>691001542.92999995</v>
      </c>
      <c r="P16" s="113">
        <f>P188+P205+P207+P231+P244+P260+P269+P281++P284+P303+P307+P320+P324+P331+P338+P352+P363+P376+P384+P429+P434+P445+P424+P449+P460+P469+P476+P479+P485+P496+P503+P536+P19+P515</f>
        <v>255919</v>
      </c>
      <c r="Q16" s="102" t="s">
        <v>40</v>
      </c>
      <c r="R16" s="102" t="s">
        <v>40</v>
      </c>
      <c r="S16" s="103" t="s">
        <v>40</v>
      </c>
      <c r="U16" s="2"/>
    </row>
    <row r="17" spans="1:48">
      <c r="A17" s="1332" t="s">
        <v>34</v>
      </c>
      <c r="B17" s="1332"/>
      <c r="C17" s="1332"/>
      <c r="D17" s="1332"/>
      <c r="E17" s="1332"/>
      <c r="F17" s="1332"/>
      <c r="G17" s="1332"/>
      <c r="H17" s="1332"/>
      <c r="I17" s="1332"/>
      <c r="J17" s="1332"/>
      <c r="K17" s="1332"/>
      <c r="L17" s="1332"/>
      <c r="M17" s="1332"/>
      <c r="N17" s="1332"/>
      <c r="O17" s="1332"/>
      <c r="P17" s="1332"/>
      <c r="Q17" s="1332"/>
      <c r="R17" s="1332"/>
      <c r="S17" s="1332"/>
    </row>
    <row r="18" spans="1:48" ht="18.75" customHeight="1">
      <c r="A18" s="269"/>
      <c r="B18" s="1334" t="s">
        <v>205</v>
      </c>
      <c r="C18" s="1334"/>
      <c r="D18" s="1334"/>
      <c r="E18" s="1334"/>
      <c r="F18" s="1334"/>
      <c r="G18" s="1334"/>
      <c r="H18" s="104">
        <f t="shared" ref="H18:O18" si="1">H19+H188+H205+H207+H231+H244+H260+H269+H281+H284+H303+H307+H320+H324+H331+H338+H352+H363+H376+H384+H424+H429+H434+H445+H449+H466+H460+H469+H476+H479+H485+H491+H496+H503+H515</f>
        <v>426694.56999999989</v>
      </c>
      <c r="I18" s="104">
        <f t="shared" si="1"/>
        <v>351421.05</v>
      </c>
      <c r="J18" s="104">
        <f t="shared" si="1"/>
        <v>312616.09000000008</v>
      </c>
      <c r="K18" s="105">
        <f t="shared" si="1"/>
        <v>14351</v>
      </c>
      <c r="L18" s="113">
        <f t="shared" si="1"/>
        <v>692506037.25</v>
      </c>
      <c r="M18" s="113">
        <f t="shared" si="1"/>
        <v>0</v>
      </c>
      <c r="N18" s="113">
        <f t="shared" si="1"/>
        <v>7269861.959999999</v>
      </c>
      <c r="O18" s="113">
        <f t="shared" si="1"/>
        <v>684980256.28999996</v>
      </c>
      <c r="P18" s="113">
        <f>P19+P188+P205+P207+P231+P244+P260+P269+P281+P284+P303+P307+P320+P324+P331+P338+P352+P363+P376+P384+P424+P429+P434+P445+P449+P466+P460+P469+P476+P479+P485+P496+P503+P515</f>
        <v>255919</v>
      </c>
      <c r="Q18" s="106" t="s">
        <v>40</v>
      </c>
      <c r="R18" s="106" t="s">
        <v>40</v>
      </c>
      <c r="S18" s="106" t="s">
        <v>40</v>
      </c>
    </row>
    <row r="19" spans="1:48" s="1" customFormat="1" ht="15.75" customHeight="1">
      <c r="A19" s="269"/>
      <c r="B19" s="1334" t="s">
        <v>89</v>
      </c>
      <c r="C19" s="1334"/>
      <c r="D19" s="1334"/>
      <c r="E19" s="1334"/>
      <c r="F19" s="1334"/>
      <c r="G19" s="1334"/>
      <c r="H19" s="104">
        <f>SUM(H20:H187)</f>
        <v>0</v>
      </c>
      <c r="I19" s="104">
        <f t="shared" ref="I19" si="2">SUM(I20:I187)</f>
        <v>0</v>
      </c>
      <c r="J19" s="104">
        <f>SUM(J20:J187)</f>
        <v>0</v>
      </c>
      <c r="K19" s="105">
        <f>SUM(K20:K187)</f>
        <v>0</v>
      </c>
      <c r="L19" s="113">
        <v>336230870.63</v>
      </c>
      <c r="M19" s="113">
        <f t="shared" ref="M19:P19" si="3">SUM(M20:M187)</f>
        <v>0</v>
      </c>
      <c r="N19" s="113">
        <f t="shared" si="3"/>
        <v>0</v>
      </c>
      <c r="O19" s="113">
        <f>SUM(O20:O187)</f>
        <v>336230870.63</v>
      </c>
      <c r="P19" s="113">
        <f t="shared" si="3"/>
        <v>0</v>
      </c>
      <c r="Q19" s="106" t="s">
        <v>40</v>
      </c>
      <c r="R19" s="106" t="s">
        <v>40</v>
      </c>
      <c r="S19" s="106" t="s">
        <v>40</v>
      </c>
    </row>
    <row r="20" spans="1:48" s="3" customFormat="1" ht="15.75">
      <c r="A20" s="107">
        <v>1</v>
      </c>
      <c r="B20" s="262" t="s">
        <v>324</v>
      </c>
      <c r="C20" s="108">
        <v>1975</v>
      </c>
      <c r="D20" s="108"/>
      <c r="E20" s="109" t="s">
        <v>219</v>
      </c>
      <c r="F20" s="110">
        <v>5</v>
      </c>
      <c r="G20" s="110">
        <v>10</v>
      </c>
      <c r="H20" s="111"/>
      <c r="I20" s="111"/>
      <c r="J20" s="111"/>
      <c r="K20" s="112"/>
      <c r="L20" s="113">
        <v>5982216</v>
      </c>
      <c r="M20" s="113">
        <v>0</v>
      </c>
      <c r="N20" s="113">
        <v>0</v>
      </c>
      <c r="O20" s="113">
        <f t="shared" ref="O20:O51" si="4">L20</f>
        <v>5982216</v>
      </c>
      <c r="P20" s="113">
        <v>0</v>
      </c>
      <c r="Q20" s="114" t="e">
        <f t="shared" ref="Q20:Q51" si="5">L20/I20</f>
        <v>#DIV/0!</v>
      </c>
      <c r="R20" s="115"/>
      <c r="S20" s="316">
        <v>43100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customFormat="1" ht="15.75">
      <c r="A21" s="107">
        <f>A20+1</f>
        <v>2</v>
      </c>
      <c r="B21" s="262" t="s">
        <v>325</v>
      </c>
      <c r="C21" s="108">
        <v>1978</v>
      </c>
      <c r="D21" s="108"/>
      <c r="E21" s="109" t="s">
        <v>219</v>
      </c>
      <c r="F21" s="110">
        <v>9</v>
      </c>
      <c r="G21" s="110">
        <v>5</v>
      </c>
      <c r="H21" s="111"/>
      <c r="I21" s="111"/>
      <c r="J21" s="111"/>
      <c r="K21" s="112"/>
      <c r="L21" s="113">
        <v>9379653</v>
      </c>
      <c r="M21" s="113">
        <v>0</v>
      </c>
      <c r="N21" s="113">
        <v>0</v>
      </c>
      <c r="O21" s="113">
        <f t="shared" si="4"/>
        <v>9379653</v>
      </c>
      <c r="P21" s="113">
        <v>0</v>
      </c>
      <c r="Q21" s="114" t="e">
        <f t="shared" si="5"/>
        <v>#DIV/0!</v>
      </c>
      <c r="R21" s="115"/>
      <c r="S21" s="316">
        <v>43100</v>
      </c>
    </row>
    <row r="22" spans="1:48" customFormat="1" ht="15.75">
      <c r="A22" s="107">
        <f t="shared" ref="A22:A85" si="6">A21+1</f>
        <v>3</v>
      </c>
      <c r="B22" s="276" t="s">
        <v>321</v>
      </c>
      <c r="C22" s="108">
        <v>1982</v>
      </c>
      <c r="D22" s="108"/>
      <c r="E22" s="109" t="s">
        <v>219</v>
      </c>
      <c r="F22" s="110">
        <v>9</v>
      </c>
      <c r="G22" s="110">
        <v>2</v>
      </c>
      <c r="H22" s="111"/>
      <c r="I22" s="111"/>
      <c r="J22" s="111"/>
      <c r="K22" s="112"/>
      <c r="L22" s="113">
        <v>3763756</v>
      </c>
      <c r="M22" s="113">
        <v>0</v>
      </c>
      <c r="N22" s="113">
        <v>0</v>
      </c>
      <c r="O22" s="113">
        <f t="shared" si="4"/>
        <v>3763756</v>
      </c>
      <c r="P22" s="113">
        <v>0</v>
      </c>
      <c r="Q22" s="114" t="e">
        <f t="shared" si="5"/>
        <v>#DIV/0!</v>
      </c>
      <c r="R22" s="115"/>
      <c r="S22" s="316">
        <v>43100</v>
      </c>
    </row>
    <row r="23" spans="1:48" customFormat="1" ht="15.75">
      <c r="A23" s="107">
        <f t="shared" si="6"/>
        <v>4</v>
      </c>
      <c r="B23" s="276" t="s">
        <v>346</v>
      </c>
      <c r="C23" s="108">
        <v>1982</v>
      </c>
      <c r="D23" s="108"/>
      <c r="E23" s="109" t="s">
        <v>219</v>
      </c>
      <c r="F23" s="110">
        <v>9</v>
      </c>
      <c r="G23" s="110">
        <v>1</v>
      </c>
      <c r="H23" s="111"/>
      <c r="I23" s="111"/>
      <c r="J23" s="111"/>
      <c r="K23" s="112"/>
      <c r="L23" s="113">
        <v>1095812</v>
      </c>
      <c r="M23" s="113">
        <v>0</v>
      </c>
      <c r="N23" s="113">
        <v>0</v>
      </c>
      <c r="O23" s="113">
        <f t="shared" si="4"/>
        <v>1095812</v>
      </c>
      <c r="P23" s="113">
        <v>0</v>
      </c>
      <c r="Q23" s="114" t="e">
        <f t="shared" si="5"/>
        <v>#DIV/0!</v>
      </c>
      <c r="R23" s="115"/>
      <c r="S23" s="316">
        <v>43100</v>
      </c>
    </row>
    <row r="24" spans="1:48" customFormat="1" ht="15.75">
      <c r="A24" s="107">
        <f t="shared" si="6"/>
        <v>5</v>
      </c>
      <c r="B24" s="276" t="s">
        <v>322</v>
      </c>
      <c r="C24" s="108">
        <v>1976</v>
      </c>
      <c r="D24" s="108"/>
      <c r="E24" s="109" t="s">
        <v>219</v>
      </c>
      <c r="F24" s="110">
        <v>9</v>
      </c>
      <c r="G24" s="110">
        <v>3</v>
      </c>
      <c r="H24" s="111"/>
      <c r="I24" s="111"/>
      <c r="J24" s="111"/>
      <c r="K24" s="112"/>
      <c r="L24" s="113">
        <v>5619141</v>
      </c>
      <c r="M24" s="113">
        <v>0</v>
      </c>
      <c r="N24" s="113">
        <v>0</v>
      </c>
      <c r="O24" s="113">
        <f t="shared" si="4"/>
        <v>5619141</v>
      </c>
      <c r="P24" s="113">
        <v>0</v>
      </c>
      <c r="Q24" s="114" t="e">
        <f t="shared" si="5"/>
        <v>#DIV/0!</v>
      </c>
      <c r="R24" s="115"/>
      <c r="S24" s="316">
        <v>43100</v>
      </c>
    </row>
    <row r="25" spans="1:48" customFormat="1" ht="15.75">
      <c r="A25" s="107">
        <f t="shared" si="6"/>
        <v>6</v>
      </c>
      <c r="B25" s="276" t="s">
        <v>320</v>
      </c>
      <c r="C25" s="107">
        <v>1982</v>
      </c>
      <c r="D25" s="108"/>
      <c r="E25" s="109" t="s">
        <v>219</v>
      </c>
      <c r="F25" s="108">
        <v>9</v>
      </c>
      <c r="G25" s="108">
        <v>2</v>
      </c>
      <c r="H25" s="117"/>
      <c r="I25" s="117"/>
      <c r="J25" s="117"/>
      <c r="K25" s="101"/>
      <c r="L25" s="113">
        <v>3748388</v>
      </c>
      <c r="M25" s="113">
        <v>0</v>
      </c>
      <c r="N25" s="113">
        <v>0</v>
      </c>
      <c r="O25" s="113">
        <f t="shared" si="4"/>
        <v>3748388</v>
      </c>
      <c r="P25" s="113">
        <v>0</v>
      </c>
      <c r="Q25" s="114" t="e">
        <f t="shared" si="5"/>
        <v>#DIV/0!</v>
      </c>
      <c r="R25" s="115"/>
      <c r="S25" s="316">
        <v>43100</v>
      </c>
    </row>
    <row r="26" spans="1:48" customFormat="1" ht="15.75">
      <c r="A26" s="107">
        <f t="shared" si="6"/>
        <v>7</v>
      </c>
      <c r="B26" s="275" t="s">
        <v>327</v>
      </c>
      <c r="C26" s="108">
        <v>1981</v>
      </c>
      <c r="D26" s="108"/>
      <c r="E26" s="109" t="s">
        <v>219</v>
      </c>
      <c r="F26" s="110">
        <v>9</v>
      </c>
      <c r="G26" s="110">
        <v>8</v>
      </c>
      <c r="H26" s="111"/>
      <c r="I26" s="111"/>
      <c r="J26" s="111"/>
      <c r="K26" s="112"/>
      <c r="L26" s="113">
        <v>15157748</v>
      </c>
      <c r="M26" s="113">
        <v>0</v>
      </c>
      <c r="N26" s="113">
        <v>0</v>
      </c>
      <c r="O26" s="113">
        <f t="shared" si="4"/>
        <v>15157748</v>
      </c>
      <c r="P26" s="113">
        <v>0</v>
      </c>
      <c r="Q26" s="114" t="e">
        <f t="shared" si="5"/>
        <v>#DIV/0!</v>
      </c>
      <c r="R26" s="115"/>
      <c r="S26" s="316">
        <v>43100</v>
      </c>
    </row>
    <row r="27" spans="1:48" customFormat="1" ht="31.5">
      <c r="A27" s="107">
        <f t="shared" si="6"/>
        <v>8</v>
      </c>
      <c r="B27" s="275" t="s">
        <v>323</v>
      </c>
      <c r="C27" s="108">
        <v>1954</v>
      </c>
      <c r="D27" s="108"/>
      <c r="E27" s="109" t="s">
        <v>218</v>
      </c>
      <c r="F27" s="110">
        <v>2</v>
      </c>
      <c r="G27" s="110">
        <v>2</v>
      </c>
      <c r="H27" s="111"/>
      <c r="I27" s="111"/>
      <c r="J27" s="111"/>
      <c r="K27" s="112"/>
      <c r="L27" s="113">
        <v>1030213</v>
      </c>
      <c r="M27" s="113">
        <v>0</v>
      </c>
      <c r="N27" s="113">
        <v>0</v>
      </c>
      <c r="O27" s="113">
        <f t="shared" si="4"/>
        <v>1030213</v>
      </c>
      <c r="P27" s="113">
        <v>0</v>
      </c>
      <c r="Q27" s="114" t="e">
        <f t="shared" si="5"/>
        <v>#DIV/0!</v>
      </c>
      <c r="R27" s="115"/>
      <c r="S27" s="316">
        <v>43100</v>
      </c>
    </row>
    <row r="28" spans="1:48" customFormat="1" ht="31.5">
      <c r="A28" s="107">
        <f t="shared" si="6"/>
        <v>9</v>
      </c>
      <c r="B28" s="276" t="s">
        <v>319</v>
      </c>
      <c r="C28" s="118">
        <v>1860</v>
      </c>
      <c r="D28" s="118"/>
      <c r="E28" s="109" t="s">
        <v>218</v>
      </c>
      <c r="F28" s="118">
        <v>3</v>
      </c>
      <c r="G28" s="118">
        <v>1</v>
      </c>
      <c r="H28" s="118"/>
      <c r="I28" s="118"/>
      <c r="J28" s="118"/>
      <c r="K28" s="119"/>
      <c r="L28" s="113">
        <v>530465</v>
      </c>
      <c r="M28" s="113">
        <v>0</v>
      </c>
      <c r="N28" s="113">
        <v>0</v>
      </c>
      <c r="O28" s="113">
        <f t="shared" si="4"/>
        <v>530465</v>
      </c>
      <c r="P28" s="113">
        <v>0</v>
      </c>
      <c r="Q28" s="114" t="e">
        <f t="shared" si="5"/>
        <v>#DIV/0!</v>
      </c>
      <c r="R28" s="115"/>
      <c r="S28" s="316">
        <v>43100</v>
      </c>
    </row>
    <row r="29" spans="1:48" customFormat="1" ht="31.5">
      <c r="A29" s="107">
        <f t="shared" si="6"/>
        <v>10</v>
      </c>
      <c r="B29" s="276" t="s">
        <v>326</v>
      </c>
      <c r="C29" s="108">
        <v>1958</v>
      </c>
      <c r="D29" s="108"/>
      <c r="E29" s="109" t="s">
        <v>218</v>
      </c>
      <c r="F29" s="110">
        <v>2</v>
      </c>
      <c r="G29" s="110">
        <v>2</v>
      </c>
      <c r="H29" s="111"/>
      <c r="I29" s="111"/>
      <c r="J29" s="111"/>
      <c r="K29" s="112"/>
      <c r="L29" s="113">
        <v>1983854</v>
      </c>
      <c r="M29" s="113">
        <v>0</v>
      </c>
      <c r="N29" s="113">
        <v>0</v>
      </c>
      <c r="O29" s="113">
        <f t="shared" si="4"/>
        <v>1983854</v>
      </c>
      <c r="P29" s="113">
        <v>0</v>
      </c>
      <c r="Q29" s="114" t="e">
        <f t="shared" si="5"/>
        <v>#DIV/0!</v>
      </c>
      <c r="R29" s="115"/>
      <c r="S29" s="316">
        <v>43100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48" customFormat="1" ht="31.5">
      <c r="A30" s="107">
        <f t="shared" si="6"/>
        <v>11</v>
      </c>
      <c r="B30" s="276" t="s">
        <v>388</v>
      </c>
      <c r="C30" s="108">
        <v>1961</v>
      </c>
      <c r="D30" s="108"/>
      <c r="E30" s="109" t="s">
        <v>218</v>
      </c>
      <c r="F30" s="110">
        <v>5</v>
      </c>
      <c r="G30" s="110">
        <v>2</v>
      </c>
      <c r="H30" s="111"/>
      <c r="I30" s="111"/>
      <c r="J30" s="111"/>
      <c r="K30" s="112"/>
      <c r="L30" s="113">
        <v>1206304</v>
      </c>
      <c r="M30" s="113">
        <v>0</v>
      </c>
      <c r="N30" s="113">
        <v>0</v>
      </c>
      <c r="O30" s="113">
        <f t="shared" si="4"/>
        <v>1206304</v>
      </c>
      <c r="P30" s="113">
        <v>0</v>
      </c>
      <c r="Q30" s="114" t="e">
        <f t="shared" si="5"/>
        <v>#DIV/0!</v>
      </c>
      <c r="R30" s="115"/>
      <c r="S30" s="316">
        <v>43100</v>
      </c>
    </row>
    <row r="31" spans="1:48" customFormat="1" ht="31.5">
      <c r="A31" s="107">
        <f t="shared" si="6"/>
        <v>12</v>
      </c>
      <c r="B31" s="275" t="s">
        <v>419</v>
      </c>
      <c r="C31" s="108">
        <v>1961</v>
      </c>
      <c r="D31" s="116"/>
      <c r="E31" s="109" t="s">
        <v>218</v>
      </c>
      <c r="F31" s="110">
        <v>5</v>
      </c>
      <c r="G31" s="110">
        <v>3</v>
      </c>
      <c r="H31" s="111"/>
      <c r="I31" s="111"/>
      <c r="J31" s="111"/>
      <c r="K31" s="112"/>
      <c r="L31" s="113">
        <v>402530.2</v>
      </c>
      <c r="M31" s="113">
        <v>0</v>
      </c>
      <c r="N31" s="113">
        <v>0</v>
      </c>
      <c r="O31" s="113">
        <f t="shared" si="4"/>
        <v>402530.2</v>
      </c>
      <c r="P31" s="113">
        <v>0</v>
      </c>
      <c r="Q31" s="114" t="e">
        <f t="shared" si="5"/>
        <v>#DIV/0!</v>
      </c>
      <c r="R31" s="115"/>
      <c r="S31" s="316">
        <v>43100</v>
      </c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</row>
    <row r="32" spans="1:48" customFormat="1" ht="31.5">
      <c r="A32" s="107">
        <f t="shared" si="6"/>
        <v>13</v>
      </c>
      <c r="B32" s="275" t="s">
        <v>387</v>
      </c>
      <c r="C32" s="118">
        <v>1967</v>
      </c>
      <c r="D32" s="118"/>
      <c r="E32" s="109" t="s">
        <v>218</v>
      </c>
      <c r="F32" s="118">
        <v>5</v>
      </c>
      <c r="G32" s="118">
        <v>8</v>
      </c>
      <c r="H32" s="111"/>
      <c r="I32" s="111"/>
      <c r="J32" s="111"/>
      <c r="K32" s="112"/>
      <c r="L32" s="113">
        <v>2861497</v>
      </c>
      <c r="M32" s="113">
        <v>0</v>
      </c>
      <c r="N32" s="113">
        <v>0</v>
      </c>
      <c r="O32" s="113">
        <f t="shared" si="4"/>
        <v>2861497</v>
      </c>
      <c r="P32" s="113">
        <v>0</v>
      </c>
      <c r="Q32" s="114" t="e">
        <f t="shared" si="5"/>
        <v>#DIV/0!</v>
      </c>
      <c r="R32" s="115"/>
      <c r="S32" s="316">
        <v>43100</v>
      </c>
    </row>
    <row r="33" spans="1:19" customFormat="1" ht="15.75">
      <c r="A33" s="107">
        <f t="shared" si="6"/>
        <v>14</v>
      </c>
      <c r="B33" s="276" t="s">
        <v>334</v>
      </c>
      <c r="C33" s="108">
        <v>1974</v>
      </c>
      <c r="D33" s="108"/>
      <c r="E33" s="109" t="s">
        <v>219</v>
      </c>
      <c r="F33" s="110">
        <v>5</v>
      </c>
      <c r="G33" s="110">
        <v>4</v>
      </c>
      <c r="H33" s="111"/>
      <c r="I33" s="111"/>
      <c r="J33" s="111"/>
      <c r="K33" s="112"/>
      <c r="L33" s="113">
        <v>1535065.47</v>
      </c>
      <c r="M33" s="113">
        <v>0</v>
      </c>
      <c r="N33" s="113">
        <v>0</v>
      </c>
      <c r="O33" s="113">
        <f t="shared" si="4"/>
        <v>1535065.47</v>
      </c>
      <c r="P33" s="113">
        <v>0</v>
      </c>
      <c r="Q33" s="114" t="e">
        <f t="shared" si="5"/>
        <v>#DIV/0!</v>
      </c>
      <c r="R33" s="115"/>
      <c r="S33" s="316">
        <v>43100</v>
      </c>
    </row>
    <row r="34" spans="1:19" customFormat="1" ht="15.75">
      <c r="A34" s="107">
        <f t="shared" si="6"/>
        <v>15</v>
      </c>
      <c r="B34" s="276" t="s">
        <v>330</v>
      </c>
      <c r="C34" s="118">
        <v>1966</v>
      </c>
      <c r="D34" s="118"/>
      <c r="E34" s="109" t="s">
        <v>219</v>
      </c>
      <c r="F34" s="118">
        <v>5</v>
      </c>
      <c r="G34" s="118">
        <v>4</v>
      </c>
      <c r="H34" s="111"/>
      <c r="I34" s="111"/>
      <c r="J34" s="111"/>
      <c r="K34" s="112"/>
      <c r="L34" s="113">
        <v>930534</v>
      </c>
      <c r="M34" s="113">
        <v>0</v>
      </c>
      <c r="N34" s="113">
        <v>0</v>
      </c>
      <c r="O34" s="113">
        <f t="shared" si="4"/>
        <v>930534</v>
      </c>
      <c r="P34" s="113">
        <v>0</v>
      </c>
      <c r="Q34" s="114" t="e">
        <f t="shared" si="5"/>
        <v>#DIV/0!</v>
      </c>
      <c r="R34" s="115"/>
      <c r="S34" s="316">
        <v>43100</v>
      </c>
    </row>
    <row r="35" spans="1:19" customFormat="1" ht="15.75">
      <c r="A35" s="107">
        <f t="shared" si="6"/>
        <v>16</v>
      </c>
      <c r="B35" s="276" t="s">
        <v>328</v>
      </c>
      <c r="C35" s="118">
        <v>1970</v>
      </c>
      <c r="D35" s="118"/>
      <c r="E35" s="109" t="s">
        <v>219</v>
      </c>
      <c r="F35" s="118">
        <v>5</v>
      </c>
      <c r="G35" s="118">
        <v>4</v>
      </c>
      <c r="H35" s="111"/>
      <c r="I35" s="111"/>
      <c r="J35" s="111"/>
      <c r="K35" s="112"/>
      <c r="L35" s="113">
        <v>662518</v>
      </c>
      <c r="M35" s="113">
        <v>0</v>
      </c>
      <c r="N35" s="113">
        <v>0</v>
      </c>
      <c r="O35" s="113">
        <f t="shared" si="4"/>
        <v>662518</v>
      </c>
      <c r="P35" s="113">
        <v>0</v>
      </c>
      <c r="Q35" s="114" t="e">
        <f t="shared" si="5"/>
        <v>#DIV/0!</v>
      </c>
      <c r="R35" s="115"/>
      <c r="S35" s="316">
        <v>43100</v>
      </c>
    </row>
    <row r="36" spans="1:19" customFormat="1" ht="31.5">
      <c r="A36" s="107">
        <f t="shared" si="6"/>
        <v>17</v>
      </c>
      <c r="B36" s="276" t="s">
        <v>333</v>
      </c>
      <c r="C36" s="108">
        <v>1979</v>
      </c>
      <c r="D36" s="108"/>
      <c r="E36" s="109" t="s">
        <v>218</v>
      </c>
      <c r="F36" s="110">
        <v>5</v>
      </c>
      <c r="G36" s="110">
        <v>4</v>
      </c>
      <c r="H36" s="111"/>
      <c r="I36" s="111"/>
      <c r="J36" s="111"/>
      <c r="K36" s="112"/>
      <c r="L36" s="113">
        <v>2346663</v>
      </c>
      <c r="M36" s="113">
        <v>0</v>
      </c>
      <c r="N36" s="113">
        <v>0</v>
      </c>
      <c r="O36" s="113">
        <f t="shared" si="4"/>
        <v>2346663</v>
      </c>
      <c r="P36" s="113">
        <v>0</v>
      </c>
      <c r="Q36" s="114" t="e">
        <f t="shared" si="5"/>
        <v>#DIV/0!</v>
      </c>
      <c r="R36" s="115"/>
      <c r="S36" s="316">
        <v>43100</v>
      </c>
    </row>
    <row r="37" spans="1:19" customFormat="1" ht="15.75">
      <c r="A37" s="107">
        <f t="shared" si="6"/>
        <v>18</v>
      </c>
      <c r="B37" s="276" t="s">
        <v>331</v>
      </c>
      <c r="C37" s="118">
        <v>1972</v>
      </c>
      <c r="D37" s="118"/>
      <c r="E37" s="109" t="s">
        <v>219</v>
      </c>
      <c r="F37" s="118">
        <v>5</v>
      </c>
      <c r="G37" s="118">
        <v>4</v>
      </c>
      <c r="H37" s="111"/>
      <c r="I37" s="111"/>
      <c r="J37" s="111"/>
      <c r="K37" s="112"/>
      <c r="L37" s="113">
        <v>727019</v>
      </c>
      <c r="M37" s="113">
        <v>0</v>
      </c>
      <c r="N37" s="113">
        <v>0</v>
      </c>
      <c r="O37" s="113">
        <f t="shared" si="4"/>
        <v>727019</v>
      </c>
      <c r="P37" s="113">
        <v>0</v>
      </c>
      <c r="Q37" s="114" t="e">
        <f t="shared" si="5"/>
        <v>#DIV/0!</v>
      </c>
      <c r="R37" s="115"/>
      <c r="S37" s="316">
        <v>43100</v>
      </c>
    </row>
    <row r="38" spans="1:19" customFormat="1" ht="31.5">
      <c r="A38" s="107">
        <f t="shared" si="6"/>
        <v>19</v>
      </c>
      <c r="B38" s="276" t="s">
        <v>329</v>
      </c>
      <c r="C38" s="118">
        <v>1963</v>
      </c>
      <c r="D38" s="118"/>
      <c r="E38" s="109" t="s">
        <v>218</v>
      </c>
      <c r="F38" s="118">
        <v>4</v>
      </c>
      <c r="G38" s="118">
        <v>3</v>
      </c>
      <c r="H38" s="118"/>
      <c r="I38" s="118"/>
      <c r="J38" s="118"/>
      <c r="K38" s="119"/>
      <c r="L38" s="113">
        <v>538121</v>
      </c>
      <c r="M38" s="113">
        <v>0</v>
      </c>
      <c r="N38" s="113">
        <v>0</v>
      </c>
      <c r="O38" s="113">
        <f t="shared" si="4"/>
        <v>538121</v>
      </c>
      <c r="P38" s="113">
        <v>0</v>
      </c>
      <c r="Q38" s="114" t="e">
        <f t="shared" si="5"/>
        <v>#DIV/0!</v>
      </c>
      <c r="R38" s="115"/>
      <c r="S38" s="316">
        <v>43100</v>
      </c>
    </row>
    <row r="39" spans="1:19" customFormat="1" ht="31.5">
      <c r="A39" s="107">
        <f t="shared" si="6"/>
        <v>20</v>
      </c>
      <c r="B39" s="276" t="s">
        <v>332</v>
      </c>
      <c r="C39" s="118">
        <v>1963</v>
      </c>
      <c r="D39" s="118"/>
      <c r="E39" s="109" t="s">
        <v>218</v>
      </c>
      <c r="F39" s="118">
        <v>4</v>
      </c>
      <c r="G39" s="118">
        <v>3</v>
      </c>
      <c r="H39" s="118"/>
      <c r="I39" s="118"/>
      <c r="J39" s="118"/>
      <c r="K39" s="119"/>
      <c r="L39" s="113">
        <v>1756852</v>
      </c>
      <c r="M39" s="113">
        <v>0</v>
      </c>
      <c r="N39" s="113">
        <v>0</v>
      </c>
      <c r="O39" s="113">
        <f t="shared" si="4"/>
        <v>1756852</v>
      </c>
      <c r="P39" s="113">
        <v>0</v>
      </c>
      <c r="Q39" s="114" t="e">
        <f t="shared" si="5"/>
        <v>#DIV/0!</v>
      </c>
      <c r="R39" s="115"/>
      <c r="S39" s="316">
        <v>43100</v>
      </c>
    </row>
    <row r="40" spans="1:19" customFormat="1" ht="15.75">
      <c r="A40" s="107">
        <f t="shared" si="6"/>
        <v>21</v>
      </c>
      <c r="B40" s="276" t="s">
        <v>316</v>
      </c>
      <c r="C40" s="108">
        <v>1974</v>
      </c>
      <c r="D40" s="108"/>
      <c r="E40" s="109" t="s">
        <v>219</v>
      </c>
      <c r="F40" s="110">
        <v>5</v>
      </c>
      <c r="G40" s="110">
        <v>4</v>
      </c>
      <c r="H40" s="111"/>
      <c r="I40" s="111"/>
      <c r="J40" s="111"/>
      <c r="K40" s="112"/>
      <c r="L40" s="113">
        <v>676398.28</v>
      </c>
      <c r="M40" s="113">
        <v>0</v>
      </c>
      <c r="N40" s="113">
        <v>0</v>
      </c>
      <c r="O40" s="113">
        <f t="shared" si="4"/>
        <v>676398.28</v>
      </c>
      <c r="P40" s="113">
        <v>0</v>
      </c>
      <c r="Q40" s="114" t="e">
        <f t="shared" si="5"/>
        <v>#DIV/0!</v>
      </c>
      <c r="R40" s="115"/>
      <c r="S40" s="316">
        <v>43100</v>
      </c>
    </row>
    <row r="41" spans="1:19" customFormat="1" ht="31.5">
      <c r="A41" s="107">
        <f t="shared" si="6"/>
        <v>22</v>
      </c>
      <c r="B41" s="275" t="s">
        <v>313</v>
      </c>
      <c r="C41" s="108">
        <v>1951</v>
      </c>
      <c r="D41" s="108"/>
      <c r="E41" s="109" t="s">
        <v>218</v>
      </c>
      <c r="F41" s="110">
        <v>2</v>
      </c>
      <c r="G41" s="110">
        <v>1</v>
      </c>
      <c r="H41" s="111"/>
      <c r="I41" s="111"/>
      <c r="J41" s="111"/>
      <c r="K41" s="112"/>
      <c r="L41" s="113">
        <v>766539</v>
      </c>
      <c r="M41" s="113">
        <v>0</v>
      </c>
      <c r="N41" s="113">
        <v>0</v>
      </c>
      <c r="O41" s="113">
        <f t="shared" si="4"/>
        <v>766539</v>
      </c>
      <c r="P41" s="113">
        <v>0</v>
      </c>
      <c r="Q41" s="114" t="e">
        <f t="shared" si="5"/>
        <v>#DIV/0!</v>
      </c>
      <c r="R41" s="115"/>
      <c r="S41" s="316">
        <v>43100</v>
      </c>
    </row>
    <row r="42" spans="1:19" customFormat="1" ht="31.5">
      <c r="A42" s="107">
        <f t="shared" si="6"/>
        <v>23</v>
      </c>
      <c r="B42" s="276" t="s">
        <v>312</v>
      </c>
      <c r="C42" s="118">
        <v>1983</v>
      </c>
      <c r="D42" s="118"/>
      <c r="E42" s="109" t="s">
        <v>218</v>
      </c>
      <c r="F42" s="118">
        <v>9</v>
      </c>
      <c r="G42" s="118">
        <v>2</v>
      </c>
      <c r="H42" s="118"/>
      <c r="I42" s="118"/>
      <c r="J42" s="118"/>
      <c r="K42" s="119"/>
      <c r="L42" s="113">
        <v>1186114</v>
      </c>
      <c r="M42" s="113">
        <v>0</v>
      </c>
      <c r="N42" s="113">
        <v>0</v>
      </c>
      <c r="O42" s="113">
        <f t="shared" si="4"/>
        <v>1186114</v>
      </c>
      <c r="P42" s="113">
        <v>0</v>
      </c>
      <c r="Q42" s="114" t="e">
        <f t="shared" si="5"/>
        <v>#DIV/0!</v>
      </c>
      <c r="R42" s="115"/>
      <c r="S42" s="316">
        <v>43100</v>
      </c>
    </row>
    <row r="43" spans="1:19" customFormat="1" ht="31.5">
      <c r="A43" s="107">
        <f t="shared" si="6"/>
        <v>24</v>
      </c>
      <c r="B43" s="275" t="s">
        <v>311</v>
      </c>
      <c r="C43" s="118">
        <v>1958</v>
      </c>
      <c r="D43" s="118"/>
      <c r="E43" s="109" t="s">
        <v>218</v>
      </c>
      <c r="F43" s="118">
        <v>3</v>
      </c>
      <c r="G43" s="118">
        <v>2</v>
      </c>
      <c r="H43" s="118"/>
      <c r="I43" s="118"/>
      <c r="J43" s="118"/>
      <c r="K43" s="119"/>
      <c r="L43" s="113">
        <v>178272.59</v>
      </c>
      <c r="M43" s="113">
        <v>0</v>
      </c>
      <c r="N43" s="113">
        <v>0</v>
      </c>
      <c r="O43" s="113">
        <f t="shared" si="4"/>
        <v>178272.59</v>
      </c>
      <c r="P43" s="113">
        <v>0</v>
      </c>
      <c r="Q43" s="114" t="e">
        <f t="shared" si="5"/>
        <v>#DIV/0!</v>
      </c>
      <c r="R43" s="115"/>
      <c r="S43" s="316">
        <v>43100</v>
      </c>
    </row>
    <row r="44" spans="1:19" customFormat="1" ht="31.5">
      <c r="A44" s="107">
        <f t="shared" si="6"/>
        <v>25</v>
      </c>
      <c r="B44" s="276" t="s">
        <v>315</v>
      </c>
      <c r="C44" s="108">
        <v>1963</v>
      </c>
      <c r="D44" s="108"/>
      <c r="E44" s="109" t="s">
        <v>218</v>
      </c>
      <c r="F44" s="110">
        <v>4</v>
      </c>
      <c r="G44" s="110">
        <v>2</v>
      </c>
      <c r="H44" s="111"/>
      <c r="I44" s="111"/>
      <c r="J44" s="111"/>
      <c r="K44" s="112"/>
      <c r="L44" s="113">
        <v>1087116</v>
      </c>
      <c r="M44" s="113">
        <v>0</v>
      </c>
      <c r="N44" s="113">
        <v>0</v>
      </c>
      <c r="O44" s="113">
        <f t="shared" si="4"/>
        <v>1087116</v>
      </c>
      <c r="P44" s="113">
        <v>0</v>
      </c>
      <c r="Q44" s="114" t="e">
        <f t="shared" si="5"/>
        <v>#DIV/0!</v>
      </c>
      <c r="R44" s="115"/>
      <c r="S44" s="316">
        <v>43100</v>
      </c>
    </row>
    <row r="45" spans="1:19" customFormat="1" ht="31.5">
      <c r="A45" s="107">
        <f t="shared" si="6"/>
        <v>26</v>
      </c>
      <c r="B45" s="276" t="s">
        <v>351</v>
      </c>
      <c r="C45" s="108">
        <v>1984</v>
      </c>
      <c r="D45" s="108"/>
      <c r="E45" s="109" t="s">
        <v>218</v>
      </c>
      <c r="F45" s="110">
        <v>9</v>
      </c>
      <c r="G45" s="110">
        <v>2</v>
      </c>
      <c r="H45" s="111"/>
      <c r="I45" s="111"/>
      <c r="J45" s="111"/>
      <c r="K45" s="112"/>
      <c r="L45" s="113">
        <v>1411363</v>
      </c>
      <c r="M45" s="113">
        <v>0</v>
      </c>
      <c r="N45" s="113">
        <v>0</v>
      </c>
      <c r="O45" s="113">
        <f t="shared" si="4"/>
        <v>1411363</v>
      </c>
      <c r="P45" s="113">
        <v>0</v>
      </c>
      <c r="Q45" s="114" t="e">
        <f t="shared" si="5"/>
        <v>#DIV/0!</v>
      </c>
      <c r="R45" s="115"/>
      <c r="S45" s="316">
        <v>43100</v>
      </c>
    </row>
    <row r="46" spans="1:19" customFormat="1" ht="31.5">
      <c r="A46" s="107">
        <f t="shared" si="6"/>
        <v>27</v>
      </c>
      <c r="B46" s="276" t="s">
        <v>314</v>
      </c>
      <c r="C46" s="108">
        <v>1964</v>
      </c>
      <c r="D46" s="108"/>
      <c r="E46" s="109" t="s">
        <v>218</v>
      </c>
      <c r="F46" s="110">
        <v>4</v>
      </c>
      <c r="G46" s="110">
        <v>2</v>
      </c>
      <c r="H46" s="111"/>
      <c r="I46" s="111"/>
      <c r="J46" s="111"/>
      <c r="K46" s="112"/>
      <c r="L46" s="113">
        <v>1136666</v>
      </c>
      <c r="M46" s="113">
        <v>0</v>
      </c>
      <c r="N46" s="113">
        <v>0</v>
      </c>
      <c r="O46" s="113">
        <f t="shared" si="4"/>
        <v>1136666</v>
      </c>
      <c r="P46" s="113">
        <v>0</v>
      </c>
      <c r="Q46" s="114" t="e">
        <f t="shared" si="5"/>
        <v>#DIV/0!</v>
      </c>
      <c r="R46" s="115"/>
      <c r="S46" s="316">
        <v>43100</v>
      </c>
    </row>
    <row r="47" spans="1:19" customFormat="1" ht="31.5">
      <c r="A47" s="107">
        <f t="shared" si="6"/>
        <v>28</v>
      </c>
      <c r="B47" s="276" t="s">
        <v>369</v>
      </c>
      <c r="C47" s="118">
        <v>1959</v>
      </c>
      <c r="D47" s="118"/>
      <c r="E47" s="109" t="s">
        <v>218</v>
      </c>
      <c r="F47" s="118">
        <v>4</v>
      </c>
      <c r="G47" s="118">
        <v>6</v>
      </c>
      <c r="H47" s="118"/>
      <c r="I47" s="118"/>
      <c r="J47" s="118"/>
      <c r="K47" s="119"/>
      <c r="L47" s="113">
        <v>1385674</v>
      </c>
      <c r="M47" s="113">
        <v>0</v>
      </c>
      <c r="N47" s="113">
        <v>0</v>
      </c>
      <c r="O47" s="113">
        <f t="shared" si="4"/>
        <v>1385674</v>
      </c>
      <c r="P47" s="113">
        <v>0</v>
      </c>
      <c r="Q47" s="114" t="e">
        <f t="shared" si="5"/>
        <v>#DIV/0!</v>
      </c>
      <c r="R47" s="115"/>
      <c r="S47" s="316">
        <v>43100</v>
      </c>
    </row>
    <row r="48" spans="1:19" customFormat="1" ht="31.5">
      <c r="A48" s="107">
        <f t="shared" si="6"/>
        <v>29</v>
      </c>
      <c r="B48" s="276" t="s">
        <v>370</v>
      </c>
      <c r="C48" s="118">
        <v>1937</v>
      </c>
      <c r="D48" s="118"/>
      <c r="E48" s="109" t="s">
        <v>218</v>
      </c>
      <c r="F48" s="118">
        <v>4</v>
      </c>
      <c r="G48" s="118">
        <v>9</v>
      </c>
      <c r="H48" s="118"/>
      <c r="I48" s="118"/>
      <c r="J48" s="118"/>
      <c r="K48" s="119"/>
      <c r="L48" s="113">
        <v>4619990</v>
      </c>
      <c r="M48" s="113">
        <v>0</v>
      </c>
      <c r="N48" s="113">
        <v>0</v>
      </c>
      <c r="O48" s="113">
        <f t="shared" si="4"/>
        <v>4619990</v>
      </c>
      <c r="P48" s="113">
        <v>0</v>
      </c>
      <c r="Q48" s="114" t="e">
        <f t="shared" si="5"/>
        <v>#DIV/0!</v>
      </c>
      <c r="R48" s="115"/>
      <c r="S48" s="316">
        <v>43100</v>
      </c>
    </row>
    <row r="49" spans="1:48" customFormat="1" ht="31.5">
      <c r="A49" s="107">
        <f t="shared" si="6"/>
        <v>30</v>
      </c>
      <c r="B49" s="276" t="s">
        <v>373</v>
      </c>
      <c r="C49" s="118">
        <v>1960</v>
      </c>
      <c r="D49" s="118"/>
      <c r="E49" s="109" t="s">
        <v>218</v>
      </c>
      <c r="F49" s="118">
        <v>4</v>
      </c>
      <c r="G49" s="118">
        <v>3</v>
      </c>
      <c r="H49" s="118"/>
      <c r="I49" s="118"/>
      <c r="J49" s="118"/>
      <c r="K49" s="119"/>
      <c r="L49" s="113">
        <v>1865304</v>
      </c>
      <c r="M49" s="113">
        <v>0</v>
      </c>
      <c r="N49" s="113">
        <v>0</v>
      </c>
      <c r="O49" s="113">
        <f t="shared" si="4"/>
        <v>1865304</v>
      </c>
      <c r="P49" s="113">
        <v>0</v>
      </c>
      <c r="Q49" s="114" t="e">
        <f t="shared" si="5"/>
        <v>#DIV/0!</v>
      </c>
      <c r="R49" s="115"/>
      <c r="S49" s="316">
        <v>43100</v>
      </c>
    </row>
    <row r="50" spans="1:48" customFormat="1" ht="31.5">
      <c r="A50" s="107">
        <f t="shared" si="6"/>
        <v>31</v>
      </c>
      <c r="B50" s="276" t="s">
        <v>381</v>
      </c>
      <c r="C50" s="108">
        <v>1961</v>
      </c>
      <c r="D50" s="108"/>
      <c r="E50" s="109" t="s">
        <v>218</v>
      </c>
      <c r="F50" s="110">
        <v>5</v>
      </c>
      <c r="G50" s="110">
        <v>4</v>
      </c>
      <c r="H50" s="111"/>
      <c r="I50" s="111"/>
      <c r="J50" s="111"/>
      <c r="K50" s="112"/>
      <c r="L50" s="113">
        <v>1870910</v>
      </c>
      <c r="M50" s="113">
        <v>0</v>
      </c>
      <c r="N50" s="113">
        <v>0</v>
      </c>
      <c r="O50" s="113">
        <f t="shared" si="4"/>
        <v>1870910</v>
      </c>
      <c r="P50" s="113">
        <v>0</v>
      </c>
      <c r="Q50" s="114" t="e">
        <f t="shared" si="5"/>
        <v>#DIV/0!</v>
      </c>
      <c r="R50" s="115"/>
      <c r="S50" s="316">
        <v>43100</v>
      </c>
    </row>
    <row r="51" spans="1:48" customFormat="1" ht="31.5">
      <c r="A51" s="107">
        <f t="shared" si="6"/>
        <v>32</v>
      </c>
      <c r="B51" s="276" t="s">
        <v>382</v>
      </c>
      <c r="C51" s="108">
        <v>1960</v>
      </c>
      <c r="D51" s="108"/>
      <c r="E51" s="109" t="s">
        <v>218</v>
      </c>
      <c r="F51" s="110">
        <v>5</v>
      </c>
      <c r="G51" s="110">
        <v>4</v>
      </c>
      <c r="H51" s="111"/>
      <c r="I51" s="111"/>
      <c r="J51" s="111"/>
      <c r="K51" s="112"/>
      <c r="L51" s="113">
        <v>1533757</v>
      </c>
      <c r="M51" s="113">
        <v>0</v>
      </c>
      <c r="N51" s="113">
        <v>0</v>
      </c>
      <c r="O51" s="113">
        <f t="shared" si="4"/>
        <v>1533757</v>
      </c>
      <c r="P51" s="113">
        <v>0</v>
      </c>
      <c r="Q51" s="114" t="e">
        <f t="shared" si="5"/>
        <v>#DIV/0!</v>
      </c>
      <c r="R51" s="115"/>
      <c r="S51" s="316">
        <v>43100</v>
      </c>
    </row>
    <row r="52" spans="1:48" customFormat="1" ht="31.5">
      <c r="A52" s="107">
        <f t="shared" si="6"/>
        <v>33</v>
      </c>
      <c r="B52" s="276" t="s">
        <v>371</v>
      </c>
      <c r="C52" s="118">
        <v>1960</v>
      </c>
      <c r="D52" s="118"/>
      <c r="E52" s="109" t="s">
        <v>218</v>
      </c>
      <c r="F52" s="118">
        <v>5</v>
      </c>
      <c r="G52" s="118">
        <v>4</v>
      </c>
      <c r="H52" s="118"/>
      <c r="I52" s="118"/>
      <c r="J52" s="118"/>
      <c r="K52" s="119"/>
      <c r="L52" s="113">
        <v>939858</v>
      </c>
      <c r="M52" s="113">
        <v>0</v>
      </c>
      <c r="N52" s="113">
        <v>0</v>
      </c>
      <c r="O52" s="113">
        <f t="shared" ref="O52:O83" si="7">L52</f>
        <v>939858</v>
      </c>
      <c r="P52" s="113">
        <v>0</v>
      </c>
      <c r="Q52" s="114" t="e">
        <f t="shared" ref="Q52:Q83" si="8">L52/I52</f>
        <v>#DIV/0!</v>
      </c>
      <c r="R52" s="115"/>
      <c r="S52" s="316">
        <v>43100</v>
      </c>
    </row>
    <row r="53" spans="1:48" customFormat="1" ht="15.75">
      <c r="A53" s="107">
        <f t="shared" si="6"/>
        <v>34</v>
      </c>
      <c r="B53" s="275" t="s">
        <v>377</v>
      </c>
      <c r="C53" s="108">
        <v>1973</v>
      </c>
      <c r="D53" s="108"/>
      <c r="E53" s="109" t="s">
        <v>219</v>
      </c>
      <c r="F53" s="110">
        <v>5</v>
      </c>
      <c r="G53" s="110">
        <v>6</v>
      </c>
      <c r="H53" s="111"/>
      <c r="I53" s="111"/>
      <c r="J53" s="111"/>
      <c r="K53" s="112"/>
      <c r="L53" s="113">
        <v>2368392</v>
      </c>
      <c r="M53" s="113">
        <v>0</v>
      </c>
      <c r="N53" s="113">
        <v>0</v>
      </c>
      <c r="O53" s="113">
        <f t="shared" si="7"/>
        <v>2368392</v>
      </c>
      <c r="P53" s="113">
        <v>0</v>
      </c>
      <c r="Q53" s="114" t="e">
        <f t="shared" si="8"/>
        <v>#DIV/0!</v>
      </c>
      <c r="R53" s="115"/>
      <c r="S53" s="316">
        <v>43100</v>
      </c>
    </row>
    <row r="54" spans="1:48" customFormat="1" ht="31.5">
      <c r="A54" s="107">
        <f t="shared" si="6"/>
        <v>35</v>
      </c>
      <c r="B54" s="275" t="s">
        <v>378</v>
      </c>
      <c r="C54" s="108">
        <v>1961</v>
      </c>
      <c r="D54" s="108"/>
      <c r="E54" s="109" t="s">
        <v>218</v>
      </c>
      <c r="F54" s="110">
        <v>5</v>
      </c>
      <c r="G54" s="110">
        <v>2</v>
      </c>
      <c r="H54" s="111"/>
      <c r="I54" s="111"/>
      <c r="J54" s="111"/>
      <c r="K54" s="112"/>
      <c r="L54" s="113">
        <v>2433930.91</v>
      </c>
      <c r="M54" s="113">
        <v>0</v>
      </c>
      <c r="N54" s="113">
        <v>0</v>
      </c>
      <c r="O54" s="113">
        <f t="shared" si="7"/>
        <v>2433930.91</v>
      </c>
      <c r="P54" s="113">
        <v>0</v>
      </c>
      <c r="Q54" s="114" t="e">
        <f t="shared" si="8"/>
        <v>#DIV/0!</v>
      </c>
      <c r="R54" s="115"/>
      <c r="S54" s="316">
        <v>43100</v>
      </c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</row>
    <row r="55" spans="1:48" customFormat="1" ht="31.5">
      <c r="A55" s="107">
        <f t="shared" si="6"/>
        <v>36</v>
      </c>
      <c r="B55" s="276" t="s">
        <v>383</v>
      </c>
      <c r="C55" s="108">
        <v>1964</v>
      </c>
      <c r="D55" s="108"/>
      <c r="E55" s="109" t="s">
        <v>218</v>
      </c>
      <c r="F55" s="110">
        <v>5</v>
      </c>
      <c r="G55" s="110">
        <v>4</v>
      </c>
      <c r="H55" s="111"/>
      <c r="I55" s="111"/>
      <c r="J55" s="111"/>
      <c r="K55" s="112"/>
      <c r="L55" s="113">
        <v>1721850</v>
      </c>
      <c r="M55" s="113">
        <v>0</v>
      </c>
      <c r="N55" s="113">
        <v>0</v>
      </c>
      <c r="O55" s="113">
        <f t="shared" si="7"/>
        <v>1721850</v>
      </c>
      <c r="P55" s="113">
        <v>0</v>
      </c>
      <c r="Q55" s="114" t="e">
        <f t="shared" si="8"/>
        <v>#DIV/0!</v>
      </c>
      <c r="R55" s="115"/>
      <c r="S55" s="316">
        <v>43100</v>
      </c>
    </row>
    <row r="56" spans="1:48" s="3" customFormat="1" ht="31.5">
      <c r="A56" s="107">
        <f t="shared" si="6"/>
        <v>37</v>
      </c>
      <c r="B56" s="276" t="s">
        <v>368</v>
      </c>
      <c r="C56" s="118">
        <v>1957</v>
      </c>
      <c r="D56" s="118"/>
      <c r="E56" s="109" t="s">
        <v>218</v>
      </c>
      <c r="F56" s="118">
        <v>4</v>
      </c>
      <c r="G56" s="118">
        <v>4</v>
      </c>
      <c r="H56" s="118"/>
      <c r="I56" s="118"/>
      <c r="J56" s="118"/>
      <c r="K56" s="119"/>
      <c r="L56" s="113">
        <v>814117</v>
      </c>
      <c r="M56" s="113">
        <v>0</v>
      </c>
      <c r="N56" s="113">
        <v>0</v>
      </c>
      <c r="O56" s="113">
        <f t="shared" si="7"/>
        <v>814117</v>
      </c>
      <c r="P56" s="113">
        <v>0</v>
      </c>
      <c r="Q56" s="114" t="e">
        <f t="shared" si="8"/>
        <v>#DIV/0!</v>
      </c>
      <c r="R56" s="115"/>
      <c r="S56" s="316">
        <v>43100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customFormat="1" ht="31.5">
      <c r="A57" s="107">
        <f t="shared" si="6"/>
        <v>38</v>
      </c>
      <c r="B57" s="276" t="s">
        <v>375</v>
      </c>
      <c r="C57" s="108">
        <v>1957</v>
      </c>
      <c r="D57" s="108"/>
      <c r="E57" s="109" t="s">
        <v>218</v>
      </c>
      <c r="F57" s="110">
        <v>4</v>
      </c>
      <c r="G57" s="110">
        <v>4</v>
      </c>
      <c r="H57" s="111"/>
      <c r="I57" s="111"/>
      <c r="J57" s="111"/>
      <c r="K57" s="112"/>
      <c r="L57" s="113">
        <v>3045081</v>
      </c>
      <c r="M57" s="113">
        <v>0</v>
      </c>
      <c r="N57" s="113">
        <v>0</v>
      </c>
      <c r="O57" s="113">
        <f t="shared" si="7"/>
        <v>3045081</v>
      </c>
      <c r="P57" s="113">
        <v>0</v>
      </c>
      <c r="Q57" s="114" t="e">
        <f t="shared" si="8"/>
        <v>#DIV/0!</v>
      </c>
      <c r="R57" s="115"/>
      <c r="S57" s="316">
        <v>43100</v>
      </c>
    </row>
    <row r="58" spans="1:48" customFormat="1" ht="31.5">
      <c r="A58" s="107">
        <f t="shared" si="6"/>
        <v>39</v>
      </c>
      <c r="B58" s="276" t="s">
        <v>380</v>
      </c>
      <c r="C58" s="108">
        <v>1954</v>
      </c>
      <c r="D58" s="108"/>
      <c r="E58" s="109" t="s">
        <v>218</v>
      </c>
      <c r="F58" s="110">
        <v>3</v>
      </c>
      <c r="G58" s="110">
        <v>3</v>
      </c>
      <c r="H58" s="111"/>
      <c r="I58" s="111"/>
      <c r="J58" s="111"/>
      <c r="K58" s="112"/>
      <c r="L58" s="113">
        <v>2244806</v>
      </c>
      <c r="M58" s="113">
        <v>0</v>
      </c>
      <c r="N58" s="113">
        <v>0</v>
      </c>
      <c r="O58" s="113">
        <f t="shared" si="7"/>
        <v>2244806</v>
      </c>
      <c r="P58" s="113">
        <v>0</v>
      </c>
      <c r="Q58" s="114" t="e">
        <f t="shared" si="8"/>
        <v>#DIV/0!</v>
      </c>
      <c r="R58" s="115"/>
      <c r="S58" s="316">
        <v>43100</v>
      </c>
    </row>
    <row r="59" spans="1:48" customFormat="1" ht="31.5">
      <c r="A59" s="107">
        <f t="shared" si="6"/>
        <v>40</v>
      </c>
      <c r="B59" s="276" t="s">
        <v>374</v>
      </c>
      <c r="C59" s="108">
        <v>1963</v>
      </c>
      <c r="D59" s="108"/>
      <c r="E59" s="109" t="s">
        <v>218</v>
      </c>
      <c r="F59" s="110">
        <v>4</v>
      </c>
      <c r="G59" s="110">
        <v>2</v>
      </c>
      <c r="H59" s="111"/>
      <c r="I59" s="111"/>
      <c r="J59" s="111"/>
      <c r="K59" s="112"/>
      <c r="L59" s="113">
        <v>1361273</v>
      </c>
      <c r="M59" s="113">
        <v>0</v>
      </c>
      <c r="N59" s="113">
        <v>0</v>
      </c>
      <c r="O59" s="113">
        <f t="shared" si="7"/>
        <v>1361273</v>
      </c>
      <c r="P59" s="113">
        <v>0</v>
      </c>
      <c r="Q59" s="114" t="e">
        <f t="shared" si="8"/>
        <v>#DIV/0!</v>
      </c>
      <c r="R59" s="115"/>
      <c r="S59" s="316">
        <v>43100</v>
      </c>
    </row>
    <row r="60" spans="1:48" customFormat="1" ht="31.5">
      <c r="A60" s="107">
        <f t="shared" si="6"/>
        <v>41</v>
      </c>
      <c r="B60" s="276" t="s">
        <v>469</v>
      </c>
      <c r="C60" s="108">
        <v>1959</v>
      </c>
      <c r="D60" s="108"/>
      <c r="E60" s="109" t="s">
        <v>218</v>
      </c>
      <c r="F60" s="110">
        <v>4</v>
      </c>
      <c r="G60" s="110">
        <v>4</v>
      </c>
      <c r="H60" s="111"/>
      <c r="I60" s="111"/>
      <c r="J60" s="111"/>
      <c r="K60" s="112"/>
      <c r="L60" s="113">
        <v>2421596</v>
      </c>
      <c r="M60" s="113">
        <v>0</v>
      </c>
      <c r="N60" s="113">
        <v>0</v>
      </c>
      <c r="O60" s="113">
        <f t="shared" si="7"/>
        <v>2421596</v>
      </c>
      <c r="P60" s="113">
        <v>0</v>
      </c>
      <c r="Q60" s="114" t="e">
        <f t="shared" si="8"/>
        <v>#DIV/0!</v>
      </c>
      <c r="R60" s="115"/>
      <c r="S60" s="316">
        <v>43100</v>
      </c>
    </row>
    <row r="61" spans="1:48" customFormat="1" ht="31.5">
      <c r="A61" s="107">
        <f t="shared" si="6"/>
        <v>42</v>
      </c>
      <c r="B61" s="276" t="s">
        <v>379</v>
      </c>
      <c r="C61" s="108">
        <v>1967</v>
      </c>
      <c r="D61" s="108"/>
      <c r="E61" s="109" t="s">
        <v>218</v>
      </c>
      <c r="F61" s="110">
        <v>6</v>
      </c>
      <c r="G61" s="110">
        <v>5</v>
      </c>
      <c r="H61" s="111"/>
      <c r="I61" s="111"/>
      <c r="J61" s="111"/>
      <c r="K61" s="112"/>
      <c r="L61" s="113">
        <v>2056315</v>
      </c>
      <c r="M61" s="113">
        <v>0</v>
      </c>
      <c r="N61" s="113">
        <v>0</v>
      </c>
      <c r="O61" s="113">
        <f t="shared" si="7"/>
        <v>2056315</v>
      </c>
      <c r="P61" s="113">
        <v>0</v>
      </c>
      <c r="Q61" s="114" t="e">
        <f t="shared" si="8"/>
        <v>#DIV/0!</v>
      </c>
      <c r="R61" s="115"/>
      <c r="S61" s="316">
        <v>43100</v>
      </c>
    </row>
    <row r="62" spans="1:48" customFormat="1" ht="31.5">
      <c r="A62" s="107">
        <f t="shared" si="6"/>
        <v>43</v>
      </c>
      <c r="B62" s="276" t="s">
        <v>372</v>
      </c>
      <c r="C62" s="118">
        <v>1975</v>
      </c>
      <c r="D62" s="118"/>
      <c r="E62" s="109" t="s">
        <v>218</v>
      </c>
      <c r="F62" s="118">
        <v>9</v>
      </c>
      <c r="G62" s="118">
        <v>5</v>
      </c>
      <c r="H62" s="118"/>
      <c r="I62" s="118"/>
      <c r="J62" s="118"/>
      <c r="K62" s="119"/>
      <c r="L62" s="113">
        <v>9473593</v>
      </c>
      <c r="M62" s="113">
        <v>0</v>
      </c>
      <c r="N62" s="113">
        <v>0</v>
      </c>
      <c r="O62" s="113">
        <f t="shared" si="7"/>
        <v>9473593</v>
      </c>
      <c r="P62" s="113">
        <v>0</v>
      </c>
      <c r="Q62" s="114" t="e">
        <f t="shared" si="8"/>
        <v>#DIV/0!</v>
      </c>
      <c r="R62" s="115"/>
      <c r="S62" s="316">
        <v>43100</v>
      </c>
    </row>
    <row r="63" spans="1:48" customFormat="1" ht="31.5">
      <c r="A63" s="107">
        <f t="shared" si="6"/>
        <v>44</v>
      </c>
      <c r="B63" s="275" t="s">
        <v>344</v>
      </c>
      <c r="C63" s="107">
        <v>1968</v>
      </c>
      <c r="D63" s="108"/>
      <c r="E63" s="109" t="s">
        <v>218</v>
      </c>
      <c r="F63" s="108">
        <v>5</v>
      </c>
      <c r="G63" s="108">
        <v>6</v>
      </c>
      <c r="H63" s="117"/>
      <c r="I63" s="117"/>
      <c r="J63" s="102"/>
      <c r="K63" s="101"/>
      <c r="L63" s="113">
        <v>4441828</v>
      </c>
      <c r="M63" s="113">
        <v>0</v>
      </c>
      <c r="N63" s="113">
        <v>0</v>
      </c>
      <c r="O63" s="113">
        <f t="shared" si="7"/>
        <v>4441828</v>
      </c>
      <c r="P63" s="113">
        <v>0</v>
      </c>
      <c r="Q63" s="114" t="e">
        <f t="shared" si="8"/>
        <v>#DIV/0!</v>
      </c>
      <c r="R63" s="115"/>
      <c r="S63" s="316">
        <v>43100</v>
      </c>
    </row>
    <row r="64" spans="1:48" customFormat="1" ht="15.75">
      <c r="A64" s="107">
        <f t="shared" si="6"/>
        <v>45</v>
      </c>
      <c r="B64" s="276" t="s">
        <v>348</v>
      </c>
      <c r="C64" s="108">
        <v>1977</v>
      </c>
      <c r="D64" s="108"/>
      <c r="E64" s="109" t="s">
        <v>219</v>
      </c>
      <c r="F64" s="110">
        <v>5</v>
      </c>
      <c r="G64" s="110">
        <v>8</v>
      </c>
      <c r="H64" s="111"/>
      <c r="I64" s="111"/>
      <c r="J64" s="111"/>
      <c r="K64" s="112"/>
      <c r="L64" s="113">
        <v>3051089</v>
      </c>
      <c r="M64" s="113">
        <v>0</v>
      </c>
      <c r="N64" s="113">
        <v>0</v>
      </c>
      <c r="O64" s="113">
        <f t="shared" si="7"/>
        <v>3051089</v>
      </c>
      <c r="P64" s="113">
        <v>0</v>
      </c>
      <c r="Q64" s="114" t="e">
        <f t="shared" si="8"/>
        <v>#DIV/0!</v>
      </c>
      <c r="R64" s="115"/>
      <c r="S64" s="316">
        <v>43100</v>
      </c>
    </row>
    <row r="65" spans="1:48" customFormat="1" ht="31.5">
      <c r="A65" s="107">
        <f t="shared" si="6"/>
        <v>46</v>
      </c>
      <c r="B65" s="275" t="s">
        <v>386</v>
      </c>
      <c r="C65" s="118">
        <v>1956</v>
      </c>
      <c r="D65" s="118"/>
      <c r="E65" s="109" t="s">
        <v>218</v>
      </c>
      <c r="F65" s="118">
        <v>2</v>
      </c>
      <c r="G65" s="118">
        <v>2</v>
      </c>
      <c r="H65" s="118"/>
      <c r="I65" s="118"/>
      <c r="J65" s="118"/>
      <c r="K65" s="119"/>
      <c r="L65" s="113">
        <v>869749</v>
      </c>
      <c r="M65" s="113">
        <v>0</v>
      </c>
      <c r="N65" s="113">
        <v>0</v>
      </c>
      <c r="O65" s="113">
        <f t="shared" si="7"/>
        <v>869749</v>
      </c>
      <c r="P65" s="113">
        <v>0</v>
      </c>
      <c r="Q65" s="114" t="e">
        <f t="shared" si="8"/>
        <v>#DIV/0!</v>
      </c>
      <c r="R65" s="115"/>
      <c r="S65" s="316">
        <v>43100</v>
      </c>
    </row>
    <row r="66" spans="1:48" customFormat="1" ht="31.5">
      <c r="A66" s="107">
        <f t="shared" si="6"/>
        <v>47</v>
      </c>
      <c r="B66" s="275" t="s">
        <v>461</v>
      </c>
      <c r="C66" s="108">
        <v>1956</v>
      </c>
      <c r="D66" s="108"/>
      <c r="E66" s="109" t="s">
        <v>218</v>
      </c>
      <c r="F66" s="110">
        <v>2</v>
      </c>
      <c r="G66" s="110">
        <v>2</v>
      </c>
      <c r="H66" s="111"/>
      <c r="I66" s="111"/>
      <c r="J66" s="111"/>
      <c r="K66" s="112"/>
      <c r="L66" s="113">
        <v>869880</v>
      </c>
      <c r="M66" s="113">
        <v>0</v>
      </c>
      <c r="N66" s="113">
        <v>0</v>
      </c>
      <c r="O66" s="113">
        <f t="shared" si="7"/>
        <v>869880</v>
      </c>
      <c r="P66" s="113">
        <v>0</v>
      </c>
      <c r="Q66" s="114" t="e">
        <f t="shared" si="8"/>
        <v>#DIV/0!</v>
      </c>
      <c r="R66" s="115"/>
      <c r="S66" s="316">
        <v>43100</v>
      </c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</row>
    <row r="67" spans="1:48" customFormat="1" ht="31.5">
      <c r="A67" s="107">
        <f t="shared" si="6"/>
        <v>48</v>
      </c>
      <c r="B67" s="276" t="s">
        <v>462</v>
      </c>
      <c r="C67" s="108">
        <v>1959</v>
      </c>
      <c r="D67" s="116"/>
      <c r="E67" s="109" t="s">
        <v>218</v>
      </c>
      <c r="F67" s="110">
        <v>2</v>
      </c>
      <c r="G67" s="110">
        <v>2</v>
      </c>
      <c r="H67" s="111"/>
      <c r="I67" s="111"/>
      <c r="J67" s="111"/>
      <c r="K67" s="112"/>
      <c r="L67" s="113">
        <v>172302</v>
      </c>
      <c r="M67" s="113">
        <v>0</v>
      </c>
      <c r="N67" s="113">
        <v>0</v>
      </c>
      <c r="O67" s="113">
        <f t="shared" si="7"/>
        <v>172302</v>
      </c>
      <c r="P67" s="113">
        <v>0</v>
      </c>
      <c r="Q67" s="114" t="e">
        <f t="shared" si="8"/>
        <v>#DIV/0!</v>
      </c>
      <c r="R67" s="115"/>
      <c r="S67" s="316">
        <v>43100</v>
      </c>
    </row>
    <row r="68" spans="1:48" customFormat="1" ht="31.5">
      <c r="A68" s="107">
        <f t="shared" si="6"/>
        <v>49</v>
      </c>
      <c r="B68" s="276" t="s">
        <v>389</v>
      </c>
      <c r="C68" s="108">
        <v>1910</v>
      </c>
      <c r="D68" s="108"/>
      <c r="E68" s="109" t="s">
        <v>218</v>
      </c>
      <c r="F68" s="110">
        <v>4</v>
      </c>
      <c r="G68" s="110">
        <v>1</v>
      </c>
      <c r="H68" s="111"/>
      <c r="I68" s="111"/>
      <c r="J68" s="111"/>
      <c r="K68" s="112"/>
      <c r="L68" s="113">
        <v>3706393</v>
      </c>
      <c r="M68" s="113">
        <v>0</v>
      </c>
      <c r="N68" s="113">
        <v>0</v>
      </c>
      <c r="O68" s="113">
        <f t="shared" si="7"/>
        <v>3706393</v>
      </c>
      <c r="P68" s="113">
        <v>0</v>
      </c>
      <c r="Q68" s="114" t="e">
        <f t="shared" si="8"/>
        <v>#DIV/0!</v>
      </c>
      <c r="R68" s="115"/>
      <c r="S68" s="316">
        <v>43100</v>
      </c>
    </row>
    <row r="69" spans="1:48" customFormat="1" ht="31.5">
      <c r="A69" s="107">
        <f t="shared" si="6"/>
        <v>50</v>
      </c>
      <c r="B69" s="276" t="s">
        <v>317</v>
      </c>
      <c r="C69" s="118">
        <v>1914</v>
      </c>
      <c r="D69" s="118"/>
      <c r="E69" s="109" t="s">
        <v>218</v>
      </c>
      <c r="F69" s="118">
        <v>4</v>
      </c>
      <c r="G69" s="118">
        <v>5</v>
      </c>
      <c r="H69" s="118"/>
      <c r="I69" s="118"/>
      <c r="J69" s="118"/>
      <c r="K69" s="119"/>
      <c r="L69" s="113">
        <v>698585</v>
      </c>
      <c r="M69" s="113">
        <v>0</v>
      </c>
      <c r="N69" s="113">
        <v>0</v>
      </c>
      <c r="O69" s="113">
        <f t="shared" si="7"/>
        <v>698585</v>
      </c>
      <c r="P69" s="113">
        <v>0</v>
      </c>
      <c r="Q69" s="114" t="e">
        <f t="shared" si="8"/>
        <v>#DIV/0!</v>
      </c>
      <c r="R69" s="115"/>
      <c r="S69" s="316">
        <v>43100</v>
      </c>
    </row>
    <row r="70" spans="1:48" customFormat="1" ht="31.5">
      <c r="A70" s="107">
        <f t="shared" si="6"/>
        <v>51</v>
      </c>
      <c r="B70" s="276" t="s">
        <v>384</v>
      </c>
      <c r="C70" s="118" t="s">
        <v>190</v>
      </c>
      <c r="D70" s="118"/>
      <c r="E70" s="109" t="s">
        <v>218</v>
      </c>
      <c r="F70" s="118">
        <v>2</v>
      </c>
      <c r="G70" s="118">
        <v>3</v>
      </c>
      <c r="H70" s="118"/>
      <c r="I70" s="118"/>
      <c r="J70" s="118"/>
      <c r="K70" s="119"/>
      <c r="L70" s="113">
        <v>951740</v>
      </c>
      <c r="M70" s="113">
        <v>0</v>
      </c>
      <c r="N70" s="113">
        <v>0</v>
      </c>
      <c r="O70" s="113">
        <f t="shared" si="7"/>
        <v>951740</v>
      </c>
      <c r="P70" s="113">
        <v>0</v>
      </c>
      <c r="Q70" s="114" t="e">
        <f t="shared" si="8"/>
        <v>#DIV/0!</v>
      </c>
      <c r="R70" s="115"/>
      <c r="S70" s="316">
        <v>43100</v>
      </c>
    </row>
    <row r="71" spans="1:48" customFormat="1" ht="31.5">
      <c r="A71" s="107">
        <f t="shared" si="6"/>
        <v>52</v>
      </c>
      <c r="B71" s="275" t="s">
        <v>247</v>
      </c>
      <c r="C71" s="118">
        <v>1953</v>
      </c>
      <c r="D71" s="118"/>
      <c r="E71" s="109" t="s">
        <v>218</v>
      </c>
      <c r="F71" s="118">
        <v>3</v>
      </c>
      <c r="G71" s="118">
        <v>3</v>
      </c>
      <c r="H71" s="118"/>
      <c r="I71" s="118"/>
      <c r="J71" s="118"/>
      <c r="K71" s="119"/>
      <c r="L71" s="113">
        <v>2056139</v>
      </c>
      <c r="M71" s="113">
        <v>0</v>
      </c>
      <c r="N71" s="113">
        <v>0</v>
      </c>
      <c r="O71" s="113">
        <f t="shared" si="7"/>
        <v>2056139</v>
      </c>
      <c r="P71" s="113">
        <v>0</v>
      </c>
      <c r="Q71" s="114" t="e">
        <f t="shared" si="8"/>
        <v>#DIV/0!</v>
      </c>
      <c r="R71" s="115"/>
      <c r="S71" s="316">
        <v>43100</v>
      </c>
    </row>
    <row r="72" spans="1:48" customFormat="1" ht="31.5">
      <c r="A72" s="107">
        <f t="shared" si="6"/>
        <v>53</v>
      </c>
      <c r="B72" s="276" t="s">
        <v>274</v>
      </c>
      <c r="C72" s="107">
        <v>1958</v>
      </c>
      <c r="D72" s="108"/>
      <c r="E72" s="109" t="s">
        <v>218</v>
      </c>
      <c r="F72" s="108">
        <v>2</v>
      </c>
      <c r="G72" s="108">
        <v>2</v>
      </c>
      <c r="H72" s="117"/>
      <c r="I72" s="117"/>
      <c r="J72" s="117"/>
      <c r="K72" s="101"/>
      <c r="L72" s="113">
        <v>1321356</v>
      </c>
      <c r="M72" s="113">
        <v>0</v>
      </c>
      <c r="N72" s="113">
        <v>0</v>
      </c>
      <c r="O72" s="113">
        <f t="shared" si="7"/>
        <v>1321356</v>
      </c>
      <c r="P72" s="113">
        <v>0</v>
      </c>
      <c r="Q72" s="114" t="e">
        <f t="shared" si="8"/>
        <v>#DIV/0!</v>
      </c>
      <c r="R72" s="115"/>
      <c r="S72" s="316">
        <v>43100</v>
      </c>
    </row>
    <row r="73" spans="1:48" customFormat="1" ht="31.5">
      <c r="A73" s="107">
        <f t="shared" si="6"/>
        <v>54</v>
      </c>
      <c r="B73" s="276" t="s">
        <v>338</v>
      </c>
      <c r="C73" s="118">
        <v>1959</v>
      </c>
      <c r="D73" s="118"/>
      <c r="E73" s="109" t="s">
        <v>218</v>
      </c>
      <c r="F73" s="118">
        <v>2</v>
      </c>
      <c r="G73" s="118">
        <v>2</v>
      </c>
      <c r="H73" s="118"/>
      <c r="I73" s="118"/>
      <c r="J73" s="118"/>
      <c r="K73" s="119"/>
      <c r="L73" s="113">
        <v>1679278</v>
      </c>
      <c r="M73" s="113">
        <v>0</v>
      </c>
      <c r="N73" s="113">
        <v>0</v>
      </c>
      <c r="O73" s="113">
        <f t="shared" si="7"/>
        <v>1679278</v>
      </c>
      <c r="P73" s="113">
        <v>0</v>
      </c>
      <c r="Q73" s="114" t="e">
        <f t="shared" si="8"/>
        <v>#DIV/0!</v>
      </c>
      <c r="R73" s="115"/>
      <c r="S73" s="316">
        <v>43100</v>
      </c>
    </row>
    <row r="74" spans="1:48" customFormat="1" ht="31.5">
      <c r="A74" s="107">
        <f t="shared" si="6"/>
        <v>55</v>
      </c>
      <c r="B74" s="276" t="s">
        <v>272</v>
      </c>
      <c r="C74" s="118">
        <v>1959</v>
      </c>
      <c r="D74" s="118"/>
      <c r="E74" s="109" t="s">
        <v>218</v>
      </c>
      <c r="F74" s="118">
        <v>2</v>
      </c>
      <c r="G74" s="118">
        <v>2</v>
      </c>
      <c r="H74" s="118"/>
      <c r="I74" s="118"/>
      <c r="J74" s="118"/>
      <c r="K74" s="119"/>
      <c r="L74" s="113">
        <v>1100896</v>
      </c>
      <c r="M74" s="113">
        <v>0</v>
      </c>
      <c r="N74" s="113">
        <v>0</v>
      </c>
      <c r="O74" s="113">
        <f t="shared" si="7"/>
        <v>1100896</v>
      </c>
      <c r="P74" s="113">
        <v>0</v>
      </c>
      <c r="Q74" s="114" t="e">
        <f t="shared" si="8"/>
        <v>#DIV/0!</v>
      </c>
      <c r="R74" s="115"/>
      <c r="S74" s="316">
        <v>43100</v>
      </c>
    </row>
    <row r="75" spans="1:48" customFormat="1" ht="31.5">
      <c r="A75" s="107">
        <f t="shared" si="6"/>
        <v>56</v>
      </c>
      <c r="B75" s="276" t="s">
        <v>337</v>
      </c>
      <c r="C75" s="118">
        <v>1959</v>
      </c>
      <c r="D75" s="118"/>
      <c r="E75" s="109" t="s">
        <v>218</v>
      </c>
      <c r="F75" s="118">
        <v>2</v>
      </c>
      <c r="G75" s="118">
        <v>2</v>
      </c>
      <c r="H75" s="118"/>
      <c r="I75" s="118"/>
      <c r="J75" s="118"/>
      <c r="K75" s="119"/>
      <c r="L75" s="113">
        <v>1729707</v>
      </c>
      <c r="M75" s="113">
        <v>0</v>
      </c>
      <c r="N75" s="113">
        <v>0</v>
      </c>
      <c r="O75" s="113">
        <f t="shared" si="7"/>
        <v>1729707</v>
      </c>
      <c r="P75" s="113">
        <v>0</v>
      </c>
      <c r="Q75" s="114" t="e">
        <f t="shared" si="8"/>
        <v>#DIV/0!</v>
      </c>
      <c r="R75" s="115"/>
      <c r="S75" s="316">
        <v>43100</v>
      </c>
    </row>
    <row r="76" spans="1:48" customFormat="1" ht="31.5">
      <c r="A76" s="107">
        <f t="shared" si="6"/>
        <v>57</v>
      </c>
      <c r="B76" s="275" t="s">
        <v>257</v>
      </c>
      <c r="C76" s="118">
        <v>1959</v>
      </c>
      <c r="D76" s="118"/>
      <c r="E76" s="109" t="s">
        <v>218</v>
      </c>
      <c r="F76" s="118">
        <v>2</v>
      </c>
      <c r="G76" s="118">
        <v>2</v>
      </c>
      <c r="H76" s="118"/>
      <c r="I76" s="118"/>
      <c r="J76" s="118"/>
      <c r="K76" s="119"/>
      <c r="L76" s="113">
        <v>451222.57</v>
      </c>
      <c r="M76" s="113">
        <v>0</v>
      </c>
      <c r="N76" s="113">
        <v>0</v>
      </c>
      <c r="O76" s="113">
        <f t="shared" si="7"/>
        <v>451222.57</v>
      </c>
      <c r="P76" s="113">
        <v>0</v>
      </c>
      <c r="Q76" s="114" t="e">
        <f t="shared" si="8"/>
        <v>#DIV/0!</v>
      </c>
      <c r="R76" s="115"/>
      <c r="S76" s="316">
        <v>43100</v>
      </c>
    </row>
    <row r="77" spans="1:48" customFormat="1" ht="31.5">
      <c r="A77" s="107">
        <f t="shared" si="6"/>
        <v>58</v>
      </c>
      <c r="B77" s="276" t="s">
        <v>307</v>
      </c>
      <c r="C77" s="108">
        <v>1959</v>
      </c>
      <c r="D77" s="108"/>
      <c r="E77" s="109" t="s">
        <v>218</v>
      </c>
      <c r="F77" s="110">
        <v>2</v>
      </c>
      <c r="G77" s="110">
        <v>1</v>
      </c>
      <c r="H77" s="111"/>
      <c r="I77" s="111"/>
      <c r="J77" s="111"/>
      <c r="K77" s="112"/>
      <c r="L77" s="113">
        <v>703675.57</v>
      </c>
      <c r="M77" s="113">
        <v>0</v>
      </c>
      <c r="N77" s="113">
        <v>0</v>
      </c>
      <c r="O77" s="113">
        <f t="shared" si="7"/>
        <v>703675.57</v>
      </c>
      <c r="P77" s="113">
        <v>0</v>
      </c>
      <c r="Q77" s="114" t="e">
        <f t="shared" si="8"/>
        <v>#DIV/0!</v>
      </c>
      <c r="R77" s="115"/>
      <c r="S77" s="316">
        <v>43100</v>
      </c>
    </row>
    <row r="78" spans="1:48" customFormat="1" ht="31.5">
      <c r="A78" s="107">
        <f t="shared" si="6"/>
        <v>59</v>
      </c>
      <c r="B78" s="276" t="s">
        <v>268</v>
      </c>
      <c r="C78" s="118">
        <v>1959</v>
      </c>
      <c r="D78" s="118"/>
      <c r="E78" s="109" t="s">
        <v>218</v>
      </c>
      <c r="F78" s="118">
        <v>4</v>
      </c>
      <c r="G78" s="118">
        <v>3</v>
      </c>
      <c r="H78" s="118"/>
      <c r="I78" s="118"/>
      <c r="J78" s="118"/>
      <c r="K78" s="119"/>
      <c r="L78" s="113">
        <v>1053533.22</v>
      </c>
      <c r="M78" s="113">
        <v>0</v>
      </c>
      <c r="N78" s="113">
        <v>0</v>
      </c>
      <c r="O78" s="113">
        <f t="shared" si="7"/>
        <v>1053533.22</v>
      </c>
      <c r="P78" s="113">
        <v>0</v>
      </c>
      <c r="Q78" s="114" t="e">
        <f t="shared" si="8"/>
        <v>#DIV/0!</v>
      </c>
      <c r="R78" s="115"/>
      <c r="S78" s="316">
        <v>43100</v>
      </c>
    </row>
    <row r="79" spans="1:48" customFormat="1" ht="31.5">
      <c r="A79" s="107">
        <f t="shared" si="6"/>
        <v>60</v>
      </c>
      <c r="B79" s="275" t="s">
        <v>246</v>
      </c>
      <c r="C79" s="118">
        <v>1979</v>
      </c>
      <c r="D79" s="118"/>
      <c r="E79" s="109" t="s">
        <v>218</v>
      </c>
      <c r="F79" s="118">
        <v>9</v>
      </c>
      <c r="G79" s="118">
        <v>1</v>
      </c>
      <c r="H79" s="118"/>
      <c r="I79" s="118"/>
      <c r="J79" s="118"/>
      <c r="K79" s="119"/>
      <c r="L79" s="113">
        <v>1253738</v>
      </c>
      <c r="M79" s="113">
        <v>0</v>
      </c>
      <c r="N79" s="113">
        <v>0</v>
      </c>
      <c r="O79" s="113">
        <f t="shared" si="7"/>
        <v>1253738</v>
      </c>
      <c r="P79" s="113">
        <v>0</v>
      </c>
      <c r="Q79" s="114" t="e">
        <f t="shared" si="8"/>
        <v>#DIV/0!</v>
      </c>
      <c r="R79" s="115"/>
      <c r="S79" s="316">
        <v>43100</v>
      </c>
    </row>
    <row r="80" spans="1:48" customFormat="1" ht="15.75">
      <c r="A80" s="107">
        <f t="shared" si="6"/>
        <v>61</v>
      </c>
      <c r="B80" s="284" t="s">
        <v>470</v>
      </c>
      <c r="C80" s="108">
        <v>1984</v>
      </c>
      <c r="D80" s="108"/>
      <c r="E80" s="109" t="s">
        <v>219</v>
      </c>
      <c r="F80" s="110">
        <v>9</v>
      </c>
      <c r="G80" s="110">
        <v>1</v>
      </c>
      <c r="H80" s="111"/>
      <c r="I80" s="111"/>
      <c r="J80" s="111"/>
      <c r="K80" s="112"/>
      <c r="L80" s="113">
        <v>1870046</v>
      </c>
      <c r="M80" s="113">
        <v>0</v>
      </c>
      <c r="N80" s="113">
        <v>0</v>
      </c>
      <c r="O80" s="113">
        <f t="shared" si="7"/>
        <v>1870046</v>
      </c>
      <c r="P80" s="113">
        <v>0</v>
      </c>
      <c r="Q80" s="114" t="e">
        <f t="shared" si="8"/>
        <v>#DIV/0!</v>
      </c>
      <c r="R80" s="115"/>
      <c r="S80" s="316">
        <v>43100</v>
      </c>
    </row>
    <row r="81" spans="1:19" customFormat="1" ht="15.75">
      <c r="A81" s="107">
        <f t="shared" si="6"/>
        <v>62</v>
      </c>
      <c r="B81" s="276" t="s">
        <v>350</v>
      </c>
      <c r="C81" s="108">
        <v>1984</v>
      </c>
      <c r="D81" s="108"/>
      <c r="E81" s="109" t="s">
        <v>219</v>
      </c>
      <c r="F81" s="110">
        <v>9</v>
      </c>
      <c r="G81" s="110">
        <v>2</v>
      </c>
      <c r="H81" s="111"/>
      <c r="I81" s="111"/>
      <c r="J81" s="111"/>
      <c r="K81" s="112"/>
      <c r="L81" s="113">
        <v>3720676</v>
      </c>
      <c r="M81" s="113">
        <v>0</v>
      </c>
      <c r="N81" s="113">
        <v>0</v>
      </c>
      <c r="O81" s="113">
        <f t="shared" si="7"/>
        <v>3720676</v>
      </c>
      <c r="P81" s="113">
        <v>0</v>
      </c>
      <c r="Q81" s="114" t="e">
        <f t="shared" si="8"/>
        <v>#DIV/0!</v>
      </c>
      <c r="R81" s="115"/>
      <c r="S81" s="316">
        <v>43100</v>
      </c>
    </row>
    <row r="82" spans="1:19" customFormat="1" ht="31.5">
      <c r="A82" s="107">
        <f t="shared" si="6"/>
        <v>63</v>
      </c>
      <c r="B82" s="276" t="s">
        <v>251</v>
      </c>
      <c r="C82" s="118">
        <v>1977</v>
      </c>
      <c r="D82" s="118"/>
      <c r="E82" s="109" t="s">
        <v>218</v>
      </c>
      <c r="F82" s="118">
        <v>5</v>
      </c>
      <c r="G82" s="118">
        <v>6</v>
      </c>
      <c r="H82" s="118"/>
      <c r="I82" s="118"/>
      <c r="J82" s="118"/>
      <c r="K82" s="119"/>
      <c r="L82" s="113">
        <v>3687908</v>
      </c>
      <c r="M82" s="113">
        <v>0</v>
      </c>
      <c r="N82" s="113">
        <v>0</v>
      </c>
      <c r="O82" s="113">
        <f t="shared" si="7"/>
        <v>3687908</v>
      </c>
      <c r="P82" s="113">
        <v>0</v>
      </c>
      <c r="Q82" s="114" t="e">
        <f t="shared" si="8"/>
        <v>#DIV/0!</v>
      </c>
      <c r="R82" s="115"/>
      <c r="S82" s="316">
        <v>43100</v>
      </c>
    </row>
    <row r="83" spans="1:19" customFormat="1" ht="31.5">
      <c r="A83" s="107">
        <f t="shared" si="6"/>
        <v>64</v>
      </c>
      <c r="B83" s="276" t="s">
        <v>226</v>
      </c>
      <c r="C83" s="118">
        <v>1933</v>
      </c>
      <c r="D83" s="118"/>
      <c r="E83" s="109" t="s">
        <v>218</v>
      </c>
      <c r="F83" s="118">
        <v>4</v>
      </c>
      <c r="G83" s="118">
        <v>5</v>
      </c>
      <c r="H83" s="118"/>
      <c r="I83" s="118"/>
      <c r="J83" s="118"/>
      <c r="K83" s="119"/>
      <c r="L83" s="113">
        <v>1760967.35</v>
      </c>
      <c r="M83" s="113">
        <v>0</v>
      </c>
      <c r="N83" s="113">
        <v>0</v>
      </c>
      <c r="O83" s="113">
        <f t="shared" si="7"/>
        <v>1760967.35</v>
      </c>
      <c r="P83" s="113">
        <v>0</v>
      </c>
      <c r="Q83" s="114" t="e">
        <f t="shared" si="8"/>
        <v>#DIV/0!</v>
      </c>
      <c r="R83" s="115"/>
      <c r="S83" s="316">
        <v>43100</v>
      </c>
    </row>
    <row r="84" spans="1:19" customFormat="1" ht="31.5">
      <c r="A84" s="107">
        <f t="shared" si="6"/>
        <v>65</v>
      </c>
      <c r="B84" s="276" t="s">
        <v>271</v>
      </c>
      <c r="C84" s="118">
        <v>1961</v>
      </c>
      <c r="D84" s="118"/>
      <c r="E84" s="109" t="s">
        <v>218</v>
      </c>
      <c r="F84" s="118">
        <v>5</v>
      </c>
      <c r="G84" s="118">
        <v>4</v>
      </c>
      <c r="H84" s="118"/>
      <c r="I84" s="118"/>
      <c r="J84" s="118"/>
      <c r="K84" s="119"/>
      <c r="L84" s="113">
        <v>881947</v>
      </c>
      <c r="M84" s="113">
        <v>0</v>
      </c>
      <c r="N84" s="113">
        <v>0</v>
      </c>
      <c r="O84" s="113">
        <f t="shared" ref="O84:O115" si="9">L84</f>
        <v>881947</v>
      </c>
      <c r="P84" s="113">
        <v>0</v>
      </c>
      <c r="Q84" s="114" t="e">
        <f t="shared" ref="Q84:Q115" si="10">L84/I84</f>
        <v>#DIV/0!</v>
      </c>
      <c r="R84" s="115"/>
      <c r="S84" s="316">
        <v>43100</v>
      </c>
    </row>
    <row r="85" spans="1:19" customFormat="1" ht="31.5">
      <c r="A85" s="107">
        <f t="shared" si="6"/>
        <v>66</v>
      </c>
      <c r="B85" s="276" t="s">
        <v>287</v>
      </c>
      <c r="C85" s="108">
        <v>1960</v>
      </c>
      <c r="D85" s="108"/>
      <c r="E85" s="109" t="s">
        <v>218</v>
      </c>
      <c r="F85" s="110">
        <v>2</v>
      </c>
      <c r="G85" s="110">
        <v>2</v>
      </c>
      <c r="H85" s="111"/>
      <c r="I85" s="111"/>
      <c r="J85" s="111"/>
      <c r="K85" s="112"/>
      <c r="L85" s="113">
        <v>517739</v>
      </c>
      <c r="M85" s="113">
        <v>0</v>
      </c>
      <c r="N85" s="113">
        <v>0</v>
      </c>
      <c r="O85" s="113">
        <f t="shared" si="9"/>
        <v>517739</v>
      </c>
      <c r="P85" s="113">
        <v>0</v>
      </c>
      <c r="Q85" s="114" t="e">
        <f t="shared" si="10"/>
        <v>#DIV/0!</v>
      </c>
      <c r="R85" s="115"/>
      <c r="S85" s="316">
        <v>43100</v>
      </c>
    </row>
    <row r="86" spans="1:19" customFormat="1" ht="31.5">
      <c r="A86" s="107">
        <f t="shared" ref="A86:A149" si="11">A85+1</f>
        <v>67</v>
      </c>
      <c r="B86" s="275" t="s">
        <v>289</v>
      </c>
      <c r="C86" s="108">
        <v>1966</v>
      </c>
      <c r="D86" s="108"/>
      <c r="E86" s="109" t="s">
        <v>218</v>
      </c>
      <c r="F86" s="110">
        <v>5</v>
      </c>
      <c r="G86" s="110">
        <v>4</v>
      </c>
      <c r="H86" s="111"/>
      <c r="I86" s="111"/>
      <c r="J86" s="111"/>
      <c r="K86" s="112"/>
      <c r="L86" s="113">
        <v>1728895</v>
      </c>
      <c r="M86" s="113">
        <v>0</v>
      </c>
      <c r="N86" s="113">
        <v>0</v>
      </c>
      <c r="O86" s="113">
        <f t="shared" si="9"/>
        <v>1728895</v>
      </c>
      <c r="P86" s="113">
        <v>0</v>
      </c>
      <c r="Q86" s="114" t="e">
        <f t="shared" si="10"/>
        <v>#DIV/0!</v>
      </c>
      <c r="R86" s="115"/>
      <c r="S86" s="316">
        <v>43100</v>
      </c>
    </row>
    <row r="87" spans="1:19" customFormat="1" ht="15.75">
      <c r="A87" s="107">
        <f t="shared" si="11"/>
        <v>68</v>
      </c>
      <c r="B87" s="276" t="s">
        <v>259</v>
      </c>
      <c r="C87" s="118">
        <v>1925</v>
      </c>
      <c r="D87" s="118"/>
      <c r="E87" s="109" t="s">
        <v>221</v>
      </c>
      <c r="F87" s="118">
        <v>2</v>
      </c>
      <c r="G87" s="118">
        <v>2</v>
      </c>
      <c r="H87" s="118"/>
      <c r="I87" s="118"/>
      <c r="J87" s="118"/>
      <c r="K87" s="119"/>
      <c r="L87" s="113">
        <v>682529</v>
      </c>
      <c r="M87" s="113">
        <v>0</v>
      </c>
      <c r="N87" s="113">
        <v>0</v>
      </c>
      <c r="O87" s="113">
        <f t="shared" si="9"/>
        <v>682529</v>
      </c>
      <c r="P87" s="113">
        <v>0</v>
      </c>
      <c r="Q87" s="114" t="e">
        <f t="shared" si="10"/>
        <v>#DIV/0!</v>
      </c>
      <c r="R87" s="115"/>
      <c r="S87" s="316">
        <v>43100</v>
      </c>
    </row>
    <row r="88" spans="1:19" customFormat="1" ht="15.75">
      <c r="A88" s="107">
        <f t="shared" si="11"/>
        <v>69</v>
      </c>
      <c r="B88" s="276" t="s">
        <v>291</v>
      </c>
      <c r="C88" s="108">
        <v>1900</v>
      </c>
      <c r="D88" s="108"/>
      <c r="E88" s="109" t="s">
        <v>221</v>
      </c>
      <c r="F88" s="110">
        <v>2</v>
      </c>
      <c r="G88" s="110">
        <v>2</v>
      </c>
      <c r="H88" s="111"/>
      <c r="I88" s="111"/>
      <c r="J88" s="111"/>
      <c r="K88" s="112"/>
      <c r="L88" s="113">
        <v>582157</v>
      </c>
      <c r="M88" s="113">
        <v>0</v>
      </c>
      <c r="N88" s="113">
        <v>0</v>
      </c>
      <c r="O88" s="113">
        <f t="shared" si="9"/>
        <v>582157</v>
      </c>
      <c r="P88" s="113">
        <v>0</v>
      </c>
      <c r="Q88" s="114" t="e">
        <f t="shared" si="10"/>
        <v>#DIV/0!</v>
      </c>
      <c r="R88" s="115"/>
      <c r="S88" s="316">
        <v>43100</v>
      </c>
    </row>
    <row r="89" spans="1:19" customFormat="1" ht="31.5">
      <c r="A89" s="107">
        <f t="shared" si="11"/>
        <v>70</v>
      </c>
      <c r="B89" s="276" t="s">
        <v>224</v>
      </c>
      <c r="C89" s="118">
        <v>1934</v>
      </c>
      <c r="D89" s="118"/>
      <c r="E89" s="109" t="s">
        <v>218</v>
      </c>
      <c r="F89" s="118">
        <v>3</v>
      </c>
      <c r="G89" s="118">
        <v>5</v>
      </c>
      <c r="H89" s="118"/>
      <c r="I89" s="118"/>
      <c r="J89" s="118"/>
      <c r="K89" s="119"/>
      <c r="L89" s="113">
        <v>701704</v>
      </c>
      <c r="M89" s="113">
        <v>0</v>
      </c>
      <c r="N89" s="113">
        <v>0</v>
      </c>
      <c r="O89" s="113">
        <f t="shared" si="9"/>
        <v>701704</v>
      </c>
      <c r="P89" s="113">
        <v>0</v>
      </c>
      <c r="Q89" s="114" t="e">
        <f t="shared" si="10"/>
        <v>#DIV/0!</v>
      </c>
      <c r="R89" s="115"/>
      <c r="S89" s="316">
        <v>43100</v>
      </c>
    </row>
    <row r="90" spans="1:19" customFormat="1" ht="15.75">
      <c r="A90" s="107">
        <f t="shared" si="11"/>
        <v>71</v>
      </c>
      <c r="B90" s="276" t="s">
        <v>261</v>
      </c>
      <c r="C90" s="118">
        <v>1970</v>
      </c>
      <c r="D90" s="118"/>
      <c r="E90" s="109" t="s">
        <v>219</v>
      </c>
      <c r="F90" s="118">
        <v>5</v>
      </c>
      <c r="G90" s="118">
        <v>6</v>
      </c>
      <c r="H90" s="118"/>
      <c r="I90" s="118"/>
      <c r="J90" s="118"/>
      <c r="K90" s="119"/>
      <c r="L90" s="113">
        <v>1969149</v>
      </c>
      <c r="M90" s="113">
        <v>0</v>
      </c>
      <c r="N90" s="113">
        <v>0</v>
      </c>
      <c r="O90" s="113">
        <f t="shared" si="9"/>
        <v>1969149</v>
      </c>
      <c r="P90" s="113">
        <v>0</v>
      </c>
      <c r="Q90" s="114" t="e">
        <f t="shared" si="10"/>
        <v>#DIV/0!</v>
      </c>
      <c r="R90" s="115"/>
      <c r="S90" s="316">
        <v>43100</v>
      </c>
    </row>
    <row r="91" spans="1:19" customFormat="1" ht="31.5">
      <c r="A91" s="107">
        <f t="shared" si="11"/>
        <v>72</v>
      </c>
      <c r="B91" s="276" t="s">
        <v>239</v>
      </c>
      <c r="C91" s="118">
        <v>1956</v>
      </c>
      <c r="D91" s="118"/>
      <c r="E91" s="109" t="s">
        <v>218</v>
      </c>
      <c r="F91" s="118">
        <v>3</v>
      </c>
      <c r="G91" s="118">
        <v>3</v>
      </c>
      <c r="H91" s="118"/>
      <c r="I91" s="118"/>
      <c r="J91" s="118"/>
      <c r="K91" s="119"/>
      <c r="L91" s="113">
        <v>1023088</v>
      </c>
      <c r="M91" s="113">
        <v>0</v>
      </c>
      <c r="N91" s="113">
        <v>0</v>
      </c>
      <c r="O91" s="113">
        <f t="shared" si="9"/>
        <v>1023088</v>
      </c>
      <c r="P91" s="113">
        <v>0</v>
      </c>
      <c r="Q91" s="114" t="e">
        <f t="shared" si="10"/>
        <v>#DIV/0!</v>
      </c>
      <c r="R91" s="115"/>
      <c r="S91" s="316">
        <v>43100</v>
      </c>
    </row>
    <row r="92" spans="1:19" customFormat="1" ht="31.5">
      <c r="A92" s="107">
        <f t="shared" si="11"/>
        <v>73</v>
      </c>
      <c r="B92" s="276" t="s">
        <v>336</v>
      </c>
      <c r="C92" s="118">
        <v>1957</v>
      </c>
      <c r="D92" s="118"/>
      <c r="E92" s="109" t="s">
        <v>218</v>
      </c>
      <c r="F92" s="118">
        <v>3</v>
      </c>
      <c r="G92" s="118">
        <v>3</v>
      </c>
      <c r="H92" s="118"/>
      <c r="I92" s="118"/>
      <c r="J92" s="118"/>
      <c r="K92" s="119"/>
      <c r="L92" s="113">
        <v>3334570</v>
      </c>
      <c r="M92" s="113">
        <v>0</v>
      </c>
      <c r="N92" s="113">
        <v>0</v>
      </c>
      <c r="O92" s="113">
        <f t="shared" si="9"/>
        <v>3334570</v>
      </c>
      <c r="P92" s="113">
        <v>0</v>
      </c>
      <c r="Q92" s="114" t="e">
        <f t="shared" si="10"/>
        <v>#DIV/0!</v>
      </c>
      <c r="R92" s="115"/>
      <c r="S92" s="316">
        <v>43100</v>
      </c>
    </row>
    <row r="93" spans="1:19" customFormat="1" ht="31.5">
      <c r="A93" s="107">
        <f t="shared" si="11"/>
        <v>74</v>
      </c>
      <c r="B93" s="276" t="s">
        <v>306</v>
      </c>
      <c r="C93" s="108">
        <v>1970</v>
      </c>
      <c r="D93" s="108"/>
      <c r="E93" s="109" t="s">
        <v>218</v>
      </c>
      <c r="F93" s="110">
        <v>5</v>
      </c>
      <c r="G93" s="110">
        <v>2</v>
      </c>
      <c r="H93" s="111"/>
      <c r="I93" s="111"/>
      <c r="J93" s="111"/>
      <c r="K93" s="112"/>
      <c r="L93" s="113">
        <v>1127374.33</v>
      </c>
      <c r="M93" s="113">
        <v>0</v>
      </c>
      <c r="N93" s="113">
        <v>0</v>
      </c>
      <c r="O93" s="113">
        <f t="shared" si="9"/>
        <v>1127374.33</v>
      </c>
      <c r="P93" s="113">
        <v>0</v>
      </c>
      <c r="Q93" s="114" t="e">
        <f t="shared" si="10"/>
        <v>#DIV/0!</v>
      </c>
      <c r="R93" s="115"/>
      <c r="S93" s="316">
        <v>43100</v>
      </c>
    </row>
    <row r="94" spans="1:19" customFormat="1" ht="15.75">
      <c r="A94" s="107">
        <f t="shared" si="11"/>
        <v>75</v>
      </c>
      <c r="B94" s="275" t="s">
        <v>234</v>
      </c>
      <c r="C94" s="118">
        <v>1968</v>
      </c>
      <c r="D94" s="118"/>
      <c r="E94" s="109" t="s">
        <v>219</v>
      </c>
      <c r="F94" s="118">
        <v>5</v>
      </c>
      <c r="G94" s="118">
        <v>6</v>
      </c>
      <c r="H94" s="111"/>
      <c r="I94" s="118"/>
      <c r="J94" s="118"/>
      <c r="K94" s="119"/>
      <c r="L94" s="113">
        <v>1161456</v>
      </c>
      <c r="M94" s="113">
        <v>0</v>
      </c>
      <c r="N94" s="113">
        <v>0</v>
      </c>
      <c r="O94" s="113">
        <f t="shared" si="9"/>
        <v>1161456</v>
      </c>
      <c r="P94" s="113">
        <v>0</v>
      </c>
      <c r="Q94" s="114" t="e">
        <f t="shared" si="10"/>
        <v>#DIV/0!</v>
      </c>
      <c r="R94" s="115"/>
      <c r="S94" s="316">
        <v>43100</v>
      </c>
    </row>
    <row r="95" spans="1:19" customFormat="1" ht="31.5">
      <c r="A95" s="107">
        <f t="shared" si="11"/>
        <v>76</v>
      </c>
      <c r="B95" s="275" t="s">
        <v>277</v>
      </c>
      <c r="C95" s="107">
        <v>1971</v>
      </c>
      <c r="D95" s="108"/>
      <c r="E95" s="109" t="s">
        <v>218</v>
      </c>
      <c r="F95" s="108">
        <v>5</v>
      </c>
      <c r="G95" s="108">
        <v>4</v>
      </c>
      <c r="H95" s="117"/>
      <c r="I95" s="117"/>
      <c r="J95" s="117"/>
      <c r="K95" s="101"/>
      <c r="L95" s="113">
        <v>1197250.23</v>
      </c>
      <c r="M95" s="113">
        <v>0</v>
      </c>
      <c r="N95" s="113">
        <v>0</v>
      </c>
      <c r="O95" s="113">
        <f t="shared" si="9"/>
        <v>1197250.23</v>
      </c>
      <c r="P95" s="113">
        <v>0</v>
      </c>
      <c r="Q95" s="114" t="e">
        <f t="shared" si="10"/>
        <v>#DIV/0!</v>
      </c>
      <c r="R95" s="115"/>
      <c r="S95" s="316">
        <v>43100</v>
      </c>
    </row>
    <row r="96" spans="1:19" customFormat="1" ht="31.5">
      <c r="A96" s="107">
        <f t="shared" si="11"/>
        <v>77</v>
      </c>
      <c r="B96" s="276" t="s">
        <v>303</v>
      </c>
      <c r="C96" s="108">
        <v>1954</v>
      </c>
      <c r="D96" s="108"/>
      <c r="E96" s="109" t="s">
        <v>218</v>
      </c>
      <c r="F96" s="110">
        <v>4</v>
      </c>
      <c r="G96" s="110">
        <v>3</v>
      </c>
      <c r="H96" s="111"/>
      <c r="I96" s="111"/>
      <c r="J96" s="111"/>
      <c r="K96" s="112"/>
      <c r="L96" s="113">
        <v>2784233</v>
      </c>
      <c r="M96" s="113">
        <v>0</v>
      </c>
      <c r="N96" s="113">
        <v>0</v>
      </c>
      <c r="O96" s="113">
        <f t="shared" si="9"/>
        <v>2784233</v>
      </c>
      <c r="P96" s="113">
        <v>0</v>
      </c>
      <c r="Q96" s="114" t="e">
        <f t="shared" si="10"/>
        <v>#DIV/0!</v>
      </c>
      <c r="R96" s="115"/>
      <c r="S96" s="316">
        <v>43100</v>
      </c>
    </row>
    <row r="97" spans="1:30" customFormat="1" ht="31.5">
      <c r="A97" s="107">
        <f t="shared" si="11"/>
        <v>78</v>
      </c>
      <c r="B97" s="276" t="s">
        <v>293</v>
      </c>
      <c r="C97" s="108">
        <v>1968</v>
      </c>
      <c r="D97" s="108"/>
      <c r="E97" s="109" t="s">
        <v>218</v>
      </c>
      <c r="F97" s="110">
        <v>5</v>
      </c>
      <c r="G97" s="110">
        <v>4</v>
      </c>
      <c r="H97" s="111"/>
      <c r="I97" s="111"/>
      <c r="J97" s="111"/>
      <c r="K97" s="112"/>
      <c r="L97" s="113">
        <v>2369961</v>
      </c>
      <c r="M97" s="113">
        <v>0</v>
      </c>
      <c r="N97" s="113">
        <v>0</v>
      </c>
      <c r="O97" s="113">
        <f t="shared" si="9"/>
        <v>2369961</v>
      </c>
      <c r="P97" s="113">
        <v>0</v>
      </c>
      <c r="Q97" s="114" t="e">
        <f t="shared" si="10"/>
        <v>#DIV/0!</v>
      </c>
      <c r="R97" s="115"/>
      <c r="S97" s="316">
        <v>43100</v>
      </c>
    </row>
    <row r="98" spans="1:30" customFormat="1" ht="31.5">
      <c r="A98" s="107">
        <f t="shared" si="11"/>
        <v>79</v>
      </c>
      <c r="B98" s="275" t="s">
        <v>463</v>
      </c>
      <c r="C98" s="107">
        <v>1959</v>
      </c>
      <c r="D98" s="108"/>
      <c r="E98" s="109" t="s">
        <v>218</v>
      </c>
      <c r="F98" s="108">
        <v>2</v>
      </c>
      <c r="G98" s="108">
        <v>1</v>
      </c>
      <c r="H98" s="117"/>
      <c r="I98" s="117"/>
      <c r="J98" s="117"/>
      <c r="K98" s="101"/>
      <c r="L98" s="113">
        <v>672819</v>
      </c>
      <c r="M98" s="113">
        <v>0</v>
      </c>
      <c r="N98" s="113">
        <v>0</v>
      </c>
      <c r="O98" s="113">
        <f t="shared" si="9"/>
        <v>672819</v>
      </c>
      <c r="P98" s="113">
        <v>0</v>
      </c>
      <c r="Q98" s="114" t="e">
        <f t="shared" si="10"/>
        <v>#DIV/0!</v>
      </c>
      <c r="R98" s="115"/>
      <c r="S98" s="316">
        <v>43100</v>
      </c>
    </row>
    <row r="99" spans="1:30" customFormat="1" ht="15.75">
      <c r="A99" s="107">
        <f t="shared" si="11"/>
        <v>80</v>
      </c>
      <c r="B99" s="276" t="s">
        <v>340</v>
      </c>
      <c r="C99" s="107">
        <v>1968</v>
      </c>
      <c r="D99" s="108"/>
      <c r="E99" s="109" t="s">
        <v>219</v>
      </c>
      <c r="F99" s="108">
        <v>5</v>
      </c>
      <c r="G99" s="108">
        <v>5</v>
      </c>
      <c r="H99" s="117"/>
      <c r="I99" s="117"/>
      <c r="J99" s="117"/>
      <c r="K99" s="101"/>
      <c r="L99" s="113">
        <v>1651491</v>
      </c>
      <c r="M99" s="113">
        <v>0</v>
      </c>
      <c r="N99" s="113">
        <v>0</v>
      </c>
      <c r="O99" s="113">
        <f t="shared" si="9"/>
        <v>1651491</v>
      </c>
      <c r="P99" s="113">
        <v>0</v>
      </c>
      <c r="Q99" s="114" t="e">
        <f t="shared" si="10"/>
        <v>#DIV/0!</v>
      </c>
      <c r="R99" s="115"/>
      <c r="S99" s="316">
        <v>43100</v>
      </c>
    </row>
    <row r="100" spans="1:30" customFormat="1" ht="31.5">
      <c r="A100" s="107">
        <f t="shared" si="11"/>
        <v>81</v>
      </c>
      <c r="B100" s="275" t="s">
        <v>254</v>
      </c>
      <c r="C100" s="118">
        <v>1962</v>
      </c>
      <c r="D100" s="118"/>
      <c r="E100" s="109" t="s">
        <v>218</v>
      </c>
      <c r="F100" s="118">
        <v>3</v>
      </c>
      <c r="G100" s="118">
        <v>3</v>
      </c>
      <c r="H100" s="118"/>
      <c r="I100" s="118"/>
      <c r="J100" s="118"/>
      <c r="K100" s="119"/>
      <c r="L100" s="113">
        <v>1432926</v>
      </c>
      <c r="M100" s="113">
        <v>0</v>
      </c>
      <c r="N100" s="113">
        <v>0</v>
      </c>
      <c r="O100" s="113">
        <f t="shared" si="9"/>
        <v>1432926</v>
      </c>
      <c r="P100" s="113">
        <v>0</v>
      </c>
      <c r="Q100" s="114" t="e">
        <f t="shared" si="10"/>
        <v>#DIV/0!</v>
      </c>
      <c r="R100" s="115"/>
      <c r="S100" s="316">
        <v>43100</v>
      </c>
    </row>
    <row r="101" spans="1:30" customFormat="1" ht="31.5">
      <c r="A101" s="107">
        <f t="shared" si="11"/>
        <v>82</v>
      </c>
      <c r="B101" s="275" t="s">
        <v>343</v>
      </c>
      <c r="C101" s="107">
        <v>1955</v>
      </c>
      <c r="D101" s="108"/>
      <c r="E101" s="109" t="s">
        <v>218</v>
      </c>
      <c r="F101" s="108">
        <v>2</v>
      </c>
      <c r="G101" s="108">
        <v>2</v>
      </c>
      <c r="H101" s="117"/>
      <c r="I101" s="117"/>
      <c r="J101" s="117"/>
      <c r="K101" s="101"/>
      <c r="L101" s="113">
        <v>1137886</v>
      </c>
      <c r="M101" s="113">
        <v>0</v>
      </c>
      <c r="N101" s="113">
        <v>0</v>
      </c>
      <c r="O101" s="113">
        <f t="shared" si="9"/>
        <v>1137886</v>
      </c>
      <c r="P101" s="113">
        <v>0</v>
      </c>
      <c r="Q101" s="114" t="e">
        <f t="shared" si="10"/>
        <v>#DIV/0!</v>
      </c>
      <c r="R101" s="115"/>
      <c r="S101" s="316">
        <v>43100</v>
      </c>
    </row>
    <row r="102" spans="1:30" customFormat="1" ht="31.5">
      <c r="A102" s="107">
        <f t="shared" si="11"/>
        <v>83</v>
      </c>
      <c r="B102" s="276" t="s">
        <v>305</v>
      </c>
      <c r="C102" s="108">
        <v>1971</v>
      </c>
      <c r="D102" s="108"/>
      <c r="E102" s="109" t="s">
        <v>218</v>
      </c>
      <c r="F102" s="110">
        <v>5</v>
      </c>
      <c r="G102" s="110">
        <v>4</v>
      </c>
      <c r="H102" s="111"/>
      <c r="I102" s="111"/>
      <c r="J102" s="111"/>
      <c r="K102" s="112"/>
      <c r="L102" s="113">
        <v>1814838</v>
      </c>
      <c r="M102" s="113">
        <v>0</v>
      </c>
      <c r="N102" s="113">
        <v>0</v>
      </c>
      <c r="O102" s="113">
        <f t="shared" si="9"/>
        <v>1814838</v>
      </c>
      <c r="P102" s="113">
        <v>0</v>
      </c>
      <c r="Q102" s="114" t="e">
        <f t="shared" si="10"/>
        <v>#DIV/0!</v>
      </c>
      <c r="R102" s="115"/>
      <c r="S102" s="316">
        <v>43100</v>
      </c>
    </row>
    <row r="103" spans="1:30" customFormat="1" ht="31.5">
      <c r="A103" s="107">
        <f t="shared" si="11"/>
        <v>84</v>
      </c>
      <c r="B103" s="276" t="s">
        <v>345</v>
      </c>
      <c r="C103" s="108">
        <v>1970</v>
      </c>
      <c r="D103" s="108"/>
      <c r="E103" s="109" t="s">
        <v>218</v>
      </c>
      <c r="F103" s="110">
        <v>5</v>
      </c>
      <c r="G103" s="110">
        <v>4</v>
      </c>
      <c r="H103" s="111"/>
      <c r="I103" s="111"/>
      <c r="J103" s="111"/>
      <c r="K103" s="112"/>
      <c r="L103" s="113">
        <v>1544359.54</v>
      </c>
      <c r="M103" s="113">
        <v>0</v>
      </c>
      <c r="N103" s="113">
        <v>0</v>
      </c>
      <c r="O103" s="113">
        <f t="shared" si="9"/>
        <v>1544359.54</v>
      </c>
      <c r="P103" s="113">
        <v>0</v>
      </c>
      <c r="Q103" s="114" t="e">
        <f t="shared" si="10"/>
        <v>#DIV/0!</v>
      </c>
      <c r="R103" s="115"/>
      <c r="S103" s="316">
        <v>43100</v>
      </c>
    </row>
    <row r="104" spans="1:30" customFormat="1" ht="31.5">
      <c r="A104" s="107">
        <f t="shared" si="11"/>
        <v>85</v>
      </c>
      <c r="B104" s="275" t="s">
        <v>447</v>
      </c>
      <c r="C104" s="108">
        <v>1987</v>
      </c>
      <c r="D104" s="108"/>
      <c r="E104" s="109" t="s">
        <v>219</v>
      </c>
      <c r="F104" s="110">
        <v>9</v>
      </c>
      <c r="G104" s="110">
        <v>1</v>
      </c>
      <c r="H104" s="111"/>
      <c r="I104" s="111"/>
      <c r="J104" s="111"/>
      <c r="K104" s="112"/>
      <c r="L104" s="113">
        <v>1787034</v>
      </c>
      <c r="M104" s="113">
        <v>0</v>
      </c>
      <c r="N104" s="113">
        <v>0</v>
      </c>
      <c r="O104" s="113">
        <f t="shared" si="9"/>
        <v>1787034</v>
      </c>
      <c r="P104" s="113">
        <v>0</v>
      </c>
      <c r="Q104" s="114" t="e">
        <f t="shared" si="10"/>
        <v>#DIV/0!</v>
      </c>
      <c r="R104" s="115"/>
      <c r="S104" s="316">
        <v>43100</v>
      </c>
    </row>
    <row r="105" spans="1:30" customFormat="1" ht="31.5">
      <c r="A105" s="107">
        <f t="shared" si="11"/>
        <v>86</v>
      </c>
      <c r="B105" s="275" t="s">
        <v>223</v>
      </c>
      <c r="C105" s="118">
        <v>1983</v>
      </c>
      <c r="D105" s="118"/>
      <c r="E105" s="109" t="s">
        <v>219</v>
      </c>
      <c r="F105" s="118">
        <v>9</v>
      </c>
      <c r="G105" s="118">
        <v>4</v>
      </c>
      <c r="H105" s="118"/>
      <c r="I105" s="118"/>
      <c r="J105" s="118"/>
      <c r="K105" s="119"/>
      <c r="L105" s="113">
        <v>437998.57</v>
      </c>
      <c r="M105" s="113">
        <v>0</v>
      </c>
      <c r="N105" s="113">
        <v>0</v>
      </c>
      <c r="O105" s="113">
        <f t="shared" si="9"/>
        <v>437998.57</v>
      </c>
      <c r="P105" s="113">
        <v>0</v>
      </c>
      <c r="Q105" s="114" t="e">
        <f t="shared" si="10"/>
        <v>#DIV/0!</v>
      </c>
      <c r="R105" s="115"/>
      <c r="S105" s="316">
        <v>43100</v>
      </c>
      <c r="T105" s="3"/>
      <c r="U105" s="3"/>
      <c r="V105" s="3"/>
      <c r="W105" s="3"/>
      <c r="X105" s="3"/>
      <c r="Y105" s="3"/>
    </row>
    <row r="106" spans="1:30" customFormat="1" ht="31.5">
      <c r="A106" s="107">
        <f t="shared" si="11"/>
        <v>87</v>
      </c>
      <c r="B106" s="275" t="s">
        <v>446</v>
      </c>
      <c r="C106" s="108">
        <v>1976</v>
      </c>
      <c r="D106" s="108"/>
      <c r="E106" s="109" t="s">
        <v>219</v>
      </c>
      <c r="F106" s="110">
        <v>5</v>
      </c>
      <c r="G106" s="110">
        <v>4</v>
      </c>
      <c r="H106" s="111"/>
      <c r="I106" s="111"/>
      <c r="J106" s="111"/>
      <c r="K106" s="112"/>
      <c r="L106" s="113">
        <v>1116228</v>
      </c>
      <c r="M106" s="113">
        <v>0</v>
      </c>
      <c r="N106" s="113">
        <v>0</v>
      </c>
      <c r="O106" s="113">
        <f t="shared" si="9"/>
        <v>1116228</v>
      </c>
      <c r="P106" s="113">
        <v>0</v>
      </c>
      <c r="Q106" s="114" t="e">
        <f t="shared" si="10"/>
        <v>#DIV/0!</v>
      </c>
      <c r="R106" s="115"/>
      <c r="S106" s="316">
        <v>43100</v>
      </c>
      <c r="Z106" s="3"/>
      <c r="AA106" s="3"/>
      <c r="AB106" s="3"/>
      <c r="AC106" s="3"/>
      <c r="AD106" s="3"/>
    </row>
    <row r="107" spans="1:30" customFormat="1" ht="31.5">
      <c r="A107" s="107">
        <f t="shared" si="11"/>
        <v>88</v>
      </c>
      <c r="B107" s="275" t="s">
        <v>448</v>
      </c>
      <c r="C107" s="108">
        <v>1983</v>
      </c>
      <c r="D107" s="108"/>
      <c r="E107" s="109" t="s">
        <v>219</v>
      </c>
      <c r="F107" s="110">
        <v>5</v>
      </c>
      <c r="G107" s="110">
        <v>3</v>
      </c>
      <c r="H107" s="111"/>
      <c r="I107" s="111"/>
      <c r="J107" s="111"/>
      <c r="K107" s="112"/>
      <c r="L107" s="113">
        <v>1313728</v>
      </c>
      <c r="M107" s="113">
        <v>0</v>
      </c>
      <c r="N107" s="113">
        <v>0</v>
      </c>
      <c r="O107" s="113">
        <f t="shared" si="9"/>
        <v>1313728</v>
      </c>
      <c r="P107" s="113">
        <v>0</v>
      </c>
      <c r="Q107" s="114" t="e">
        <f t="shared" si="10"/>
        <v>#DIV/0!</v>
      </c>
      <c r="R107" s="115"/>
      <c r="S107" s="316">
        <v>43100</v>
      </c>
      <c r="T107" s="62"/>
      <c r="U107" s="62"/>
      <c r="V107" s="62"/>
      <c r="W107" s="62"/>
      <c r="X107" s="62"/>
      <c r="Y107" s="62"/>
    </row>
    <row r="108" spans="1:30" customFormat="1" ht="31.5">
      <c r="A108" s="107">
        <f t="shared" si="11"/>
        <v>89</v>
      </c>
      <c r="B108" s="276" t="s">
        <v>241</v>
      </c>
      <c r="C108" s="118">
        <v>1958</v>
      </c>
      <c r="D108" s="118"/>
      <c r="E108" s="109" t="s">
        <v>218</v>
      </c>
      <c r="F108" s="118">
        <v>2</v>
      </c>
      <c r="G108" s="118">
        <v>1</v>
      </c>
      <c r="H108" s="118"/>
      <c r="I108" s="118"/>
      <c r="J108" s="118"/>
      <c r="K108" s="119"/>
      <c r="L108" s="113">
        <v>359651</v>
      </c>
      <c r="M108" s="113">
        <v>0</v>
      </c>
      <c r="N108" s="113">
        <v>0</v>
      </c>
      <c r="O108" s="113">
        <f t="shared" si="9"/>
        <v>359651</v>
      </c>
      <c r="P108" s="113">
        <v>0</v>
      </c>
      <c r="Q108" s="114" t="e">
        <f t="shared" si="10"/>
        <v>#DIV/0!</v>
      </c>
      <c r="R108" s="115"/>
      <c r="S108" s="316">
        <v>43100</v>
      </c>
      <c r="Z108" s="62"/>
      <c r="AA108" s="62"/>
      <c r="AB108" s="62"/>
      <c r="AC108" s="62"/>
      <c r="AD108" s="62"/>
    </row>
    <row r="109" spans="1:30" customFormat="1" ht="15.75">
      <c r="A109" s="107">
        <f t="shared" si="11"/>
        <v>90</v>
      </c>
      <c r="B109" s="276" t="s">
        <v>233</v>
      </c>
      <c r="C109" s="118">
        <v>1965</v>
      </c>
      <c r="D109" s="118"/>
      <c r="E109" s="109" t="s">
        <v>219</v>
      </c>
      <c r="F109" s="118">
        <v>5</v>
      </c>
      <c r="G109" s="118">
        <v>5</v>
      </c>
      <c r="H109" s="118"/>
      <c r="I109" s="118"/>
      <c r="J109" s="118"/>
      <c r="K109" s="119"/>
      <c r="L109" s="113">
        <v>906779</v>
      </c>
      <c r="M109" s="113">
        <v>0</v>
      </c>
      <c r="N109" s="113">
        <v>0</v>
      </c>
      <c r="O109" s="113">
        <f t="shared" si="9"/>
        <v>906779</v>
      </c>
      <c r="P109" s="113">
        <v>0</v>
      </c>
      <c r="Q109" s="114" t="e">
        <f t="shared" si="10"/>
        <v>#DIV/0!</v>
      </c>
      <c r="R109" s="115"/>
      <c r="S109" s="316">
        <v>43100</v>
      </c>
    </row>
    <row r="110" spans="1:30" customFormat="1" ht="31.5">
      <c r="A110" s="107">
        <f t="shared" si="11"/>
        <v>91</v>
      </c>
      <c r="B110" s="276" t="s">
        <v>278</v>
      </c>
      <c r="C110" s="107">
        <v>1958</v>
      </c>
      <c r="D110" s="108"/>
      <c r="E110" s="109" t="s">
        <v>218</v>
      </c>
      <c r="F110" s="108">
        <v>2</v>
      </c>
      <c r="G110" s="108">
        <v>1</v>
      </c>
      <c r="H110" s="117"/>
      <c r="I110" s="117"/>
      <c r="J110" s="117"/>
      <c r="K110" s="101"/>
      <c r="L110" s="113">
        <v>886559</v>
      </c>
      <c r="M110" s="113">
        <v>0</v>
      </c>
      <c r="N110" s="113">
        <v>0</v>
      </c>
      <c r="O110" s="113">
        <f t="shared" si="9"/>
        <v>886559</v>
      </c>
      <c r="P110" s="113">
        <v>0</v>
      </c>
      <c r="Q110" s="114" t="e">
        <f t="shared" si="10"/>
        <v>#DIV/0!</v>
      </c>
      <c r="R110" s="115"/>
      <c r="S110" s="316">
        <v>43100</v>
      </c>
    </row>
    <row r="111" spans="1:30" customFormat="1" ht="31.5">
      <c r="A111" s="107">
        <f t="shared" si="11"/>
        <v>92</v>
      </c>
      <c r="B111" s="276" t="s">
        <v>347</v>
      </c>
      <c r="C111" s="108">
        <v>1959</v>
      </c>
      <c r="D111" s="108"/>
      <c r="E111" s="109" t="s">
        <v>218</v>
      </c>
      <c r="F111" s="110">
        <v>2</v>
      </c>
      <c r="G111" s="110">
        <v>1</v>
      </c>
      <c r="H111" s="111"/>
      <c r="I111" s="111"/>
      <c r="J111" s="111"/>
      <c r="K111" s="112"/>
      <c r="L111" s="113">
        <v>642210</v>
      </c>
      <c r="M111" s="113">
        <v>0</v>
      </c>
      <c r="N111" s="113">
        <v>0</v>
      </c>
      <c r="O111" s="113">
        <f t="shared" si="9"/>
        <v>642210</v>
      </c>
      <c r="P111" s="113">
        <v>0</v>
      </c>
      <c r="Q111" s="114" t="e">
        <f t="shared" si="10"/>
        <v>#DIV/0!</v>
      </c>
      <c r="R111" s="115"/>
      <c r="S111" s="316">
        <v>43100</v>
      </c>
    </row>
    <row r="112" spans="1:30" customFormat="1" ht="31.5">
      <c r="A112" s="107">
        <f t="shared" si="11"/>
        <v>93</v>
      </c>
      <c r="B112" s="275" t="s">
        <v>266</v>
      </c>
      <c r="C112" s="118">
        <v>1957</v>
      </c>
      <c r="D112" s="118"/>
      <c r="E112" s="109" t="s">
        <v>218</v>
      </c>
      <c r="F112" s="118">
        <v>4</v>
      </c>
      <c r="G112" s="118">
        <v>3</v>
      </c>
      <c r="H112" s="118"/>
      <c r="I112" s="118"/>
      <c r="J112" s="118"/>
      <c r="K112" s="119"/>
      <c r="L112" s="113">
        <v>1952489</v>
      </c>
      <c r="M112" s="113">
        <v>0</v>
      </c>
      <c r="N112" s="113">
        <v>0</v>
      </c>
      <c r="O112" s="113">
        <f t="shared" si="9"/>
        <v>1952489</v>
      </c>
      <c r="P112" s="113">
        <v>0</v>
      </c>
      <c r="Q112" s="114" t="e">
        <f t="shared" si="10"/>
        <v>#DIV/0!</v>
      </c>
      <c r="R112" s="115"/>
      <c r="S112" s="316">
        <v>43100</v>
      </c>
    </row>
    <row r="113" spans="1:30" customFormat="1" ht="15.75">
      <c r="A113" s="107">
        <f t="shared" si="11"/>
        <v>94</v>
      </c>
      <c r="B113" s="275" t="s">
        <v>310</v>
      </c>
      <c r="C113" s="108">
        <v>1983</v>
      </c>
      <c r="D113" s="108"/>
      <c r="E113" s="109" t="s">
        <v>219</v>
      </c>
      <c r="F113" s="110">
        <v>9</v>
      </c>
      <c r="G113" s="110">
        <v>8</v>
      </c>
      <c r="H113" s="111"/>
      <c r="I113" s="111"/>
      <c r="J113" s="111"/>
      <c r="K113" s="112"/>
      <c r="L113" s="113">
        <v>15157748</v>
      </c>
      <c r="M113" s="113">
        <v>0</v>
      </c>
      <c r="N113" s="113">
        <v>0</v>
      </c>
      <c r="O113" s="113">
        <f t="shared" si="9"/>
        <v>15157748</v>
      </c>
      <c r="P113" s="113">
        <v>0</v>
      </c>
      <c r="Q113" s="114" t="e">
        <f t="shared" si="10"/>
        <v>#DIV/0!</v>
      </c>
      <c r="R113" s="115"/>
      <c r="S113" s="316">
        <v>43100</v>
      </c>
    </row>
    <row r="114" spans="1:30" customFormat="1" ht="31.5">
      <c r="A114" s="107">
        <f t="shared" si="11"/>
        <v>95</v>
      </c>
      <c r="B114" s="276" t="s">
        <v>281</v>
      </c>
      <c r="C114" s="107">
        <v>1959</v>
      </c>
      <c r="D114" s="108"/>
      <c r="E114" s="109" t="s">
        <v>218</v>
      </c>
      <c r="F114" s="108">
        <v>4</v>
      </c>
      <c r="G114" s="108">
        <v>5</v>
      </c>
      <c r="H114" s="117"/>
      <c r="I114" s="117"/>
      <c r="J114" s="117"/>
      <c r="K114" s="101"/>
      <c r="L114" s="113">
        <v>2542298.37</v>
      </c>
      <c r="M114" s="113">
        <v>0</v>
      </c>
      <c r="N114" s="113">
        <v>0</v>
      </c>
      <c r="O114" s="113">
        <f t="shared" si="9"/>
        <v>2542298.37</v>
      </c>
      <c r="P114" s="113">
        <v>0</v>
      </c>
      <c r="Q114" s="114" t="e">
        <f t="shared" si="10"/>
        <v>#DIV/0!</v>
      </c>
      <c r="R114" s="115"/>
      <c r="S114" s="316">
        <v>43100</v>
      </c>
    </row>
    <row r="115" spans="1:30" customFormat="1" ht="15.75">
      <c r="A115" s="107">
        <f t="shared" si="11"/>
        <v>96</v>
      </c>
      <c r="B115" s="275" t="s">
        <v>248</v>
      </c>
      <c r="C115" s="118">
        <v>1983</v>
      </c>
      <c r="D115" s="118"/>
      <c r="E115" s="109" t="s">
        <v>219</v>
      </c>
      <c r="F115" s="118">
        <v>9</v>
      </c>
      <c r="G115" s="118">
        <v>1</v>
      </c>
      <c r="H115" s="118"/>
      <c r="I115" s="118"/>
      <c r="J115" s="118"/>
      <c r="K115" s="119"/>
      <c r="L115" s="113">
        <v>1114586</v>
      </c>
      <c r="M115" s="113">
        <v>0</v>
      </c>
      <c r="N115" s="113">
        <v>0</v>
      </c>
      <c r="O115" s="113">
        <f t="shared" si="9"/>
        <v>1114586</v>
      </c>
      <c r="P115" s="113">
        <v>0</v>
      </c>
      <c r="Q115" s="114" t="e">
        <f t="shared" si="10"/>
        <v>#DIV/0!</v>
      </c>
      <c r="R115" s="115"/>
      <c r="S115" s="316">
        <v>43100</v>
      </c>
      <c r="T115" s="3"/>
      <c r="U115" s="3"/>
      <c r="V115" s="3"/>
      <c r="W115" s="3"/>
      <c r="X115" s="3"/>
      <c r="Y115" s="3"/>
    </row>
    <row r="116" spans="1:30" customFormat="1" ht="15.75">
      <c r="A116" s="107">
        <f t="shared" si="11"/>
        <v>97</v>
      </c>
      <c r="B116" s="275" t="s">
        <v>301</v>
      </c>
      <c r="C116" s="108">
        <v>1975</v>
      </c>
      <c r="D116" s="108"/>
      <c r="E116" s="109" t="s">
        <v>219</v>
      </c>
      <c r="F116" s="110">
        <v>9</v>
      </c>
      <c r="G116" s="110">
        <v>3</v>
      </c>
      <c r="H116" s="111"/>
      <c r="I116" s="111"/>
      <c r="J116" s="111"/>
      <c r="K116" s="112"/>
      <c r="L116" s="113">
        <v>5623853</v>
      </c>
      <c r="M116" s="113">
        <v>0</v>
      </c>
      <c r="N116" s="113">
        <v>0</v>
      </c>
      <c r="O116" s="113">
        <f t="shared" ref="O116:O147" si="12">L116</f>
        <v>5623853</v>
      </c>
      <c r="P116" s="113">
        <v>0</v>
      </c>
      <c r="Q116" s="114" t="e">
        <f t="shared" ref="Q116:Q147" si="13">L116/I116</f>
        <v>#DIV/0!</v>
      </c>
      <c r="R116" s="115"/>
      <c r="S116" s="316">
        <v>43100</v>
      </c>
      <c r="Z116" s="3"/>
      <c r="AA116" s="3"/>
      <c r="AB116" s="3"/>
      <c r="AC116" s="3"/>
      <c r="AD116" s="3"/>
    </row>
    <row r="117" spans="1:30" customFormat="1" ht="15.75">
      <c r="A117" s="107">
        <f t="shared" si="11"/>
        <v>98</v>
      </c>
      <c r="B117" s="275" t="s">
        <v>244</v>
      </c>
      <c r="C117" s="118">
        <v>1976</v>
      </c>
      <c r="D117" s="118"/>
      <c r="E117" s="109" t="s">
        <v>219</v>
      </c>
      <c r="F117" s="118">
        <v>9</v>
      </c>
      <c r="G117" s="118">
        <v>4</v>
      </c>
      <c r="H117" s="118"/>
      <c r="I117" s="118"/>
      <c r="J117" s="118"/>
      <c r="K117" s="119"/>
      <c r="L117" s="113">
        <v>2721106</v>
      </c>
      <c r="M117" s="113">
        <v>0</v>
      </c>
      <c r="N117" s="113">
        <v>0</v>
      </c>
      <c r="O117" s="113">
        <f t="shared" si="12"/>
        <v>2721106</v>
      </c>
      <c r="P117" s="113">
        <v>0</v>
      </c>
      <c r="Q117" s="114" t="e">
        <f t="shared" si="13"/>
        <v>#DIV/0!</v>
      </c>
      <c r="R117" s="115"/>
      <c r="S117" s="316">
        <v>43100</v>
      </c>
    </row>
    <row r="118" spans="1:30" customFormat="1" ht="15.75">
      <c r="A118" s="107">
        <f t="shared" si="11"/>
        <v>99</v>
      </c>
      <c r="B118" s="276" t="s">
        <v>288</v>
      </c>
      <c r="C118" s="107">
        <v>1973</v>
      </c>
      <c r="D118" s="108"/>
      <c r="E118" s="109" t="s">
        <v>219</v>
      </c>
      <c r="F118" s="108">
        <v>9</v>
      </c>
      <c r="G118" s="108">
        <v>6</v>
      </c>
      <c r="H118" s="117"/>
      <c r="I118" s="117"/>
      <c r="J118" s="117"/>
      <c r="K118" s="101"/>
      <c r="L118" s="113">
        <v>9789326.5500000007</v>
      </c>
      <c r="M118" s="113">
        <v>0</v>
      </c>
      <c r="N118" s="113">
        <v>0</v>
      </c>
      <c r="O118" s="113">
        <f t="shared" si="12"/>
        <v>9789326.5500000007</v>
      </c>
      <c r="P118" s="113">
        <v>0</v>
      </c>
      <c r="Q118" s="114" t="e">
        <f t="shared" si="13"/>
        <v>#DIV/0!</v>
      </c>
      <c r="R118" s="115"/>
      <c r="S118" s="316">
        <v>43100</v>
      </c>
    </row>
    <row r="119" spans="1:30" customFormat="1" ht="31.5">
      <c r="A119" s="107">
        <f t="shared" si="11"/>
        <v>100</v>
      </c>
      <c r="B119" s="276" t="s">
        <v>249</v>
      </c>
      <c r="C119" s="118" t="s">
        <v>190</v>
      </c>
      <c r="D119" s="118"/>
      <c r="E119" s="109" t="s">
        <v>218</v>
      </c>
      <c r="F119" s="118">
        <v>3</v>
      </c>
      <c r="G119" s="118">
        <v>3</v>
      </c>
      <c r="H119" s="118"/>
      <c r="I119" s="118"/>
      <c r="J119" s="118"/>
      <c r="K119" s="119"/>
      <c r="L119" s="113">
        <v>1615074</v>
      </c>
      <c r="M119" s="113">
        <v>0</v>
      </c>
      <c r="N119" s="113">
        <v>0</v>
      </c>
      <c r="O119" s="113">
        <f t="shared" si="12"/>
        <v>1615074</v>
      </c>
      <c r="P119" s="113">
        <v>0</v>
      </c>
      <c r="Q119" s="114" t="e">
        <f t="shared" si="13"/>
        <v>#DIV/0!</v>
      </c>
      <c r="R119" s="115"/>
      <c r="S119" s="316">
        <v>43100</v>
      </c>
    </row>
    <row r="120" spans="1:30" customFormat="1" ht="31.5">
      <c r="A120" s="107">
        <f t="shared" si="11"/>
        <v>101</v>
      </c>
      <c r="B120" s="275" t="s">
        <v>265</v>
      </c>
      <c r="C120" s="118">
        <v>1953</v>
      </c>
      <c r="D120" s="118"/>
      <c r="E120" s="109" t="s">
        <v>218</v>
      </c>
      <c r="F120" s="118">
        <v>2</v>
      </c>
      <c r="G120" s="118">
        <v>2</v>
      </c>
      <c r="H120" s="118"/>
      <c r="I120" s="118"/>
      <c r="J120" s="118"/>
      <c r="K120" s="119"/>
      <c r="L120" s="113">
        <v>824390</v>
      </c>
      <c r="M120" s="113">
        <v>0</v>
      </c>
      <c r="N120" s="113">
        <v>0</v>
      </c>
      <c r="O120" s="113">
        <f t="shared" si="12"/>
        <v>824390</v>
      </c>
      <c r="P120" s="113">
        <v>0</v>
      </c>
      <c r="Q120" s="114" t="e">
        <f t="shared" si="13"/>
        <v>#DIV/0!</v>
      </c>
      <c r="R120" s="115"/>
      <c r="S120" s="316">
        <v>43100</v>
      </c>
    </row>
    <row r="121" spans="1:30" customFormat="1" ht="15.75">
      <c r="A121" s="107">
        <f t="shared" si="11"/>
        <v>102</v>
      </c>
      <c r="B121" s="276" t="s">
        <v>292</v>
      </c>
      <c r="C121" s="108">
        <v>1951</v>
      </c>
      <c r="D121" s="108"/>
      <c r="E121" s="109" t="s">
        <v>220</v>
      </c>
      <c r="F121" s="110">
        <v>2</v>
      </c>
      <c r="G121" s="110">
        <v>3</v>
      </c>
      <c r="H121" s="111"/>
      <c r="I121" s="111"/>
      <c r="J121" s="111"/>
      <c r="K121" s="112"/>
      <c r="L121" s="113">
        <v>2661189</v>
      </c>
      <c r="M121" s="113">
        <v>0</v>
      </c>
      <c r="N121" s="113">
        <v>0</v>
      </c>
      <c r="O121" s="113">
        <f t="shared" si="12"/>
        <v>2661189</v>
      </c>
      <c r="P121" s="113">
        <v>0</v>
      </c>
      <c r="Q121" s="114" t="e">
        <f t="shared" si="13"/>
        <v>#DIV/0!</v>
      </c>
      <c r="R121" s="115"/>
      <c r="S121" s="316">
        <v>43100</v>
      </c>
    </row>
    <row r="122" spans="1:30" s="62" customFormat="1" ht="31.5">
      <c r="A122" s="107">
        <f t="shared" si="11"/>
        <v>103</v>
      </c>
      <c r="B122" s="276" t="s">
        <v>276</v>
      </c>
      <c r="C122" s="107">
        <v>1959</v>
      </c>
      <c r="D122" s="108"/>
      <c r="E122" s="109" t="s">
        <v>218</v>
      </c>
      <c r="F122" s="108">
        <v>2</v>
      </c>
      <c r="G122" s="108">
        <v>1</v>
      </c>
      <c r="H122" s="117"/>
      <c r="I122" s="117"/>
      <c r="J122" s="117"/>
      <c r="K122" s="101"/>
      <c r="L122" s="113">
        <v>278220</v>
      </c>
      <c r="M122" s="113">
        <v>0</v>
      </c>
      <c r="N122" s="113">
        <v>0</v>
      </c>
      <c r="O122" s="113">
        <f t="shared" si="12"/>
        <v>278220</v>
      </c>
      <c r="P122" s="113">
        <v>0</v>
      </c>
      <c r="Q122" s="114" t="e">
        <f t="shared" si="13"/>
        <v>#DIV/0!</v>
      </c>
      <c r="R122" s="115"/>
      <c r="S122" s="316">
        <v>43100</v>
      </c>
      <c r="T122"/>
      <c r="U122"/>
      <c r="V122"/>
      <c r="W122"/>
      <c r="X122"/>
      <c r="Y122"/>
      <c r="Z122"/>
      <c r="AA122"/>
      <c r="AB122"/>
      <c r="AC122"/>
      <c r="AD122"/>
    </row>
    <row r="123" spans="1:30" customFormat="1" ht="31.5">
      <c r="A123" s="107">
        <f t="shared" si="11"/>
        <v>104</v>
      </c>
      <c r="B123" s="275" t="s">
        <v>229</v>
      </c>
      <c r="C123" s="118">
        <v>1928</v>
      </c>
      <c r="D123" s="118"/>
      <c r="E123" s="109" t="s">
        <v>218</v>
      </c>
      <c r="F123" s="118">
        <v>3</v>
      </c>
      <c r="G123" s="118">
        <v>6</v>
      </c>
      <c r="H123" s="118"/>
      <c r="I123" s="118"/>
      <c r="J123" s="118"/>
      <c r="K123" s="119"/>
      <c r="L123" s="113">
        <v>2511472</v>
      </c>
      <c r="M123" s="113">
        <v>0</v>
      </c>
      <c r="N123" s="113">
        <v>0</v>
      </c>
      <c r="O123" s="113">
        <f t="shared" si="12"/>
        <v>2511472</v>
      </c>
      <c r="P123" s="113">
        <v>0</v>
      </c>
      <c r="Q123" s="114" t="e">
        <f t="shared" si="13"/>
        <v>#DIV/0!</v>
      </c>
      <c r="R123" s="115"/>
      <c r="S123" s="316">
        <v>43100</v>
      </c>
    </row>
    <row r="124" spans="1:30" customFormat="1" ht="31.5">
      <c r="A124" s="107">
        <f t="shared" si="11"/>
        <v>105</v>
      </c>
      <c r="B124" s="275" t="s">
        <v>309</v>
      </c>
      <c r="C124" s="108">
        <v>1964</v>
      </c>
      <c r="D124" s="108"/>
      <c r="E124" s="109" t="s">
        <v>218</v>
      </c>
      <c r="F124" s="110">
        <v>4</v>
      </c>
      <c r="G124" s="110">
        <v>2</v>
      </c>
      <c r="H124" s="111"/>
      <c r="I124" s="111"/>
      <c r="J124" s="111"/>
      <c r="K124" s="112"/>
      <c r="L124" s="113">
        <v>871988</v>
      </c>
      <c r="M124" s="113">
        <v>0</v>
      </c>
      <c r="N124" s="113">
        <v>0</v>
      </c>
      <c r="O124" s="113">
        <f t="shared" si="12"/>
        <v>871988</v>
      </c>
      <c r="P124" s="113">
        <v>0</v>
      </c>
      <c r="Q124" s="114" t="e">
        <f t="shared" si="13"/>
        <v>#DIV/0!</v>
      </c>
      <c r="R124" s="115"/>
      <c r="S124" s="316">
        <v>43100</v>
      </c>
    </row>
    <row r="125" spans="1:30" customFormat="1" ht="31.5">
      <c r="A125" s="107">
        <f t="shared" si="11"/>
        <v>106</v>
      </c>
      <c r="B125" s="275" t="s">
        <v>308</v>
      </c>
      <c r="C125" s="108">
        <v>1966</v>
      </c>
      <c r="D125" s="108"/>
      <c r="E125" s="109" t="s">
        <v>218</v>
      </c>
      <c r="F125" s="110">
        <v>4</v>
      </c>
      <c r="G125" s="110">
        <v>4</v>
      </c>
      <c r="H125" s="111"/>
      <c r="I125" s="111"/>
      <c r="J125" s="111"/>
      <c r="K125" s="112"/>
      <c r="L125" s="113">
        <v>2113335</v>
      </c>
      <c r="M125" s="113">
        <v>0</v>
      </c>
      <c r="N125" s="113">
        <v>0</v>
      </c>
      <c r="O125" s="113">
        <f t="shared" si="12"/>
        <v>2113335</v>
      </c>
      <c r="P125" s="113">
        <v>0</v>
      </c>
      <c r="Q125" s="114" t="e">
        <f t="shared" si="13"/>
        <v>#DIV/0!</v>
      </c>
      <c r="R125" s="115"/>
      <c r="S125" s="316">
        <v>43100</v>
      </c>
    </row>
    <row r="126" spans="1:30" customFormat="1" ht="31.5">
      <c r="A126" s="107">
        <f t="shared" si="11"/>
        <v>107</v>
      </c>
      <c r="B126" s="276" t="s">
        <v>296</v>
      </c>
      <c r="C126" s="108">
        <v>1960</v>
      </c>
      <c r="D126" s="108"/>
      <c r="E126" s="109" t="s">
        <v>218</v>
      </c>
      <c r="F126" s="110">
        <v>2</v>
      </c>
      <c r="G126" s="110">
        <v>2</v>
      </c>
      <c r="H126" s="111"/>
      <c r="I126" s="111"/>
      <c r="J126" s="111"/>
      <c r="K126" s="112"/>
      <c r="L126" s="113">
        <v>996585</v>
      </c>
      <c r="M126" s="113">
        <v>0</v>
      </c>
      <c r="N126" s="113">
        <v>0</v>
      </c>
      <c r="O126" s="113">
        <f t="shared" si="12"/>
        <v>996585</v>
      </c>
      <c r="P126" s="113">
        <v>0</v>
      </c>
      <c r="Q126" s="114" t="e">
        <f t="shared" si="13"/>
        <v>#DIV/0!</v>
      </c>
      <c r="R126" s="115"/>
      <c r="S126" s="316">
        <v>43100</v>
      </c>
    </row>
    <row r="127" spans="1:30" customFormat="1" ht="31.5">
      <c r="A127" s="107">
        <f t="shared" si="11"/>
        <v>108</v>
      </c>
      <c r="B127" s="276" t="s">
        <v>240</v>
      </c>
      <c r="C127" s="118">
        <v>1955</v>
      </c>
      <c r="D127" s="118"/>
      <c r="E127" s="109" t="s">
        <v>218</v>
      </c>
      <c r="F127" s="118">
        <v>2</v>
      </c>
      <c r="G127" s="118">
        <v>2</v>
      </c>
      <c r="H127" s="118"/>
      <c r="I127" s="118"/>
      <c r="J127" s="118"/>
      <c r="K127" s="119"/>
      <c r="L127" s="113">
        <v>637739</v>
      </c>
      <c r="M127" s="113">
        <v>0</v>
      </c>
      <c r="N127" s="113">
        <v>0</v>
      </c>
      <c r="O127" s="113">
        <f t="shared" si="12"/>
        <v>637739</v>
      </c>
      <c r="P127" s="113">
        <v>0</v>
      </c>
      <c r="Q127" s="114" t="e">
        <f t="shared" si="13"/>
        <v>#DIV/0!</v>
      </c>
      <c r="R127" s="115"/>
      <c r="S127" s="316">
        <v>43100</v>
      </c>
    </row>
    <row r="128" spans="1:30" customFormat="1" ht="15.75">
      <c r="A128" s="107">
        <f t="shared" si="11"/>
        <v>109</v>
      </c>
      <c r="B128" s="275" t="s">
        <v>243</v>
      </c>
      <c r="C128" s="118">
        <v>1976</v>
      </c>
      <c r="D128" s="118"/>
      <c r="E128" s="109" t="s">
        <v>219</v>
      </c>
      <c r="F128" s="118">
        <v>9</v>
      </c>
      <c r="G128" s="118">
        <v>2</v>
      </c>
      <c r="H128" s="118"/>
      <c r="I128" s="118"/>
      <c r="J128" s="118"/>
      <c r="K128" s="119"/>
      <c r="L128" s="113">
        <v>1357217</v>
      </c>
      <c r="M128" s="113">
        <v>0</v>
      </c>
      <c r="N128" s="113">
        <v>0</v>
      </c>
      <c r="O128" s="113">
        <f t="shared" si="12"/>
        <v>1357217</v>
      </c>
      <c r="P128" s="113">
        <v>0</v>
      </c>
      <c r="Q128" s="114" t="e">
        <f t="shared" si="13"/>
        <v>#DIV/0!</v>
      </c>
      <c r="R128" s="115"/>
      <c r="S128" s="316">
        <v>43100</v>
      </c>
    </row>
    <row r="129" spans="1:30" customFormat="1" ht="31.5">
      <c r="A129" s="107">
        <f t="shared" si="11"/>
        <v>110</v>
      </c>
      <c r="B129" s="276" t="s">
        <v>269</v>
      </c>
      <c r="C129" s="118">
        <v>1952</v>
      </c>
      <c r="D129" s="118"/>
      <c r="E129" s="109" t="s">
        <v>218</v>
      </c>
      <c r="F129" s="118">
        <v>2</v>
      </c>
      <c r="G129" s="118">
        <v>2</v>
      </c>
      <c r="H129" s="118"/>
      <c r="I129" s="118"/>
      <c r="J129" s="118"/>
      <c r="K129" s="119"/>
      <c r="L129" s="113">
        <v>836226</v>
      </c>
      <c r="M129" s="113">
        <v>0</v>
      </c>
      <c r="N129" s="113">
        <v>0</v>
      </c>
      <c r="O129" s="113">
        <f t="shared" si="12"/>
        <v>836226</v>
      </c>
      <c r="P129" s="113">
        <v>0</v>
      </c>
      <c r="Q129" s="114" t="e">
        <f t="shared" si="13"/>
        <v>#DIV/0!</v>
      </c>
      <c r="R129" s="115"/>
      <c r="S129" s="316">
        <v>43100</v>
      </c>
    </row>
    <row r="130" spans="1:30" customFormat="1" ht="31.5">
      <c r="A130" s="107">
        <f t="shared" si="11"/>
        <v>111</v>
      </c>
      <c r="B130" s="276" t="s">
        <v>299</v>
      </c>
      <c r="C130" s="108">
        <v>1952</v>
      </c>
      <c r="D130" s="108"/>
      <c r="E130" s="109" t="s">
        <v>218</v>
      </c>
      <c r="F130" s="110">
        <v>2</v>
      </c>
      <c r="G130" s="110">
        <v>2</v>
      </c>
      <c r="H130" s="111"/>
      <c r="I130" s="111"/>
      <c r="J130" s="111"/>
      <c r="K130" s="112"/>
      <c r="L130" s="113">
        <v>640078</v>
      </c>
      <c r="M130" s="113">
        <v>0</v>
      </c>
      <c r="N130" s="113">
        <v>0</v>
      </c>
      <c r="O130" s="113">
        <f t="shared" si="12"/>
        <v>640078</v>
      </c>
      <c r="P130" s="113">
        <v>0</v>
      </c>
      <c r="Q130" s="114" t="e">
        <f t="shared" si="13"/>
        <v>#DIV/0!</v>
      </c>
      <c r="R130" s="115"/>
      <c r="S130" s="316">
        <v>43100</v>
      </c>
    </row>
    <row r="131" spans="1:30" customFormat="1" ht="31.5">
      <c r="A131" s="107">
        <f t="shared" si="11"/>
        <v>112</v>
      </c>
      <c r="B131" s="275" t="s">
        <v>236</v>
      </c>
      <c r="C131" s="118">
        <v>1959</v>
      </c>
      <c r="D131" s="118"/>
      <c r="E131" s="109" t="s">
        <v>218</v>
      </c>
      <c r="F131" s="118">
        <v>2</v>
      </c>
      <c r="G131" s="118">
        <v>2</v>
      </c>
      <c r="H131" s="118"/>
      <c r="I131" s="118"/>
      <c r="J131" s="118"/>
      <c r="K131" s="119"/>
      <c r="L131" s="113">
        <v>202649</v>
      </c>
      <c r="M131" s="113">
        <v>0</v>
      </c>
      <c r="N131" s="113">
        <v>0</v>
      </c>
      <c r="O131" s="113">
        <f t="shared" si="12"/>
        <v>202649</v>
      </c>
      <c r="P131" s="113">
        <v>0</v>
      </c>
      <c r="Q131" s="114" t="e">
        <f t="shared" si="13"/>
        <v>#DIV/0!</v>
      </c>
      <c r="R131" s="115"/>
      <c r="S131" s="316">
        <v>43100</v>
      </c>
    </row>
    <row r="132" spans="1:30" customFormat="1" ht="31.5">
      <c r="A132" s="107">
        <f t="shared" si="11"/>
        <v>113</v>
      </c>
      <c r="B132" s="276" t="s">
        <v>285</v>
      </c>
      <c r="C132" s="108">
        <v>1954</v>
      </c>
      <c r="D132" s="108"/>
      <c r="E132" s="109" t="s">
        <v>218</v>
      </c>
      <c r="F132" s="121" t="s">
        <v>191</v>
      </c>
      <c r="G132" s="110">
        <v>10</v>
      </c>
      <c r="H132" s="111"/>
      <c r="I132" s="111"/>
      <c r="J132" s="111"/>
      <c r="K132" s="112"/>
      <c r="L132" s="113">
        <v>7892437</v>
      </c>
      <c r="M132" s="113">
        <v>0</v>
      </c>
      <c r="N132" s="113">
        <v>0</v>
      </c>
      <c r="O132" s="113">
        <f t="shared" si="12"/>
        <v>7892437</v>
      </c>
      <c r="P132" s="113">
        <v>0</v>
      </c>
      <c r="Q132" s="114" t="e">
        <f t="shared" si="13"/>
        <v>#DIV/0!</v>
      </c>
      <c r="R132" s="115"/>
      <c r="S132" s="316">
        <v>43100</v>
      </c>
    </row>
    <row r="133" spans="1:30" customFormat="1" ht="31.5">
      <c r="A133" s="107">
        <f t="shared" si="11"/>
        <v>114</v>
      </c>
      <c r="B133" s="276" t="s">
        <v>237</v>
      </c>
      <c r="C133" s="118">
        <v>1950</v>
      </c>
      <c r="D133" s="118"/>
      <c r="E133" s="109" t="s">
        <v>218</v>
      </c>
      <c r="F133" s="118">
        <v>2</v>
      </c>
      <c r="G133" s="118">
        <v>1</v>
      </c>
      <c r="H133" s="118"/>
      <c r="I133" s="118"/>
      <c r="J133" s="118"/>
      <c r="K133" s="119"/>
      <c r="L133" s="113">
        <v>523389</v>
      </c>
      <c r="M133" s="113">
        <v>0</v>
      </c>
      <c r="N133" s="113">
        <v>0</v>
      </c>
      <c r="O133" s="113">
        <f t="shared" si="12"/>
        <v>523389</v>
      </c>
      <c r="P133" s="113">
        <v>0</v>
      </c>
      <c r="Q133" s="114" t="e">
        <f t="shared" si="13"/>
        <v>#DIV/0!</v>
      </c>
      <c r="R133" s="115"/>
      <c r="S133" s="316">
        <v>43100</v>
      </c>
    </row>
    <row r="134" spans="1:30" customFormat="1" ht="15.75">
      <c r="A134" s="107">
        <f t="shared" si="11"/>
        <v>115</v>
      </c>
      <c r="B134" s="276" t="s">
        <v>264</v>
      </c>
      <c r="C134" s="118">
        <v>1950</v>
      </c>
      <c r="D134" s="118"/>
      <c r="E134" s="109" t="s">
        <v>220</v>
      </c>
      <c r="F134" s="118">
        <v>2</v>
      </c>
      <c r="G134" s="118">
        <v>3</v>
      </c>
      <c r="H134" s="118"/>
      <c r="I134" s="118"/>
      <c r="J134" s="118"/>
      <c r="K134" s="119"/>
      <c r="L134" s="113">
        <v>1038920</v>
      </c>
      <c r="M134" s="113">
        <v>0</v>
      </c>
      <c r="N134" s="113">
        <v>0</v>
      </c>
      <c r="O134" s="113">
        <f t="shared" si="12"/>
        <v>1038920</v>
      </c>
      <c r="P134" s="113">
        <v>0</v>
      </c>
      <c r="Q134" s="114" t="e">
        <f t="shared" si="13"/>
        <v>#DIV/0!</v>
      </c>
      <c r="R134" s="115"/>
      <c r="S134" s="316">
        <v>43100</v>
      </c>
    </row>
    <row r="135" spans="1:30" s="3" customFormat="1" ht="15.75">
      <c r="A135" s="107">
        <f t="shared" si="11"/>
        <v>116</v>
      </c>
      <c r="B135" s="276" t="s">
        <v>258</v>
      </c>
      <c r="C135" s="118">
        <v>1950</v>
      </c>
      <c r="D135" s="118"/>
      <c r="E135" s="109" t="s">
        <v>220</v>
      </c>
      <c r="F135" s="118">
        <v>2</v>
      </c>
      <c r="G135" s="118">
        <v>2</v>
      </c>
      <c r="H135" s="118"/>
      <c r="I135" s="118"/>
      <c r="J135" s="118"/>
      <c r="K135" s="119"/>
      <c r="L135" s="113">
        <v>1742553</v>
      </c>
      <c r="M135" s="113">
        <v>0</v>
      </c>
      <c r="N135" s="113">
        <v>0</v>
      </c>
      <c r="O135" s="113">
        <f t="shared" si="12"/>
        <v>1742553</v>
      </c>
      <c r="P135" s="113">
        <v>0</v>
      </c>
      <c r="Q135" s="114" t="e">
        <f t="shared" si="13"/>
        <v>#DIV/0!</v>
      </c>
      <c r="R135" s="115"/>
      <c r="S135" s="316">
        <v>43100</v>
      </c>
      <c r="T135"/>
      <c r="U135"/>
      <c r="V135"/>
      <c r="W135"/>
      <c r="X135"/>
      <c r="Y135"/>
      <c r="Z135"/>
      <c r="AA135"/>
      <c r="AB135"/>
      <c r="AC135"/>
      <c r="AD135"/>
    </row>
    <row r="136" spans="1:30" customFormat="1" ht="31.5">
      <c r="A136" s="107">
        <f t="shared" si="11"/>
        <v>117</v>
      </c>
      <c r="B136" s="276" t="s">
        <v>250</v>
      </c>
      <c r="C136" s="118">
        <v>1948</v>
      </c>
      <c r="D136" s="118"/>
      <c r="E136" s="109" t="s">
        <v>218</v>
      </c>
      <c r="F136" s="118">
        <v>2</v>
      </c>
      <c r="G136" s="118">
        <v>3</v>
      </c>
      <c r="H136" s="118"/>
      <c r="I136" s="118"/>
      <c r="J136" s="118"/>
      <c r="K136" s="119"/>
      <c r="L136" s="113">
        <v>2124581</v>
      </c>
      <c r="M136" s="113">
        <v>0</v>
      </c>
      <c r="N136" s="113">
        <v>0</v>
      </c>
      <c r="O136" s="113">
        <f t="shared" si="12"/>
        <v>2124581</v>
      </c>
      <c r="P136" s="113">
        <v>0</v>
      </c>
      <c r="Q136" s="114" t="e">
        <f t="shared" si="13"/>
        <v>#DIV/0!</v>
      </c>
      <c r="R136" s="115"/>
      <c r="S136" s="316">
        <v>43100</v>
      </c>
    </row>
    <row r="137" spans="1:30" customFormat="1" ht="15.75">
      <c r="A137" s="107">
        <f t="shared" si="11"/>
        <v>118</v>
      </c>
      <c r="B137" s="276" t="s">
        <v>282</v>
      </c>
      <c r="C137" s="107">
        <v>1948</v>
      </c>
      <c r="D137" s="108"/>
      <c r="E137" s="109" t="s">
        <v>220</v>
      </c>
      <c r="F137" s="108">
        <v>2</v>
      </c>
      <c r="G137" s="108">
        <v>3</v>
      </c>
      <c r="H137" s="117"/>
      <c r="I137" s="117"/>
      <c r="J137" s="117"/>
      <c r="K137" s="101"/>
      <c r="L137" s="113">
        <v>2347478</v>
      </c>
      <c r="M137" s="113">
        <v>0</v>
      </c>
      <c r="N137" s="113">
        <v>0</v>
      </c>
      <c r="O137" s="113">
        <f t="shared" si="12"/>
        <v>2347478</v>
      </c>
      <c r="P137" s="113">
        <v>0</v>
      </c>
      <c r="Q137" s="114" t="e">
        <f t="shared" si="13"/>
        <v>#DIV/0!</v>
      </c>
      <c r="R137" s="115"/>
      <c r="S137" s="316">
        <v>43100</v>
      </c>
    </row>
    <row r="138" spans="1:30" customFormat="1" ht="31.5">
      <c r="A138" s="107">
        <f t="shared" si="11"/>
        <v>119</v>
      </c>
      <c r="B138" s="275" t="s">
        <v>267</v>
      </c>
      <c r="C138" s="118">
        <v>1948</v>
      </c>
      <c r="D138" s="118"/>
      <c r="E138" s="109" t="s">
        <v>218</v>
      </c>
      <c r="F138" s="118">
        <v>2</v>
      </c>
      <c r="G138" s="118">
        <v>3</v>
      </c>
      <c r="H138" s="118"/>
      <c r="I138" s="118"/>
      <c r="J138" s="118"/>
      <c r="K138" s="119"/>
      <c r="L138" s="113">
        <v>2468472</v>
      </c>
      <c r="M138" s="113">
        <v>0</v>
      </c>
      <c r="N138" s="113">
        <v>0</v>
      </c>
      <c r="O138" s="113">
        <f t="shared" si="12"/>
        <v>2468472</v>
      </c>
      <c r="P138" s="113">
        <v>0</v>
      </c>
      <c r="Q138" s="114" t="e">
        <f t="shared" si="13"/>
        <v>#DIV/0!</v>
      </c>
      <c r="R138" s="115"/>
      <c r="S138" s="316">
        <v>43100</v>
      </c>
    </row>
    <row r="139" spans="1:30" customFormat="1" ht="31.5">
      <c r="A139" s="107">
        <f t="shared" si="11"/>
        <v>120</v>
      </c>
      <c r="B139" s="276" t="s">
        <v>284</v>
      </c>
      <c r="C139" s="108">
        <v>1950</v>
      </c>
      <c r="D139" s="116"/>
      <c r="E139" s="109" t="s">
        <v>218</v>
      </c>
      <c r="F139" s="110">
        <v>2</v>
      </c>
      <c r="G139" s="110">
        <v>2</v>
      </c>
      <c r="H139" s="111"/>
      <c r="I139" s="111"/>
      <c r="J139" s="111"/>
      <c r="K139" s="112"/>
      <c r="L139" s="113">
        <v>1612780</v>
      </c>
      <c r="M139" s="113">
        <v>0</v>
      </c>
      <c r="N139" s="113">
        <v>0</v>
      </c>
      <c r="O139" s="113">
        <f t="shared" si="12"/>
        <v>1612780</v>
      </c>
      <c r="P139" s="113">
        <v>0</v>
      </c>
      <c r="Q139" s="114" t="e">
        <f t="shared" si="13"/>
        <v>#DIV/0!</v>
      </c>
      <c r="R139" s="115"/>
      <c r="S139" s="316">
        <v>43100</v>
      </c>
    </row>
    <row r="140" spans="1:30" customFormat="1" ht="31.5">
      <c r="A140" s="107">
        <f t="shared" si="11"/>
        <v>121</v>
      </c>
      <c r="B140" s="276" t="s">
        <v>256</v>
      </c>
      <c r="C140" s="118">
        <v>1947</v>
      </c>
      <c r="D140" s="118"/>
      <c r="E140" s="109" t="s">
        <v>218</v>
      </c>
      <c r="F140" s="118">
        <v>2</v>
      </c>
      <c r="G140" s="118">
        <v>2</v>
      </c>
      <c r="H140" s="118"/>
      <c r="I140" s="118"/>
      <c r="J140" s="118"/>
      <c r="K140" s="119"/>
      <c r="L140" s="113">
        <v>2580419</v>
      </c>
      <c r="M140" s="113">
        <v>0</v>
      </c>
      <c r="N140" s="113">
        <v>0</v>
      </c>
      <c r="O140" s="113">
        <f t="shared" si="12"/>
        <v>2580419</v>
      </c>
      <c r="P140" s="113">
        <v>0</v>
      </c>
      <c r="Q140" s="114" t="e">
        <f t="shared" si="13"/>
        <v>#DIV/0!</v>
      </c>
      <c r="R140" s="115"/>
      <c r="S140" s="316">
        <v>43100</v>
      </c>
    </row>
    <row r="141" spans="1:30" customFormat="1" ht="15.75">
      <c r="A141" s="107">
        <f t="shared" si="11"/>
        <v>122</v>
      </c>
      <c r="B141" s="275" t="s">
        <v>335</v>
      </c>
      <c r="C141" s="118">
        <v>1963</v>
      </c>
      <c r="D141" s="118"/>
      <c r="E141" s="109" t="s">
        <v>219</v>
      </c>
      <c r="F141" s="118">
        <v>5</v>
      </c>
      <c r="G141" s="118">
        <v>4</v>
      </c>
      <c r="H141" s="118"/>
      <c r="I141" s="118"/>
      <c r="J141" s="118"/>
      <c r="K141" s="119"/>
      <c r="L141" s="113">
        <v>1681645</v>
      </c>
      <c r="M141" s="113">
        <v>0</v>
      </c>
      <c r="N141" s="113">
        <v>0</v>
      </c>
      <c r="O141" s="113">
        <f t="shared" si="12"/>
        <v>1681645</v>
      </c>
      <c r="P141" s="113">
        <v>0</v>
      </c>
      <c r="Q141" s="114" t="e">
        <f t="shared" si="13"/>
        <v>#DIV/0!</v>
      </c>
      <c r="R141" s="115"/>
      <c r="S141" s="316">
        <v>43100</v>
      </c>
    </row>
    <row r="142" spans="1:30" customFormat="1" ht="31.5">
      <c r="A142" s="107">
        <f t="shared" si="11"/>
        <v>123</v>
      </c>
      <c r="B142" s="276" t="s">
        <v>255</v>
      </c>
      <c r="C142" s="118">
        <v>1950</v>
      </c>
      <c r="D142" s="118"/>
      <c r="E142" s="109" t="s">
        <v>218</v>
      </c>
      <c r="F142" s="118">
        <v>2</v>
      </c>
      <c r="G142" s="118">
        <v>2</v>
      </c>
      <c r="H142" s="118"/>
      <c r="I142" s="118"/>
      <c r="J142" s="118"/>
      <c r="K142" s="119"/>
      <c r="L142" s="113">
        <v>1318880</v>
      </c>
      <c r="M142" s="113">
        <v>0</v>
      </c>
      <c r="N142" s="113">
        <v>0</v>
      </c>
      <c r="O142" s="113">
        <f t="shared" si="12"/>
        <v>1318880</v>
      </c>
      <c r="P142" s="113">
        <v>0</v>
      </c>
      <c r="Q142" s="114" t="e">
        <f t="shared" si="13"/>
        <v>#DIV/0!</v>
      </c>
      <c r="R142" s="115"/>
      <c r="S142" s="316">
        <v>43100</v>
      </c>
    </row>
    <row r="143" spans="1:30" customFormat="1" ht="15.75">
      <c r="A143" s="107">
        <f t="shared" si="11"/>
        <v>124</v>
      </c>
      <c r="B143" s="276" t="s">
        <v>245</v>
      </c>
      <c r="C143" s="118">
        <v>1949</v>
      </c>
      <c r="D143" s="118"/>
      <c r="E143" s="109" t="s">
        <v>220</v>
      </c>
      <c r="F143" s="118">
        <v>2</v>
      </c>
      <c r="G143" s="118">
        <v>1</v>
      </c>
      <c r="H143" s="118"/>
      <c r="I143" s="118"/>
      <c r="J143" s="118"/>
      <c r="K143" s="119"/>
      <c r="L143" s="113">
        <v>1566345</v>
      </c>
      <c r="M143" s="113">
        <v>0</v>
      </c>
      <c r="N143" s="113">
        <v>0</v>
      </c>
      <c r="O143" s="113">
        <f t="shared" si="12"/>
        <v>1566345</v>
      </c>
      <c r="P143" s="113">
        <v>0</v>
      </c>
      <c r="Q143" s="114" t="e">
        <f t="shared" si="13"/>
        <v>#DIV/0!</v>
      </c>
      <c r="R143" s="115"/>
      <c r="S143" s="316">
        <v>43100</v>
      </c>
    </row>
    <row r="144" spans="1:30" customFormat="1" ht="31.5">
      <c r="A144" s="107">
        <f t="shared" si="11"/>
        <v>125</v>
      </c>
      <c r="B144" s="275" t="s">
        <v>449</v>
      </c>
      <c r="C144" s="108">
        <v>1984</v>
      </c>
      <c r="D144" s="108"/>
      <c r="E144" s="109" t="s">
        <v>219</v>
      </c>
      <c r="F144" s="110">
        <v>9</v>
      </c>
      <c r="G144" s="110">
        <v>1</v>
      </c>
      <c r="H144" s="111"/>
      <c r="I144" s="111"/>
      <c r="J144" s="111"/>
      <c r="K144" s="112"/>
      <c r="L144" s="113">
        <v>1910088</v>
      </c>
      <c r="M144" s="113">
        <v>0</v>
      </c>
      <c r="N144" s="113">
        <v>0</v>
      </c>
      <c r="O144" s="113">
        <f t="shared" si="12"/>
        <v>1910088</v>
      </c>
      <c r="P144" s="113">
        <v>0</v>
      </c>
      <c r="Q144" s="114" t="e">
        <f t="shared" si="13"/>
        <v>#DIV/0!</v>
      </c>
      <c r="R144" s="115"/>
      <c r="S144" s="316">
        <v>43100</v>
      </c>
    </row>
    <row r="145" spans="1:19" customFormat="1" ht="31.5">
      <c r="A145" s="107">
        <f t="shared" si="11"/>
        <v>126</v>
      </c>
      <c r="B145" s="276" t="s">
        <v>280</v>
      </c>
      <c r="C145" s="107">
        <v>1966</v>
      </c>
      <c r="D145" s="108"/>
      <c r="E145" s="109" t="s">
        <v>218</v>
      </c>
      <c r="F145" s="108">
        <v>5</v>
      </c>
      <c r="G145" s="108">
        <v>3</v>
      </c>
      <c r="H145" s="117"/>
      <c r="I145" s="117"/>
      <c r="J145" s="117"/>
      <c r="K145" s="101"/>
      <c r="L145" s="113">
        <v>2694957</v>
      </c>
      <c r="M145" s="113">
        <v>0</v>
      </c>
      <c r="N145" s="113">
        <v>0</v>
      </c>
      <c r="O145" s="113">
        <f t="shared" si="12"/>
        <v>2694957</v>
      </c>
      <c r="P145" s="113">
        <v>0</v>
      </c>
      <c r="Q145" s="114" t="e">
        <f t="shared" si="13"/>
        <v>#DIV/0!</v>
      </c>
      <c r="R145" s="115"/>
      <c r="S145" s="316">
        <v>43100</v>
      </c>
    </row>
    <row r="146" spans="1:19" customFormat="1" ht="31.5">
      <c r="A146" s="107">
        <f t="shared" si="11"/>
        <v>127</v>
      </c>
      <c r="B146" s="276" t="s">
        <v>367</v>
      </c>
      <c r="C146" s="118">
        <v>1958</v>
      </c>
      <c r="D146" s="118"/>
      <c r="E146" s="109" t="s">
        <v>218</v>
      </c>
      <c r="F146" s="118">
        <v>2</v>
      </c>
      <c r="G146" s="118">
        <v>1</v>
      </c>
      <c r="H146" s="118"/>
      <c r="I146" s="118"/>
      <c r="J146" s="118"/>
      <c r="K146" s="119"/>
      <c r="L146" s="113">
        <v>580578</v>
      </c>
      <c r="M146" s="113">
        <v>0</v>
      </c>
      <c r="N146" s="113">
        <v>0</v>
      </c>
      <c r="O146" s="113">
        <f t="shared" si="12"/>
        <v>580578</v>
      </c>
      <c r="P146" s="113">
        <v>0</v>
      </c>
      <c r="Q146" s="114" t="e">
        <f t="shared" si="13"/>
        <v>#DIV/0!</v>
      </c>
      <c r="R146" s="115"/>
      <c r="S146" s="316">
        <v>43100</v>
      </c>
    </row>
    <row r="147" spans="1:19" customFormat="1" ht="31.5">
      <c r="A147" s="107">
        <f t="shared" si="11"/>
        <v>128</v>
      </c>
      <c r="B147" s="276" t="s">
        <v>464</v>
      </c>
      <c r="C147" s="118">
        <v>1971</v>
      </c>
      <c r="D147" s="118"/>
      <c r="E147" s="109" t="s">
        <v>218</v>
      </c>
      <c r="F147" s="118">
        <v>2</v>
      </c>
      <c r="G147" s="118">
        <v>1</v>
      </c>
      <c r="H147" s="118"/>
      <c r="I147" s="118"/>
      <c r="J147" s="118"/>
      <c r="K147" s="119"/>
      <c r="L147" s="113">
        <v>615357</v>
      </c>
      <c r="M147" s="113">
        <v>0</v>
      </c>
      <c r="N147" s="113">
        <v>0</v>
      </c>
      <c r="O147" s="113">
        <f t="shared" si="12"/>
        <v>615357</v>
      </c>
      <c r="P147" s="113">
        <v>0</v>
      </c>
      <c r="Q147" s="114" t="e">
        <f t="shared" si="13"/>
        <v>#DIV/0!</v>
      </c>
      <c r="R147" s="115"/>
      <c r="S147" s="316">
        <v>43100</v>
      </c>
    </row>
    <row r="148" spans="1:19" customFormat="1" ht="31.5">
      <c r="A148" s="107">
        <f t="shared" si="11"/>
        <v>129</v>
      </c>
      <c r="B148" s="276" t="s">
        <v>385</v>
      </c>
      <c r="C148" s="118">
        <v>1957</v>
      </c>
      <c r="D148" s="118"/>
      <c r="E148" s="109" t="s">
        <v>218</v>
      </c>
      <c r="F148" s="118">
        <v>2</v>
      </c>
      <c r="G148" s="118">
        <v>1</v>
      </c>
      <c r="H148" s="118"/>
      <c r="I148" s="118"/>
      <c r="J148" s="118"/>
      <c r="K148" s="119"/>
      <c r="L148" s="113">
        <v>269948.13</v>
      </c>
      <c r="M148" s="113">
        <v>0</v>
      </c>
      <c r="N148" s="113">
        <v>0</v>
      </c>
      <c r="O148" s="113">
        <f t="shared" ref="O148:O179" si="14">L148</f>
        <v>269948.13</v>
      </c>
      <c r="P148" s="113">
        <v>0</v>
      </c>
      <c r="Q148" s="114" t="e">
        <f t="shared" ref="Q148:Q179" si="15">L148/I148</f>
        <v>#DIV/0!</v>
      </c>
      <c r="R148" s="115"/>
      <c r="S148" s="316">
        <v>43100</v>
      </c>
    </row>
    <row r="149" spans="1:19" customFormat="1" ht="15.75">
      <c r="A149" s="107">
        <f t="shared" si="11"/>
        <v>130</v>
      </c>
      <c r="B149" s="276" t="s">
        <v>238</v>
      </c>
      <c r="C149" s="118">
        <v>1924</v>
      </c>
      <c r="D149" s="118"/>
      <c r="E149" s="109" t="s">
        <v>221</v>
      </c>
      <c r="F149" s="118">
        <v>2</v>
      </c>
      <c r="G149" s="118">
        <v>2</v>
      </c>
      <c r="H149" s="118"/>
      <c r="I149" s="118"/>
      <c r="J149" s="118"/>
      <c r="K149" s="119"/>
      <c r="L149" s="113">
        <v>807980</v>
      </c>
      <c r="M149" s="113">
        <v>0</v>
      </c>
      <c r="N149" s="113">
        <v>0</v>
      </c>
      <c r="O149" s="113">
        <f t="shared" si="14"/>
        <v>807980</v>
      </c>
      <c r="P149" s="113">
        <v>0</v>
      </c>
      <c r="Q149" s="114" t="e">
        <f t="shared" si="15"/>
        <v>#DIV/0!</v>
      </c>
      <c r="R149" s="115"/>
      <c r="S149" s="316">
        <v>43100</v>
      </c>
    </row>
    <row r="150" spans="1:19" customFormat="1" ht="31.5">
      <c r="A150" s="107">
        <f t="shared" ref="A150:A219" si="16">A149+1</f>
        <v>131</v>
      </c>
      <c r="B150" s="276" t="s">
        <v>273</v>
      </c>
      <c r="C150" s="107">
        <v>1949</v>
      </c>
      <c r="D150" s="108"/>
      <c r="E150" s="109" t="s">
        <v>218</v>
      </c>
      <c r="F150" s="108">
        <v>2</v>
      </c>
      <c r="G150" s="108">
        <v>1</v>
      </c>
      <c r="H150" s="117"/>
      <c r="I150" s="117"/>
      <c r="J150" s="117"/>
      <c r="K150" s="101"/>
      <c r="L150" s="113">
        <v>661525</v>
      </c>
      <c r="M150" s="113">
        <v>0</v>
      </c>
      <c r="N150" s="113">
        <v>0</v>
      </c>
      <c r="O150" s="113">
        <f t="shared" si="14"/>
        <v>661525</v>
      </c>
      <c r="P150" s="113">
        <v>0</v>
      </c>
      <c r="Q150" s="114" t="e">
        <f t="shared" si="15"/>
        <v>#DIV/0!</v>
      </c>
      <c r="R150" s="115"/>
      <c r="S150" s="316">
        <v>43100</v>
      </c>
    </row>
    <row r="151" spans="1:19" customFormat="1" ht="15.75">
      <c r="A151" s="107">
        <f t="shared" si="16"/>
        <v>132</v>
      </c>
      <c r="B151" s="276" t="s">
        <v>297</v>
      </c>
      <c r="C151" s="108">
        <v>1981</v>
      </c>
      <c r="D151" s="108"/>
      <c r="E151" s="109" t="s">
        <v>219</v>
      </c>
      <c r="F151" s="110">
        <v>9</v>
      </c>
      <c r="G151" s="110">
        <v>2</v>
      </c>
      <c r="H151" s="111"/>
      <c r="I151" s="111"/>
      <c r="J151" s="111"/>
      <c r="K151" s="112"/>
      <c r="L151" s="113">
        <v>3719885</v>
      </c>
      <c r="M151" s="113">
        <v>0</v>
      </c>
      <c r="N151" s="113">
        <v>0</v>
      </c>
      <c r="O151" s="113">
        <f t="shared" si="14"/>
        <v>3719885</v>
      </c>
      <c r="P151" s="113">
        <v>0</v>
      </c>
      <c r="Q151" s="114" t="e">
        <f t="shared" si="15"/>
        <v>#DIV/0!</v>
      </c>
      <c r="R151" s="115"/>
      <c r="S151" s="316">
        <v>43100</v>
      </c>
    </row>
    <row r="152" spans="1:19" customFormat="1" ht="31.5">
      <c r="A152" s="107">
        <f t="shared" si="16"/>
        <v>133</v>
      </c>
      <c r="B152" s="276" t="s">
        <v>263</v>
      </c>
      <c r="C152" s="118">
        <v>1949</v>
      </c>
      <c r="D152" s="118"/>
      <c r="E152" s="109" t="s">
        <v>218</v>
      </c>
      <c r="F152" s="118">
        <v>2</v>
      </c>
      <c r="G152" s="118">
        <v>2</v>
      </c>
      <c r="H152" s="118"/>
      <c r="I152" s="118"/>
      <c r="J152" s="118"/>
      <c r="K152" s="119"/>
      <c r="L152" s="113">
        <v>1726391</v>
      </c>
      <c r="M152" s="113">
        <v>0</v>
      </c>
      <c r="N152" s="113">
        <v>0</v>
      </c>
      <c r="O152" s="113">
        <f t="shared" si="14"/>
        <v>1726391</v>
      </c>
      <c r="P152" s="113">
        <v>0</v>
      </c>
      <c r="Q152" s="114" t="e">
        <f t="shared" si="15"/>
        <v>#DIV/0!</v>
      </c>
      <c r="R152" s="115"/>
      <c r="S152" s="316">
        <v>43100</v>
      </c>
    </row>
    <row r="153" spans="1:19" customFormat="1" ht="15.75">
      <c r="A153" s="107">
        <f t="shared" si="16"/>
        <v>134</v>
      </c>
      <c r="B153" s="276" t="s">
        <v>235</v>
      </c>
      <c r="C153" s="118">
        <v>1950</v>
      </c>
      <c r="D153" s="118"/>
      <c r="E153" s="109" t="s">
        <v>220</v>
      </c>
      <c r="F153" s="118">
        <v>2</v>
      </c>
      <c r="G153" s="118">
        <v>1</v>
      </c>
      <c r="H153" s="118"/>
      <c r="I153" s="118"/>
      <c r="J153" s="118"/>
      <c r="K153" s="119"/>
      <c r="L153" s="113">
        <v>1521754</v>
      </c>
      <c r="M153" s="113">
        <v>0</v>
      </c>
      <c r="N153" s="113">
        <v>0</v>
      </c>
      <c r="O153" s="113">
        <f t="shared" si="14"/>
        <v>1521754</v>
      </c>
      <c r="P153" s="113">
        <v>0</v>
      </c>
      <c r="Q153" s="114" t="e">
        <f t="shared" si="15"/>
        <v>#DIV/0!</v>
      </c>
      <c r="R153" s="115"/>
      <c r="S153" s="316">
        <v>43100</v>
      </c>
    </row>
    <row r="154" spans="1:19" customFormat="1" ht="31.5">
      <c r="A154" s="107">
        <f t="shared" si="16"/>
        <v>135</v>
      </c>
      <c r="B154" s="275" t="s">
        <v>227</v>
      </c>
      <c r="C154" s="118">
        <v>1937</v>
      </c>
      <c r="D154" s="118"/>
      <c r="E154" s="109" t="s">
        <v>218</v>
      </c>
      <c r="F154" s="118">
        <v>2</v>
      </c>
      <c r="G154" s="118">
        <v>1</v>
      </c>
      <c r="H154" s="118"/>
      <c r="I154" s="118"/>
      <c r="J154" s="118"/>
      <c r="K154" s="119"/>
      <c r="L154" s="113">
        <v>671505</v>
      </c>
      <c r="M154" s="113">
        <v>0</v>
      </c>
      <c r="N154" s="113">
        <v>0</v>
      </c>
      <c r="O154" s="113">
        <f t="shared" si="14"/>
        <v>671505</v>
      </c>
      <c r="P154" s="113">
        <v>0</v>
      </c>
      <c r="Q154" s="114" t="e">
        <f t="shared" si="15"/>
        <v>#DIV/0!</v>
      </c>
      <c r="R154" s="115"/>
      <c r="S154" s="316">
        <v>43100</v>
      </c>
    </row>
    <row r="155" spans="1:19" customFormat="1" ht="31.5">
      <c r="A155" s="107">
        <f t="shared" si="16"/>
        <v>136</v>
      </c>
      <c r="B155" s="276" t="s">
        <v>339</v>
      </c>
      <c r="C155" s="118">
        <v>1961</v>
      </c>
      <c r="D155" s="118"/>
      <c r="E155" s="109" t="s">
        <v>218</v>
      </c>
      <c r="F155" s="118">
        <v>3</v>
      </c>
      <c r="G155" s="118">
        <v>2</v>
      </c>
      <c r="H155" s="118"/>
      <c r="I155" s="118"/>
      <c r="J155" s="118"/>
      <c r="K155" s="119"/>
      <c r="L155" s="113">
        <v>1081718</v>
      </c>
      <c r="M155" s="113">
        <v>0</v>
      </c>
      <c r="N155" s="113">
        <v>0</v>
      </c>
      <c r="O155" s="113">
        <f t="shared" si="14"/>
        <v>1081718</v>
      </c>
      <c r="P155" s="113">
        <v>0</v>
      </c>
      <c r="Q155" s="114" t="e">
        <f t="shared" si="15"/>
        <v>#DIV/0!</v>
      </c>
      <c r="R155" s="115"/>
      <c r="S155" s="316">
        <v>43100</v>
      </c>
    </row>
    <row r="156" spans="1:19" customFormat="1" ht="15.75">
      <c r="A156" s="107">
        <f t="shared" si="16"/>
        <v>137</v>
      </c>
      <c r="B156" s="276" t="s">
        <v>231</v>
      </c>
      <c r="C156" s="118">
        <v>1960</v>
      </c>
      <c r="D156" s="118"/>
      <c r="E156" s="109" t="s">
        <v>220</v>
      </c>
      <c r="F156" s="118">
        <v>3</v>
      </c>
      <c r="G156" s="118">
        <v>2</v>
      </c>
      <c r="H156" s="118"/>
      <c r="I156" s="118"/>
      <c r="J156" s="118"/>
      <c r="K156" s="119"/>
      <c r="L156" s="113">
        <v>206635</v>
      </c>
      <c r="M156" s="113">
        <v>0</v>
      </c>
      <c r="N156" s="113">
        <v>0</v>
      </c>
      <c r="O156" s="113">
        <f t="shared" si="14"/>
        <v>206635</v>
      </c>
      <c r="P156" s="113">
        <v>0</v>
      </c>
      <c r="Q156" s="114" t="e">
        <f t="shared" si="15"/>
        <v>#DIV/0!</v>
      </c>
      <c r="R156" s="115"/>
      <c r="S156" s="316">
        <v>43100</v>
      </c>
    </row>
    <row r="157" spans="1:19" customFormat="1" ht="15.75">
      <c r="A157" s="107">
        <f t="shared" si="16"/>
        <v>138</v>
      </c>
      <c r="B157" s="275" t="s">
        <v>300</v>
      </c>
      <c r="C157" s="108">
        <v>1961</v>
      </c>
      <c r="D157" s="108"/>
      <c r="E157" s="109" t="s">
        <v>220</v>
      </c>
      <c r="F157" s="110">
        <v>3</v>
      </c>
      <c r="G157" s="110">
        <v>2</v>
      </c>
      <c r="H157" s="111"/>
      <c r="I157" s="111"/>
      <c r="J157" s="111"/>
      <c r="K157" s="112"/>
      <c r="L157" s="113">
        <v>1044081.04</v>
      </c>
      <c r="M157" s="113">
        <v>0</v>
      </c>
      <c r="N157" s="113">
        <v>0</v>
      </c>
      <c r="O157" s="113">
        <f t="shared" si="14"/>
        <v>1044081.04</v>
      </c>
      <c r="P157" s="113">
        <v>0</v>
      </c>
      <c r="Q157" s="114" t="e">
        <f t="shared" si="15"/>
        <v>#DIV/0!</v>
      </c>
      <c r="R157" s="115"/>
      <c r="S157" s="316">
        <v>43100</v>
      </c>
    </row>
    <row r="158" spans="1:19" customFormat="1" ht="31.5">
      <c r="A158" s="107">
        <f t="shared" si="16"/>
        <v>139</v>
      </c>
      <c r="B158" s="275" t="s">
        <v>283</v>
      </c>
      <c r="C158" s="107">
        <v>1959</v>
      </c>
      <c r="D158" s="108"/>
      <c r="E158" s="109" t="s">
        <v>218</v>
      </c>
      <c r="F158" s="108">
        <v>2</v>
      </c>
      <c r="G158" s="108">
        <v>2</v>
      </c>
      <c r="H158" s="117"/>
      <c r="I158" s="117"/>
      <c r="J158" s="117"/>
      <c r="K158" s="101"/>
      <c r="L158" s="113">
        <v>1340000</v>
      </c>
      <c r="M158" s="113">
        <v>0</v>
      </c>
      <c r="N158" s="113">
        <v>0</v>
      </c>
      <c r="O158" s="113">
        <f t="shared" si="14"/>
        <v>1340000</v>
      </c>
      <c r="P158" s="113">
        <v>0</v>
      </c>
      <c r="Q158" s="114" t="e">
        <f t="shared" si="15"/>
        <v>#DIV/0!</v>
      </c>
      <c r="R158" s="115"/>
      <c r="S158" s="316">
        <v>43100</v>
      </c>
    </row>
    <row r="159" spans="1:19" customFormat="1" ht="15.75">
      <c r="A159" s="107">
        <f t="shared" si="16"/>
        <v>140</v>
      </c>
      <c r="B159" s="276" t="s">
        <v>450</v>
      </c>
      <c r="C159" s="107">
        <v>1975</v>
      </c>
      <c r="D159" s="108"/>
      <c r="E159" s="109" t="s">
        <v>219</v>
      </c>
      <c r="F159" s="108">
        <v>5</v>
      </c>
      <c r="G159" s="108">
        <v>6</v>
      </c>
      <c r="H159" s="117"/>
      <c r="I159" s="117"/>
      <c r="J159" s="117"/>
      <c r="K159" s="101"/>
      <c r="L159" s="113">
        <v>2294529</v>
      </c>
      <c r="M159" s="113">
        <v>0</v>
      </c>
      <c r="N159" s="113">
        <v>0</v>
      </c>
      <c r="O159" s="113">
        <f t="shared" si="14"/>
        <v>2294529</v>
      </c>
      <c r="P159" s="113">
        <v>0</v>
      </c>
      <c r="Q159" s="114" t="e">
        <f t="shared" si="15"/>
        <v>#DIV/0!</v>
      </c>
      <c r="R159" s="115"/>
      <c r="S159" s="316">
        <v>43100</v>
      </c>
    </row>
    <row r="160" spans="1:19" customFormat="1" ht="15.75">
      <c r="A160" s="107">
        <f t="shared" si="16"/>
        <v>141</v>
      </c>
      <c r="B160" s="276" t="s">
        <v>230</v>
      </c>
      <c r="C160" s="118">
        <v>1981</v>
      </c>
      <c r="D160" s="118"/>
      <c r="E160" s="109" t="s">
        <v>219</v>
      </c>
      <c r="F160" s="118">
        <v>9</v>
      </c>
      <c r="G160" s="118">
        <v>2</v>
      </c>
      <c r="H160" s="118"/>
      <c r="I160" s="118"/>
      <c r="J160" s="118"/>
      <c r="K160" s="119"/>
      <c r="L160" s="113">
        <v>2615616.2000000002</v>
      </c>
      <c r="M160" s="113">
        <v>0</v>
      </c>
      <c r="N160" s="113">
        <v>0</v>
      </c>
      <c r="O160" s="113">
        <f t="shared" si="14"/>
        <v>2615616.2000000002</v>
      </c>
      <c r="P160" s="113">
        <v>0</v>
      </c>
      <c r="Q160" s="114" t="e">
        <f t="shared" si="15"/>
        <v>#DIV/0!</v>
      </c>
      <c r="R160" s="115"/>
      <c r="S160" s="316">
        <v>43100</v>
      </c>
    </row>
    <row r="161" spans="1:30" customFormat="1" ht="31.5">
      <c r="A161" s="107">
        <f t="shared" si="16"/>
        <v>142</v>
      </c>
      <c r="B161" s="275" t="s">
        <v>295</v>
      </c>
      <c r="C161" s="108">
        <v>1964</v>
      </c>
      <c r="D161" s="108"/>
      <c r="E161" s="109" t="s">
        <v>218</v>
      </c>
      <c r="F161" s="110">
        <v>5</v>
      </c>
      <c r="G161" s="110">
        <v>3</v>
      </c>
      <c r="H161" s="111"/>
      <c r="I161" s="111"/>
      <c r="J161" s="111"/>
      <c r="K161" s="112"/>
      <c r="L161" s="113">
        <v>1561539</v>
      </c>
      <c r="M161" s="113">
        <v>0</v>
      </c>
      <c r="N161" s="113">
        <v>0</v>
      </c>
      <c r="O161" s="113">
        <f t="shared" si="14"/>
        <v>1561539</v>
      </c>
      <c r="P161" s="113">
        <v>0</v>
      </c>
      <c r="Q161" s="114" t="e">
        <f t="shared" si="15"/>
        <v>#DIV/0!</v>
      </c>
      <c r="R161" s="115"/>
      <c r="S161" s="316">
        <v>43100</v>
      </c>
    </row>
    <row r="162" spans="1:30" customFormat="1" ht="31.5">
      <c r="A162" s="107">
        <f t="shared" si="16"/>
        <v>143</v>
      </c>
      <c r="B162" s="276" t="s">
        <v>294</v>
      </c>
      <c r="C162" s="108">
        <v>1960</v>
      </c>
      <c r="D162" s="108"/>
      <c r="E162" s="109" t="s">
        <v>218</v>
      </c>
      <c r="F162" s="110">
        <v>5</v>
      </c>
      <c r="G162" s="110">
        <v>2</v>
      </c>
      <c r="H162" s="111"/>
      <c r="I162" s="111"/>
      <c r="J162" s="111"/>
      <c r="K162" s="112"/>
      <c r="L162" s="113">
        <v>1421187</v>
      </c>
      <c r="M162" s="113">
        <v>0</v>
      </c>
      <c r="N162" s="113">
        <v>0</v>
      </c>
      <c r="O162" s="113">
        <f t="shared" si="14"/>
        <v>1421187</v>
      </c>
      <c r="P162" s="113">
        <v>0</v>
      </c>
      <c r="Q162" s="114" t="e">
        <f t="shared" si="15"/>
        <v>#DIV/0!</v>
      </c>
      <c r="R162" s="115"/>
      <c r="S162" s="316">
        <v>43100</v>
      </c>
    </row>
    <row r="163" spans="1:30" customFormat="1" ht="15.75">
      <c r="A163" s="107">
        <f t="shared" si="16"/>
        <v>144</v>
      </c>
      <c r="B163" s="276" t="s">
        <v>270</v>
      </c>
      <c r="C163" s="118">
        <v>1962</v>
      </c>
      <c r="D163" s="118"/>
      <c r="E163" s="109" t="s">
        <v>219</v>
      </c>
      <c r="F163" s="118">
        <v>4</v>
      </c>
      <c r="G163" s="118">
        <v>4</v>
      </c>
      <c r="H163" s="118"/>
      <c r="I163" s="118"/>
      <c r="J163" s="118"/>
      <c r="K163" s="119"/>
      <c r="L163" s="113">
        <v>2469740</v>
      </c>
      <c r="M163" s="113">
        <v>0</v>
      </c>
      <c r="N163" s="113">
        <v>0</v>
      </c>
      <c r="O163" s="113">
        <f t="shared" si="14"/>
        <v>2469740</v>
      </c>
      <c r="P163" s="113">
        <v>0</v>
      </c>
      <c r="Q163" s="114" t="e">
        <f t="shared" si="15"/>
        <v>#DIV/0!</v>
      </c>
      <c r="R163" s="115"/>
      <c r="S163" s="316">
        <v>43100</v>
      </c>
    </row>
    <row r="164" spans="1:30" customFormat="1" ht="31.5">
      <c r="A164" s="107">
        <f t="shared" si="16"/>
        <v>145</v>
      </c>
      <c r="B164" s="276" t="s">
        <v>252</v>
      </c>
      <c r="C164" s="118">
        <v>1986</v>
      </c>
      <c r="D164" s="118"/>
      <c r="E164" s="109" t="s">
        <v>218</v>
      </c>
      <c r="F164" s="118">
        <v>9</v>
      </c>
      <c r="G164" s="118">
        <v>1</v>
      </c>
      <c r="H164" s="118"/>
      <c r="I164" s="118"/>
      <c r="J164" s="118"/>
      <c r="K164" s="119"/>
      <c r="L164" s="113">
        <v>1104857</v>
      </c>
      <c r="M164" s="113">
        <v>0</v>
      </c>
      <c r="N164" s="113">
        <v>0</v>
      </c>
      <c r="O164" s="113">
        <f t="shared" si="14"/>
        <v>1104857</v>
      </c>
      <c r="P164" s="113">
        <v>0</v>
      </c>
      <c r="Q164" s="114" t="e">
        <f t="shared" si="15"/>
        <v>#DIV/0!</v>
      </c>
      <c r="R164" s="115"/>
      <c r="S164" s="316">
        <v>43100</v>
      </c>
    </row>
    <row r="165" spans="1:30" customFormat="1" ht="31.5">
      <c r="A165" s="107">
        <f t="shared" si="16"/>
        <v>146</v>
      </c>
      <c r="B165" s="276" t="s">
        <v>304</v>
      </c>
      <c r="C165" s="108">
        <v>1989</v>
      </c>
      <c r="D165" s="108"/>
      <c r="E165" s="109" t="s">
        <v>218</v>
      </c>
      <c r="F165" s="110">
        <v>9</v>
      </c>
      <c r="G165" s="110">
        <v>1</v>
      </c>
      <c r="H165" s="111"/>
      <c r="I165" s="111"/>
      <c r="J165" s="111"/>
      <c r="K165" s="112"/>
      <c r="L165" s="113">
        <v>1877378</v>
      </c>
      <c r="M165" s="113">
        <v>0</v>
      </c>
      <c r="N165" s="113">
        <v>0</v>
      </c>
      <c r="O165" s="113">
        <f t="shared" si="14"/>
        <v>1877378</v>
      </c>
      <c r="P165" s="113">
        <v>0</v>
      </c>
      <c r="Q165" s="114" t="e">
        <f t="shared" si="15"/>
        <v>#DIV/0!</v>
      </c>
      <c r="R165" s="115"/>
      <c r="S165" s="316">
        <v>43100</v>
      </c>
    </row>
    <row r="166" spans="1:30" customFormat="1" ht="31.5">
      <c r="A166" s="107">
        <f t="shared" si="16"/>
        <v>147</v>
      </c>
      <c r="B166" s="276" t="s">
        <v>228</v>
      </c>
      <c r="C166" s="118" t="s">
        <v>190</v>
      </c>
      <c r="D166" s="118"/>
      <c r="E166" s="109" t="s">
        <v>218</v>
      </c>
      <c r="F166" s="118">
        <v>4</v>
      </c>
      <c r="G166" s="118">
        <v>2</v>
      </c>
      <c r="H166" s="118"/>
      <c r="I166" s="118"/>
      <c r="J166" s="118"/>
      <c r="K166" s="119"/>
      <c r="L166" s="113">
        <v>2945836</v>
      </c>
      <c r="M166" s="113">
        <v>0</v>
      </c>
      <c r="N166" s="113">
        <v>0</v>
      </c>
      <c r="O166" s="113">
        <f t="shared" si="14"/>
        <v>2945836</v>
      </c>
      <c r="P166" s="113">
        <v>0</v>
      </c>
      <c r="Q166" s="114" t="e">
        <f t="shared" si="15"/>
        <v>#DIV/0!</v>
      </c>
      <c r="R166" s="115"/>
      <c r="S166" s="316">
        <v>43100</v>
      </c>
    </row>
    <row r="167" spans="1:30" customFormat="1" ht="31.5">
      <c r="A167" s="107">
        <f t="shared" si="16"/>
        <v>148</v>
      </c>
      <c r="B167" s="276" t="s">
        <v>225</v>
      </c>
      <c r="C167" s="118">
        <v>1932</v>
      </c>
      <c r="D167" s="118"/>
      <c r="E167" s="109" t="s">
        <v>218</v>
      </c>
      <c r="F167" s="118">
        <v>5</v>
      </c>
      <c r="G167" s="118">
        <v>5</v>
      </c>
      <c r="H167" s="118"/>
      <c r="I167" s="118"/>
      <c r="J167" s="118"/>
      <c r="K167" s="119"/>
      <c r="L167" s="113">
        <v>1118494</v>
      </c>
      <c r="M167" s="113">
        <v>0</v>
      </c>
      <c r="N167" s="113">
        <v>0</v>
      </c>
      <c r="O167" s="113">
        <f t="shared" si="14"/>
        <v>1118494</v>
      </c>
      <c r="P167" s="113">
        <v>0</v>
      </c>
      <c r="Q167" s="114" t="e">
        <f t="shared" si="15"/>
        <v>#DIV/0!</v>
      </c>
      <c r="R167" s="115"/>
      <c r="S167" s="316">
        <v>43100</v>
      </c>
    </row>
    <row r="168" spans="1:30" customFormat="1" ht="31.5">
      <c r="A168" s="107">
        <f t="shared" si="16"/>
        <v>149</v>
      </c>
      <c r="B168" s="276" t="s">
        <v>232</v>
      </c>
      <c r="C168" s="118" t="s">
        <v>190</v>
      </c>
      <c r="D168" s="118"/>
      <c r="E168" s="109" t="s">
        <v>218</v>
      </c>
      <c r="F168" s="118">
        <v>3</v>
      </c>
      <c r="G168" s="118">
        <v>2</v>
      </c>
      <c r="H168" s="118"/>
      <c r="I168" s="118"/>
      <c r="J168" s="118"/>
      <c r="K168" s="119"/>
      <c r="L168" s="113">
        <v>2540427</v>
      </c>
      <c r="M168" s="113">
        <v>0</v>
      </c>
      <c r="N168" s="113">
        <v>0</v>
      </c>
      <c r="O168" s="113">
        <f t="shared" si="14"/>
        <v>2540427</v>
      </c>
      <c r="P168" s="113">
        <v>0</v>
      </c>
      <c r="Q168" s="114" t="e">
        <f t="shared" si="15"/>
        <v>#DIV/0!</v>
      </c>
      <c r="R168" s="115"/>
      <c r="S168" s="316">
        <v>43100</v>
      </c>
    </row>
    <row r="169" spans="1:30" customFormat="1" ht="31.5">
      <c r="A169" s="107">
        <f t="shared" si="16"/>
        <v>150</v>
      </c>
      <c r="B169" s="276" t="s">
        <v>275</v>
      </c>
      <c r="C169" s="107">
        <v>1951</v>
      </c>
      <c r="D169" s="108"/>
      <c r="E169" s="109" t="s">
        <v>218</v>
      </c>
      <c r="F169" s="108">
        <v>3</v>
      </c>
      <c r="G169" s="108">
        <v>3</v>
      </c>
      <c r="H169" s="117"/>
      <c r="I169" s="117"/>
      <c r="J169" s="117"/>
      <c r="K169" s="101"/>
      <c r="L169" s="113">
        <v>2253297</v>
      </c>
      <c r="M169" s="113">
        <v>0</v>
      </c>
      <c r="N169" s="113">
        <v>0</v>
      </c>
      <c r="O169" s="113">
        <f t="shared" si="14"/>
        <v>2253297</v>
      </c>
      <c r="P169" s="113">
        <v>0</v>
      </c>
      <c r="Q169" s="114" t="e">
        <f t="shared" si="15"/>
        <v>#DIV/0!</v>
      </c>
      <c r="R169" s="115"/>
      <c r="S169" s="316">
        <v>43100</v>
      </c>
    </row>
    <row r="170" spans="1:30" customFormat="1" ht="21.75" customHeight="1">
      <c r="A170" s="107">
        <f t="shared" si="16"/>
        <v>151</v>
      </c>
      <c r="B170" s="276" t="s">
        <v>286</v>
      </c>
      <c r="C170" s="108">
        <v>1971</v>
      </c>
      <c r="D170" s="108"/>
      <c r="E170" s="109" t="s">
        <v>219</v>
      </c>
      <c r="F170" s="110">
        <v>5</v>
      </c>
      <c r="G170" s="110">
        <v>4</v>
      </c>
      <c r="H170" s="111"/>
      <c r="I170" s="111"/>
      <c r="J170" s="111"/>
      <c r="K170" s="112"/>
      <c r="L170" s="113">
        <v>1390061</v>
      </c>
      <c r="M170" s="113">
        <v>0</v>
      </c>
      <c r="N170" s="113">
        <v>0</v>
      </c>
      <c r="O170" s="113">
        <f t="shared" si="14"/>
        <v>1390061</v>
      </c>
      <c r="P170" s="113">
        <v>0</v>
      </c>
      <c r="Q170" s="114" t="e">
        <f t="shared" si="15"/>
        <v>#DIV/0!</v>
      </c>
      <c r="R170" s="115"/>
      <c r="S170" s="316">
        <v>43100</v>
      </c>
    </row>
    <row r="171" spans="1:30" customFormat="1" ht="31.5">
      <c r="A171" s="107">
        <f t="shared" si="16"/>
        <v>152</v>
      </c>
      <c r="B171" s="275" t="s">
        <v>342</v>
      </c>
      <c r="C171" s="107">
        <v>1961</v>
      </c>
      <c r="D171" s="108"/>
      <c r="E171" s="109" t="s">
        <v>218</v>
      </c>
      <c r="F171" s="108">
        <v>5</v>
      </c>
      <c r="G171" s="108">
        <v>4</v>
      </c>
      <c r="H171" s="117"/>
      <c r="I171" s="117"/>
      <c r="J171" s="117"/>
      <c r="K171" s="101"/>
      <c r="L171" s="113">
        <v>3213804</v>
      </c>
      <c r="M171" s="113">
        <v>0</v>
      </c>
      <c r="N171" s="113">
        <v>0</v>
      </c>
      <c r="O171" s="113">
        <f t="shared" si="14"/>
        <v>3213804</v>
      </c>
      <c r="P171" s="113">
        <v>0</v>
      </c>
      <c r="Q171" s="114" t="e">
        <f t="shared" si="15"/>
        <v>#DIV/0!</v>
      </c>
      <c r="R171" s="115"/>
      <c r="S171" s="316">
        <v>43100</v>
      </c>
    </row>
    <row r="172" spans="1:30" customFormat="1" ht="31.5">
      <c r="A172" s="107">
        <f t="shared" si="16"/>
        <v>153</v>
      </c>
      <c r="B172" s="276" t="s">
        <v>298</v>
      </c>
      <c r="C172" s="108">
        <v>1958</v>
      </c>
      <c r="D172" s="108"/>
      <c r="E172" s="109" t="s">
        <v>218</v>
      </c>
      <c r="F172" s="110">
        <v>4</v>
      </c>
      <c r="G172" s="110">
        <v>3</v>
      </c>
      <c r="H172" s="111"/>
      <c r="I172" s="111"/>
      <c r="J172" s="111"/>
      <c r="K172" s="112"/>
      <c r="L172" s="113">
        <v>3202371</v>
      </c>
      <c r="M172" s="113">
        <v>0</v>
      </c>
      <c r="N172" s="113">
        <v>0</v>
      </c>
      <c r="O172" s="113">
        <f t="shared" si="14"/>
        <v>3202371</v>
      </c>
      <c r="P172" s="113">
        <v>0</v>
      </c>
      <c r="Q172" s="114" t="e">
        <f t="shared" si="15"/>
        <v>#DIV/0!</v>
      </c>
      <c r="R172" s="115"/>
      <c r="S172" s="316">
        <v>43100</v>
      </c>
    </row>
    <row r="173" spans="1:30" s="3" customFormat="1" ht="31.5">
      <c r="A173" s="107">
        <f t="shared" si="16"/>
        <v>154</v>
      </c>
      <c r="B173" s="276" t="s">
        <v>253</v>
      </c>
      <c r="C173" s="118">
        <v>1959</v>
      </c>
      <c r="D173" s="118"/>
      <c r="E173" s="109" t="s">
        <v>218</v>
      </c>
      <c r="F173" s="118">
        <v>2</v>
      </c>
      <c r="G173" s="118">
        <v>1</v>
      </c>
      <c r="H173" s="118"/>
      <c r="I173" s="118"/>
      <c r="J173" s="118"/>
      <c r="K173" s="119"/>
      <c r="L173" s="113">
        <v>709022</v>
      </c>
      <c r="M173" s="113">
        <v>0</v>
      </c>
      <c r="N173" s="113">
        <v>0</v>
      </c>
      <c r="O173" s="113">
        <f t="shared" si="14"/>
        <v>709022</v>
      </c>
      <c r="P173" s="113">
        <v>0</v>
      </c>
      <c r="Q173" s="114" t="e">
        <f t="shared" si="15"/>
        <v>#DIV/0!</v>
      </c>
      <c r="R173" s="115"/>
      <c r="S173" s="316">
        <v>43100</v>
      </c>
      <c r="T173"/>
      <c r="U173"/>
      <c r="V173"/>
      <c r="W173"/>
      <c r="X173"/>
      <c r="Y173"/>
      <c r="Z173"/>
      <c r="AA173"/>
      <c r="AB173"/>
      <c r="AC173"/>
      <c r="AD173"/>
    </row>
    <row r="174" spans="1:30" customFormat="1" ht="31.5">
      <c r="A174" s="107">
        <f t="shared" si="16"/>
        <v>155</v>
      </c>
      <c r="B174" s="276" t="s">
        <v>260</v>
      </c>
      <c r="C174" s="118">
        <v>1958</v>
      </c>
      <c r="D174" s="118"/>
      <c r="E174" s="109" t="s">
        <v>218</v>
      </c>
      <c r="F174" s="118">
        <v>2</v>
      </c>
      <c r="G174" s="118">
        <v>1</v>
      </c>
      <c r="H174" s="118"/>
      <c r="I174" s="118"/>
      <c r="J174" s="118"/>
      <c r="K174" s="119"/>
      <c r="L174" s="113">
        <v>1136930</v>
      </c>
      <c r="M174" s="113">
        <v>0</v>
      </c>
      <c r="N174" s="113">
        <v>0</v>
      </c>
      <c r="O174" s="113">
        <f t="shared" si="14"/>
        <v>1136930</v>
      </c>
      <c r="P174" s="113">
        <v>0</v>
      </c>
      <c r="Q174" s="114" t="e">
        <f t="shared" si="15"/>
        <v>#DIV/0!</v>
      </c>
      <c r="R174" s="115"/>
      <c r="S174" s="316">
        <v>43100</v>
      </c>
    </row>
    <row r="175" spans="1:30" customFormat="1" ht="31.5">
      <c r="A175" s="107">
        <f t="shared" si="16"/>
        <v>156</v>
      </c>
      <c r="B175" s="276" t="s">
        <v>349</v>
      </c>
      <c r="C175" s="108">
        <v>1958</v>
      </c>
      <c r="D175" s="108"/>
      <c r="E175" s="109" t="s">
        <v>218</v>
      </c>
      <c r="F175" s="110">
        <v>2</v>
      </c>
      <c r="G175" s="110">
        <v>2</v>
      </c>
      <c r="H175" s="111"/>
      <c r="I175" s="111"/>
      <c r="J175" s="111"/>
      <c r="K175" s="112"/>
      <c r="L175" s="113">
        <v>1320636</v>
      </c>
      <c r="M175" s="113">
        <v>0</v>
      </c>
      <c r="N175" s="113">
        <v>0</v>
      </c>
      <c r="O175" s="113">
        <f t="shared" si="14"/>
        <v>1320636</v>
      </c>
      <c r="P175" s="113">
        <v>0</v>
      </c>
      <c r="Q175" s="114" t="e">
        <f t="shared" si="15"/>
        <v>#DIV/0!</v>
      </c>
      <c r="R175" s="115"/>
      <c r="S175" s="316">
        <v>43100</v>
      </c>
    </row>
    <row r="176" spans="1:30" customFormat="1" ht="15.75">
      <c r="A176" s="107">
        <f t="shared" si="16"/>
        <v>157</v>
      </c>
      <c r="B176" s="276" t="s">
        <v>302</v>
      </c>
      <c r="C176" s="108">
        <v>1986</v>
      </c>
      <c r="D176" s="108"/>
      <c r="E176" s="109" t="s">
        <v>219</v>
      </c>
      <c r="F176" s="110">
        <v>9</v>
      </c>
      <c r="G176" s="110">
        <v>3</v>
      </c>
      <c r="H176" s="111"/>
      <c r="I176" s="111"/>
      <c r="J176" s="111"/>
      <c r="K176" s="112"/>
      <c r="L176" s="113">
        <v>4265098</v>
      </c>
      <c r="M176" s="113">
        <v>0</v>
      </c>
      <c r="N176" s="113">
        <v>0</v>
      </c>
      <c r="O176" s="113">
        <f t="shared" si="14"/>
        <v>4265098</v>
      </c>
      <c r="P176" s="113">
        <v>0</v>
      </c>
      <c r="Q176" s="114" t="e">
        <f t="shared" si="15"/>
        <v>#DIV/0!</v>
      </c>
      <c r="R176" s="115"/>
      <c r="S176" s="316">
        <v>43100</v>
      </c>
    </row>
    <row r="177" spans="1:30" customFormat="1" ht="31.5">
      <c r="A177" s="107">
        <f t="shared" si="16"/>
        <v>158</v>
      </c>
      <c r="B177" s="276" t="s">
        <v>341</v>
      </c>
      <c r="C177" s="107">
        <v>1963</v>
      </c>
      <c r="D177" s="108"/>
      <c r="E177" s="109" t="s">
        <v>218</v>
      </c>
      <c r="F177" s="108">
        <v>4</v>
      </c>
      <c r="G177" s="108">
        <v>4</v>
      </c>
      <c r="H177" s="117"/>
      <c r="I177" s="117"/>
      <c r="J177" s="117"/>
      <c r="K177" s="101"/>
      <c r="L177" s="113">
        <v>2115890</v>
      </c>
      <c r="M177" s="113">
        <v>0</v>
      </c>
      <c r="N177" s="113">
        <v>0</v>
      </c>
      <c r="O177" s="113">
        <f t="shared" si="14"/>
        <v>2115890</v>
      </c>
      <c r="P177" s="113">
        <v>0</v>
      </c>
      <c r="Q177" s="114" t="e">
        <f t="shared" si="15"/>
        <v>#DIV/0!</v>
      </c>
      <c r="R177" s="115"/>
      <c r="S177" s="316">
        <v>43100</v>
      </c>
    </row>
    <row r="178" spans="1:30" customFormat="1" ht="31.5">
      <c r="A178" s="107">
        <f t="shared" si="16"/>
        <v>159</v>
      </c>
      <c r="B178" s="275" t="s">
        <v>242</v>
      </c>
      <c r="C178" s="118">
        <v>1961</v>
      </c>
      <c r="D178" s="118"/>
      <c r="E178" s="109" t="s">
        <v>218</v>
      </c>
      <c r="F178" s="118">
        <v>3</v>
      </c>
      <c r="G178" s="118">
        <v>2</v>
      </c>
      <c r="H178" s="118"/>
      <c r="I178" s="118"/>
      <c r="J178" s="118"/>
      <c r="K178" s="119"/>
      <c r="L178" s="113">
        <v>482251.51</v>
      </c>
      <c r="M178" s="113">
        <v>0</v>
      </c>
      <c r="N178" s="113">
        <v>0</v>
      </c>
      <c r="O178" s="113">
        <f t="shared" si="14"/>
        <v>482251.51</v>
      </c>
      <c r="P178" s="113">
        <v>0</v>
      </c>
      <c r="Q178" s="114" t="e">
        <f t="shared" si="15"/>
        <v>#DIV/0!</v>
      </c>
      <c r="R178" s="115"/>
      <c r="S178" s="316">
        <v>43100</v>
      </c>
    </row>
    <row r="179" spans="1:30" customFormat="1" ht="31.5">
      <c r="A179" s="107">
        <f t="shared" si="16"/>
        <v>160</v>
      </c>
      <c r="B179" s="276" t="s">
        <v>279</v>
      </c>
      <c r="C179" s="107">
        <v>1959</v>
      </c>
      <c r="D179" s="108"/>
      <c r="E179" s="109" t="s">
        <v>218</v>
      </c>
      <c r="F179" s="108">
        <v>3</v>
      </c>
      <c r="G179" s="108">
        <v>2</v>
      </c>
      <c r="H179" s="117"/>
      <c r="I179" s="117"/>
      <c r="J179" s="117"/>
      <c r="K179" s="101"/>
      <c r="L179" s="113">
        <v>1018040.92</v>
      </c>
      <c r="M179" s="113">
        <v>0</v>
      </c>
      <c r="N179" s="113">
        <v>0</v>
      </c>
      <c r="O179" s="113">
        <f t="shared" si="14"/>
        <v>1018040.92</v>
      </c>
      <c r="P179" s="113">
        <v>0</v>
      </c>
      <c r="Q179" s="114" t="e">
        <f t="shared" si="15"/>
        <v>#DIV/0!</v>
      </c>
      <c r="R179" s="115"/>
      <c r="S179" s="316">
        <v>43100</v>
      </c>
    </row>
    <row r="180" spans="1:30" customFormat="1" ht="31.5">
      <c r="A180" s="107">
        <f t="shared" si="16"/>
        <v>161</v>
      </c>
      <c r="B180" s="276" t="s">
        <v>262</v>
      </c>
      <c r="C180" s="118">
        <v>1977</v>
      </c>
      <c r="D180" s="118"/>
      <c r="E180" s="109" t="s">
        <v>218</v>
      </c>
      <c r="F180" s="118">
        <v>9</v>
      </c>
      <c r="G180" s="118">
        <v>1</v>
      </c>
      <c r="H180" s="118"/>
      <c r="I180" s="118"/>
      <c r="J180" s="118"/>
      <c r="K180" s="119"/>
      <c r="L180" s="113">
        <v>1871554</v>
      </c>
      <c r="M180" s="113">
        <v>0</v>
      </c>
      <c r="N180" s="113">
        <v>0</v>
      </c>
      <c r="O180" s="113">
        <f t="shared" ref="O180:O187" si="17">L180</f>
        <v>1871554</v>
      </c>
      <c r="P180" s="113">
        <v>0</v>
      </c>
      <c r="Q180" s="114" t="e">
        <f t="shared" ref="Q180:Q187" si="18">L180/I180</f>
        <v>#DIV/0!</v>
      </c>
      <c r="R180" s="115"/>
      <c r="S180" s="316">
        <v>43100</v>
      </c>
    </row>
    <row r="181" spans="1:30" customFormat="1" ht="31.5">
      <c r="A181" s="107">
        <f t="shared" si="16"/>
        <v>162</v>
      </c>
      <c r="B181" s="275" t="s">
        <v>290</v>
      </c>
      <c r="C181" s="108">
        <v>1974</v>
      </c>
      <c r="D181" s="108"/>
      <c r="E181" s="109" t="s">
        <v>218</v>
      </c>
      <c r="F181" s="110">
        <v>5</v>
      </c>
      <c r="G181" s="110">
        <v>4</v>
      </c>
      <c r="H181" s="111"/>
      <c r="I181" s="111"/>
      <c r="J181" s="111"/>
      <c r="K181" s="112"/>
      <c r="L181" s="113">
        <v>2652530</v>
      </c>
      <c r="M181" s="113">
        <v>0</v>
      </c>
      <c r="N181" s="113">
        <v>0</v>
      </c>
      <c r="O181" s="113">
        <f t="shared" si="17"/>
        <v>2652530</v>
      </c>
      <c r="P181" s="113">
        <v>0</v>
      </c>
      <c r="Q181" s="114" t="e">
        <f t="shared" si="18"/>
        <v>#DIV/0!</v>
      </c>
      <c r="R181" s="115"/>
      <c r="S181" s="316">
        <v>43100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customFormat="1" ht="15.75">
      <c r="A182" s="107">
        <f t="shared" si="16"/>
        <v>163</v>
      </c>
      <c r="B182" s="276" t="s">
        <v>356</v>
      </c>
      <c r="C182" s="108">
        <v>1974</v>
      </c>
      <c r="D182" s="108"/>
      <c r="E182" s="109" t="s">
        <v>219</v>
      </c>
      <c r="F182" s="110">
        <v>5</v>
      </c>
      <c r="G182" s="110">
        <v>6</v>
      </c>
      <c r="H182" s="111"/>
      <c r="I182" s="111"/>
      <c r="J182" s="111"/>
      <c r="K182" s="112"/>
      <c r="L182" s="113">
        <v>3645969</v>
      </c>
      <c r="M182" s="113">
        <v>0</v>
      </c>
      <c r="N182" s="113">
        <v>0</v>
      </c>
      <c r="O182" s="113">
        <f t="shared" si="17"/>
        <v>3645969</v>
      </c>
      <c r="P182" s="113">
        <v>0</v>
      </c>
      <c r="Q182" s="114" t="e">
        <f t="shared" si="18"/>
        <v>#DIV/0!</v>
      </c>
      <c r="R182" s="115"/>
      <c r="S182" s="316">
        <v>43100</v>
      </c>
    </row>
    <row r="183" spans="1:30" s="62" customFormat="1" ht="15.75">
      <c r="A183" s="107">
        <f t="shared" si="16"/>
        <v>164</v>
      </c>
      <c r="B183" s="276" t="s">
        <v>354</v>
      </c>
      <c r="C183" s="107">
        <v>1986</v>
      </c>
      <c r="D183" s="108"/>
      <c r="E183" s="109" t="s">
        <v>219</v>
      </c>
      <c r="F183" s="108">
        <v>9</v>
      </c>
      <c r="G183" s="108">
        <v>1</v>
      </c>
      <c r="H183" s="117"/>
      <c r="I183" s="117"/>
      <c r="J183" s="117"/>
      <c r="K183" s="101"/>
      <c r="L183" s="113">
        <v>771330</v>
      </c>
      <c r="M183" s="113">
        <v>0</v>
      </c>
      <c r="N183" s="113">
        <v>0</v>
      </c>
      <c r="O183" s="113">
        <f t="shared" si="17"/>
        <v>771330</v>
      </c>
      <c r="P183" s="113">
        <v>0</v>
      </c>
      <c r="Q183" s="114" t="e">
        <f t="shared" si="18"/>
        <v>#DIV/0!</v>
      </c>
      <c r="R183" s="115"/>
      <c r="S183" s="316">
        <v>43100</v>
      </c>
      <c r="T183"/>
      <c r="U183"/>
      <c r="V183"/>
      <c r="W183"/>
      <c r="X183"/>
      <c r="Y183"/>
      <c r="Z183"/>
      <c r="AA183"/>
      <c r="AB183"/>
      <c r="AC183"/>
      <c r="AD183"/>
    </row>
    <row r="184" spans="1:30" customFormat="1" ht="15.75">
      <c r="A184" s="107">
        <f t="shared" si="16"/>
        <v>165</v>
      </c>
      <c r="B184" s="275" t="s">
        <v>352</v>
      </c>
      <c r="C184" s="118">
        <v>1972</v>
      </c>
      <c r="D184" s="118"/>
      <c r="E184" s="109" t="s">
        <v>219</v>
      </c>
      <c r="F184" s="118">
        <v>9</v>
      </c>
      <c r="G184" s="118">
        <v>1</v>
      </c>
      <c r="H184" s="118"/>
      <c r="I184" s="118"/>
      <c r="J184" s="118"/>
      <c r="K184" s="119"/>
      <c r="L184" s="113">
        <v>1894719</v>
      </c>
      <c r="M184" s="113">
        <v>0</v>
      </c>
      <c r="N184" s="113">
        <v>0</v>
      </c>
      <c r="O184" s="113">
        <f t="shared" si="17"/>
        <v>1894719</v>
      </c>
      <c r="P184" s="113">
        <v>0</v>
      </c>
      <c r="Q184" s="114" t="e">
        <f t="shared" si="18"/>
        <v>#DIV/0!</v>
      </c>
      <c r="R184" s="115"/>
      <c r="S184" s="316">
        <v>43100</v>
      </c>
    </row>
    <row r="185" spans="1:30" customFormat="1" ht="31.5">
      <c r="A185" s="107">
        <f t="shared" si="16"/>
        <v>166</v>
      </c>
      <c r="B185" s="271" t="s">
        <v>355</v>
      </c>
      <c r="C185" s="107">
        <v>1964</v>
      </c>
      <c r="D185" s="108"/>
      <c r="E185" s="109" t="s">
        <v>218</v>
      </c>
      <c r="F185" s="108">
        <v>5</v>
      </c>
      <c r="G185" s="108">
        <v>3</v>
      </c>
      <c r="H185" s="117"/>
      <c r="I185" s="117"/>
      <c r="J185" s="117"/>
      <c r="K185" s="101"/>
      <c r="L185" s="113">
        <v>1492412</v>
      </c>
      <c r="M185" s="113">
        <v>0</v>
      </c>
      <c r="N185" s="113">
        <v>0</v>
      </c>
      <c r="O185" s="113">
        <f t="shared" si="17"/>
        <v>1492412</v>
      </c>
      <c r="P185" s="113">
        <v>0</v>
      </c>
      <c r="Q185" s="114" t="e">
        <f t="shared" si="18"/>
        <v>#DIV/0!</v>
      </c>
      <c r="R185" s="115"/>
      <c r="S185" s="316">
        <v>43100</v>
      </c>
    </row>
    <row r="186" spans="1:30" customFormat="1" ht="31.5">
      <c r="A186" s="107">
        <f t="shared" si="16"/>
        <v>167</v>
      </c>
      <c r="B186" s="262" t="s">
        <v>318</v>
      </c>
      <c r="C186" s="118">
        <v>1884</v>
      </c>
      <c r="D186" s="118"/>
      <c r="E186" s="109" t="s">
        <v>218</v>
      </c>
      <c r="F186" s="118">
        <v>2</v>
      </c>
      <c r="G186" s="118">
        <v>2</v>
      </c>
      <c r="H186" s="118"/>
      <c r="I186" s="118"/>
      <c r="J186" s="118"/>
      <c r="K186" s="119"/>
      <c r="L186" s="113">
        <v>651523.25</v>
      </c>
      <c r="M186" s="113">
        <v>0</v>
      </c>
      <c r="N186" s="113">
        <v>0</v>
      </c>
      <c r="O186" s="113">
        <f t="shared" si="17"/>
        <v>651523.25</v>
      </c>
      <c r="P186" s="113">
        <v>0</v>
      </c>
      <c r="Q186" s="114" t="e">
        <f t="shared" si="18"/>
        <v>#DIV/0!</v>
      </c>
      <c r="R186" s="115"/>
      <c r="S186" s="316">
        <v>43100</v>
      </c>
    </row>
    <row r="187" spans="1:30" customFormat="1" ht="15.75">
      <c r="A187" s="107">
        <f t="shared" si="16"/>
        <v>168</v>
      </c>
      <c r="B187" s="271" t="s">
        <v>353</v>
      </c>
      <c r="C187" s="118">
        <v>1948</v>
      </c>
      <c r="D187" s="118"/>
      <c r="E187" s="109" t="s">
        <v>220</v>
      </c>
      <c r="F187" s="118">
        <v>2</v>
      </c>
      <c r="G187" s="118">
        <v>2</v>
      </c>
      <c r="H187" s="118"/>
      <c r="I187" s="118"/>
      <c r="J187" s="118"/>
      <c r="K187" s="119"/>
      <c r="L187" s="113">
        <v>1221424.83</v>
      </c>
      <c r="M187" s="113">
        <v>0</v>
      </c>
      <c r="N187" s="113">
        <v>0</v>
      </c>
      <c r="O187" s="113">
        <f t="shared" si="17"/>
        <v>1221424.83</v>
      </c>
      <c r="P187" s="113">
        <v>0</v>
      </c>
      <c r="Q187" s="114" t="e">
        <f t="shared" si="18"/>
        <v>#DIV/0!</v>
      </c>
      <c r="R187" s="115"/>
      <c r="S187" s="316">
        <v>43100</v>
      </c>
    </row>
    <row r="188" spans="1:30" s="1" customFormat="1" ht="23.45" customHeight="1">
      <c r="A188" s="107"/>
      <c r="B188" s="1380" t="s">
        <v>91</v>
      </c>
      <c r="C188" s="1380"/>
      <c r="D188" s="1380"/>
      <c r="E188" s="1380"/>
      <c r="F188" s="1381"/>
      <c r="G188" s="1381"/>
      <c r="H188" s="891">
        <f t="shared" ref="H188:N188" si="19">SUM(H189:H204)</f>
        <v>25162</v>
      </c>
      <c r="I188" s="891">
        <f t="shared" si="19"/>
        <v>23147.800000000003</v>
      </c>
      <c r="J188" s="891">
        <f t="shared" si="19"/>
        <v>18031.420000000002</v>
      </c>
      <c r="K188" s="892">
        <f t="shared" si="19"/>
        <v>816</v>
      </c>
      <c r="L188" s="113">
        <f t="shared" si="19"/>
        <v>31255395.629999999</v>
      </c>
      <c r="M188" s="113">
        <f t="shared" si="19"/>
        <v>0</v>
      </c>
      <c r="N188" s="113">
        <f t="shared" si="19"/>
        <v>0</v>
      </c>
      <c r="O188" s="113">
        <f>SUM(O189:O204)</f>
        <v>31255395.629999999</v>
      </c>
      <c r="P188" s="113">
        <f t="shared" ref="P188" si="20">SUM(P189:P203)</f>
        <v>0</v>
      </c>
      <c r="Q188" s="106" t="s">
        <v>40</v>
      </c>
      <c r="R188" s="106" t="s">
        <v>40</v>
      </c>
      <c r="S188" s="316">
        <v>43100</v>
      </c>
    </row>
    <row r="189" spans="1:30" s="30" customFormat="1" ht="31.5">
      <c r="A189" s="107">
        <v>1</v>
      </c>
      <c r="B189" s="874" t="s">
        <v>927</v>
      </c>
      <c r="C189" s="108">
        <v>1962</v>
      </c>
      <c r="D189" s="108"/>
      <c r="E189" s="611" t="s">
        <v>218</v>
      </c>
      <c r="F189" s="893">
        <v>5</v>
      </c>
      <c r="G189" s="893">
        <v>4</v>
      </c>
      <c r="H189" s="893">
        <v>3005.3</v>
      </c>
      <c r="I189" s="893">
        <v>2844.5</v>
      </c>
      <c r="J189" s="893">
        <v>2525.6999999999998</v>
      </c>
      <c r="K189" s="893">
        <v>92</v>
      </c>
      <c r="L189" s="655">
        <f>O189</f>
        <v>3615424</v>
      </c>
      <c r="M189" s="113">
        <v>0</v>
      </c>
      <c r="N189" s="113">
        <v>0</v>
      </c>
      <c r="O189" s="113">
        <v>3615424</v>
      </c>
      <c r="P189" s="113">
        <v>0</v>
      </c>
      <c r="Q189" s="114">
        <f t="shared" ref="Q189:Q204" si="21">L189/I189</f>
        <v>1271.0226753383722</v>
      </c>
      <c r="R189" s="114">
        <v>7822</v>
      </c>
      <c r="S189" s="316">
        <v>43100</v>
      </c>
    </row>
    <row r="190" spans="1:30" s="30" customFormat="1" ht="31.5">
      <c r="A190" s="107">
        <f t="shared" si="16"/>
        <v>2</v>
      </c>
      <c r="B190" s="874" t="s">
        <v>928</v>
      </c>
      <c r="C190" s="108">
        <v>1992</v>
      </c>
      <c r="D190" s="108"/>
      <c r="E190" s="611" t="s">
        <v>218</v>
      </c>
      <c r="F190" s="893">
        <v>5</v>
      </c>
      <c r="G190" s="893">
        <v>7</v>
      </c>
      <c r="H190" s="893">
        <v>5555.6</v>
      </c>
      <c r="I190" s="893">
        <v>5004.6000000000004</v>
      </c>
      <c r="J190" s="893">
        <v>4087.1</v>
      </c>
      <c r="K190" s="893">
        <v>210</v>
      </c>
      <c r="L190" s="655">
        <f t="shared" ref="L190:L204" si="22">O190</f>
        <v>3435122.02</v>
      </c>
      <c r="M190" s="113">
        <v>0</v>
      </c>
      <c r="N190" s="113">
        <v>0</v>
      </c>
      <c r="O190" s="113">
        <v>3435122.02</v>
      </c>
      <c r="P190" s="113">
        <v>0</v>
      </c>
      <c r="Q190" s="114">
        <f t="shared" si="21"/>
        <v>686.39292251128961</v>
      </c>
      <c r="R190" s="114">
        <v>7822</v>
      </c>
      <c r="S190" s="316">
        <v>43100</v>
      </c>
    </row>
    <row r="191" spans="1:30" s="30" customFormat="1" ht="31.5">
      <c r="A191" s="107">
        <f t="shared" si="16"/>
        <v>3</v>
      </c>
      <c r="B191" s="874" t="s">
        <v>929</v>
      </c>
      <c r="C191" s="108">
        <v>1958</v>
      </c>
      <c r="D191" s="108"/>
      <c r="E191" s="611" t="s">
        <v>218</v>
      </c>
      <c r="F191" s="893">
        <v>2</v>
      </c>
      <c r="G191" s="893">
        <v>1</v>
      </c>
      <c r="H191" s="893">
        <v>498.8</v>
      </c>
      <c r="I191" s="893">
        <v>454.6</v>
      </c>
      <c r="J191" s="893">
        <v>454.6</v>
      </c>
      <c r="K191" s="893">
        <v>18</v>
      </c>
      <c r="L191" s="655">
        <f t="shared" si="22"/>
        <v>1525199</v>
      </c>
      <c r="M191" s="113">
        <v>0</v>
      </c>
      <c r="N191" s="113">
        <v>0</v>
      </c>
      <c r="O191" s="113">
        <v>1525199</v>
      </c>
      <c r="P191" s="113">
        <v>0</v>
      </c>
      <c r="Q191" s="114">
        <f t="shared" si="21"/>
        <v>3355.0351957765065</v>
      </c>
      <c r="R191" s="114">
        <v>7822</v>
      </c>
      <c r="S191" s="316">
        <v>43100</v>
      </c>
    </row>
    <row r="192" spans="1:30" s="30" customFormat="1" ht="31.5">
      <c r="A192" s="107">
        <f t="shared" si="16"/>
        <v>4</v>
      </c>
      <c r="B192" s="874" t="s">
        <v>930</v>
      </c>
      <c r="C192" s="107">
        <v>1956</v>
      </c>
      <c r="D192" s="270"/>
      <c r="E192" s="611" t="s">
        <v>218</v>
      </c>
      <c r="F192" s="893">
        <v>2</v>
      </c>
      <c r="G192" s="893">
        <v>3</v>
      </c>
      <c r="H192" s="893">
        <v>854.1</v>
      </c>
      <c r="I192" s="893">
        <v>811.6</v>
      </c>
      <c r="J192" s="893">
        <v>519.32000000000005</v>
      </c>
      <c r="K192" s="893">
        <v>28</v>
      </c>
      <c r="L192" s="655">
        <f t="shared" si="22"/>
        <v>2379167.9900000002</v>
      </c>
      <c r="M192" s="113">
        <v>0</v>
      </c>
      <c r="N192" s="113">
        <v>0</v>
      </c>
      <c r="O192" s="113">
        <v>2379167.9900000002</v>
      </c>
      <c r="P192" s="113">
        <v>0</v>
      </c>
      <c r="Q192" s="114">
        <f t="shared" si="21"/>
        <v>2931.4539058649584</v>
      </c>
      <c r="R192" s="114">
        <v>7822</v>
      </c>
      <c r="S192" s="316">
        <v>43100</v>
      </c>
    </row>
    <row r="193" spans="1:19" s="30" customFormat="1" ht="31.5">
      <c r="A193" s="107">
        <f t="shared" si="16"/>
        <v>5</v>
      </c>
      <c r="B193" s="874" t="s">
        <v>931</v>
      </c>
      <c r="C193" s="108">
        <v>1960</v>
      </c>
      <c r="D193" s="108"/>
      <c r="E193" s="611" t="s">
        <v>218</v>
      </c>
      <c r="F193" s="893">
        <v>3</v>
      </c>
      <c r="G193" s="893">
        <v>3</v>
      </c>
      <c r="H193" s="893">
        <v>1534.2</v>
      </c>
      <c r="I193" s="893">
        <v>1616.2</v>
      </c>
      <c r="J193" s="893">
        <v>1493.1</v>
      </c>
      <c r="K193" s="893">
        <v>47</v>
      </c>
      <c r="L193" s="655">
        <f t="shared" si="22"/>
        <v>2435193</v>
      </c>
      <c r="M193" s="113">
        <v>0</v>
      </c>
      <c r="N193" s="113">
        <v>0</v>
      </c>
      <c r="O193" s="113">
        <v>2435193</v>
      </c>
      <c r="P193" s="113">
        <v>0</v>
      </c>
      <c r="Q193" s="114">
        <f t="shared" si="21"/>
        <v>1506.7398836777627</v>
      </c>
      <c r="R193" s="114">
        <v>7822</v>
      </c>
      <c r="S193" s="316">
        <v>43100</v>
      </c>
    </row>
    <row r="194" spans="1:19" s="30" customFormat="1" ht="31.5">
      <c r="A194" s="107">
        <v>6</v>
      </c>
      <c r="B194" s="874" t="s">
        <v>932</v>
      </c>
      <c r="C194" s="108">
        <v>1936</v>
      </c>
      <c r="D194" s="108"/>
      <c r="E194" s="611" t="s">
        <v>218</v>
      </c>
      <c r="F194" s="893">
        <v>3</v>
      </c>
      <c r="G194" s="893">
        <v>4</v>
      </c>
      <c r="H194" s="893">
        <v>2389.4</v>
      </c>
      <c r="I194" s="893">
        <v>2172.1</v>
      </c>
      <c r="J194" s="893">
        <v>1560</v>
      </c>
      <c r="K194" s="893">
        <v>33</v>
      </c>
      <c r="L194" s="655">
        <f t="shared" si="22"/>
        <v>2705457.32</v>
      </c>
      <c r="M194" s="113">
        <v>0</v>
      </c>
      <c r="N194" s="113">
        <v>0</v>
      </c>
      <c r="O194" s="113">
        <v>2705457.32</v>
      </c>
      <c r="P194" s="113">
        <v>0</v>
      </c>
      <c r="Q194" s="114">
        <f t="shared" si="21"/>
        <v>1245.5491551954331</v>
      </c>
      <c r="R194" s="114">
        <v>7822</v>
      </c>
      <c r="S194" s="316">
        <v>43100</v>
      </c>
    </row>
    <row r="195" spans="1:19" s="30" customFormat="1" ht="31.5">
      <c r="A195" s="107">
        <v>7</v>
      </c>
      <c r="B195" s="874" t="s">
        <v>933</v>
      </c>
      <c r="C195" s="108">
        <v>1993</v>
      </c>
      <c r="D195" s="108"/>
      <c r="E195" s="611" t="s">
        <v>218</v>
      </c>
      <c r="F195" s="893">
        <v>3</v>
      </c>
      <c r="G195" s="893">
        <v>2</v>
      </c>
      <c r="H195" s="893">
        <v>870</v>
      </c>
      <c r="I195" s="893">
        <v>845.5</v>
      </c>
      <c r="J195" s="893">
        <v>799.3</v>
      </c>
      <c r="K195" s="893">
        <v>32</v>
      </c>
      <c r="L195" s="655">
        <f t="shared" si="22"/>
        <v>954408.5</v>
      </c>
      <c r="M195" s="113">
        <v>0</v>
      </c>
      <c r="N195" s="113">
        <v>0</v>
      </c>
      <c r="O195" s="113">
        <v>954408.5</v>
      </c>
      <c r="P195" s="113">
        <v>0</v>
      </c>
      <c r="Q195" s="114">
        <f t="shared" si="21"/>
        <v>1128.8095801301006</v>
      </c>
      <c r="R195" s="114">
        <v>7822</v>
      </c>
      <c r="S195" s="316">
        <v>43100</v>
      </c>
    </row>
    <row r="196" spans="1:19" s="30" customFormat="1" ht="31.5">
      <c r="A196" s="107">
        <v>8</v>
      </c>
      <c r="B196" s="874" t="s">
        <v>934</v>
      </c>
      <c r="C196" s="108">
        <v>1917</v>
      </c>
      <c r="D196" s="108"/>
      <c r="E196" s="611" t="s">
        <v>218</v>
      </c>
      <c r="F196" s="893">
        <v>3</v>
      </c>
      <c r="G196" s="893">
        <v>1</v>
      </c>
      <c r="H196" s="893">
        <v>978.9</v>
      </c>
      <c r="I196" s="893">
        <v>900.2</v>
      </c>
      <c r="J196" s="893">
        <v>229.3</v>
      </c>
      <c r="K196" s="893">
        <v>10</v>
      </c>
      <c r="L196" s="655">
        <f t="shared" si="22"/>
        <v>2430125</v>
      </c>
      <c r="M196" s="113">
        <v>0</v>
      </c>
      <c r="N196" s="113">
        <v>0</v>
      </c>
      <c r="O196" s="113">
        <v>2430125</v>
      </c>
      <c r="P196" s="113">
        <v>0</v>
      </c>
      <c r="Q196" s="114">
        <f t="shared" si="21"/>
        <v>2699.5389913352587</v>
      </c>
      <c r="R196" s="114">
        <v>7822</v>
      </c>
      <c r="S196" s="316">
        <v>43100</v>
      </c>
    </row>
    <row r="197" spans="1:19" s="30" customFormat="1" ht="31.5">
      <c r="A197" s="107">
        <v>9</v>
      </c>
      <c r="B197" s="874" t="s">
        <v>935</v>
      </c>
      <c r="C197" s="108">
        <v>1917</v>
      </c>
      <c r="D197" s="108"/>
      <c r="E197" s="611" t="s">
        <v>218</v>
      </c>
      <c r="F197" s="893">
        <v>3</v>
      </c>
      <c r="G197" s="893">
        <v>3</v>
      </c>
      <c r="H197" s="893">
        <v>2020.3</v>
      </c>
      <c r="I197" s="893">
        <v>1816.9</v>
      </c>
      <c r="J197" s="893">
        <v>1314.2</v>
      </c>
      <c r="K197" s="893">
        <v>47</v>
      </c>
      <c r="L197" s="655">
        <f t="shared" si="22"/>
        <v>2505651</v>
      </c>
      <c r="M197" s="113">
        <v>0</v>
      </c>
      <c r="N197" s="113">
        <v>0</v>
      </c>
      <c r="O197" s="113">
        <v>2505651</v>
      </c>
      <c r="P197" s="113">
        <v>0</v>
      </c>
      <c r="Q197" s="114">
        <f t="shared" si="21"/>
        <v>1379.0803016126367</v>
      </c>
      <c r="R197" s="114">
        <v>7822</v>
      </c>
      <c r="S197" s="316">
        <v>43100</v>
      </c>
    </row>
    <row r="198" spans="1:19" s="30" customFormat="1" ht="31.5">
      <c r="A198" s="107">
        <v>10</v>
      </c>
      <c r="B198" s="874" t="s">
        <v>936</v>
      </c>
      <c r="C198" s="108">
        <v>1961</v>
      </c>
      <c r="D198" s="108"/>
      <c r="E198" s="611" t="s">
        <v>218</v>
      </c>
      <c r="F198" s="893">
        <v>3</v>
      </c>
      <c r="G198" s="893">
        <v>2</v>
      </c>
      <c r="H198" s="893">
        <v>942.6</v>
      </c>
      <c r="I198" s="893">
        <v>942.6</v>
      </c>
      <c r="J198" s="893">
        <v>623.9</v>
      </c>
      <c r="K198" s="893">
        <v>34</v>
      </c>
      <c r="L198" s="655">
        <f t="shared" si="22"/>
        <v>1546987</v>
      </c>
      <c r="M198" s="113">
        <v>0</v>
      </c>
      <c r="N198" s="113">
        <v>0</v>
      </c>
      <c r="O198" s="113">
        <v>1546987</v>
      </c>
      <c r="P198" s="113">
        <v>0</v>
      </c>
      <c r="Q198" s="114">
        <f t="shared" si="21"/>
        <v>1641.1913855293867</v>
      </c>
      <c r="R198" s="114">
        <v>7822</v>
      </c>
      <c r="S198" s="316">
        <v>43100</v>
      </c>
    </row>
    <row r="199" spans="1:19" s="30" customFormat="1" ht="31.5">
      <c r="A199" s="107">
        <v>11</v>
      </c>
      <c r="B199" s="874" t="s">
        <v>937</v>
      </c>
      <c r="C199" s="108">
        <v>1961</v>
      </c>
      <c r="D199" s="108"/>
      <c r="E199" s="611" t="s">
        <v>218</v>
      </c>
      <c r="F199" s="893">
        <v>2</v>
      </c>
      <c r="G199" s="893">
        <v>1</v>
      </c>
      <c r="H199" s="893">
        <v>344.2</v>
      </c>
      <c r="I199" s="893">
        <v>314.5</v>
      </c>
      <c r="J199" s="893">
        <v>268.10000000000002</v>
      </c>
      <c r="K199" s="893">
        <v>15</v>
      </c>
      <c r="L199" s="655">
        <f t="shared" si="22"/>
        <v>709600</v>
      </c>
      <c r="M199" s="113">
        <v>0</v>
      </c>
      <c r="N199" s="113">
        <v>0</v>
      </c>
      <c r="O199" s="113">
        <v>709600</v>
      </c>
      <c r="P199" s="113">
        <v>0</v>
      </c>
      <c r="Q199" s="114">
        <f t="shared" si="21"/>
        <v>2256.2798092209855</v>
      </c>
      <c r="R199" s="114">
        <v>7822</v>
      </c>
      <c r="S199" s="316">
        <v>43100</v>
      </c>
    </row>
    <row r="200" spans="1:19" s="30" customFormat="1" ht="27" customHeight="1">
      <c r="A200" s="107">
        <v>12</v>
      </c>
      <c r="B200" s="874" t="s">
        <v>938</v>
      </c>
      <c r="C200" s="108">
        <v>1923</v>
      </c>
      <c r="D200" s="108"/>
      <c r="E200" s="611" t="s">
        <v>221</v>
      </c>
      <c r="F200" s="893">
        <v>2</v>
      </c>
      <c r="G200" s="893">
        <v>1</v>
      </c>
      <c r="H200" s="893">
        <v>194.8</v>
      </c>
      <c r="I200" s="893">
        <v>194</v>
      </c>
      <c r="J200" s="893">
        <v>115.7</v>
      </c>
      <c r="K200" s="893">
        <v>16</v>
      </c>
      <c r="L200" s="655">
        <f t="shared" si="22"/>
        <v>446509</v>
      </c>
      <c r="M200" s="113">
        <v>0</v>
      </c>
      <c r="N200" s="113">
        <v>0</v>
      </c>
      <c r="O200" s="113">
        <v>446509</v>
      </c>
      <c r="P200" s="113">
        <v>0</v>
      </c>
      <c r="Q200" s="114">
        <f t="shared" si="21"/>
        <v>2301.5927835051548</v>
      </c>
      <c r="R200" s="114">
        <v>7822</v>
      </c>
      <c r="S200" s="316">
        <v>43100</v>
      </c>
    </row>
    <row r="201" spans="1:19" s="30" customFormat="1" ht="31.5">
      <c r="A201" s="107">
        <v>13</v>
      </c>
      <c r="B201" s="941" t="s">
        <v>413</v>
      </c>
      <c r="C201" s="108">
        <v>1953</v>
      </c>
      <c r="D201" s="108"/>
      <c r="E201" s="611" t="s">
        <v>218</v>
      </c>
      <c r="F201" s="893">
        <v>2</v>
      </c>
      <c r="G201" s="893">
        <v>1</v>
      </c>
      <c r="H201" s="893">
        <v>518</v>
      </c>
      <c r="I201" s="893">
        <v>483.4</v>
      </c>
      <c r="J201" s="893">
        <v>403.7</v>
      </c>
      <c r="K201" s="893">
        <v>34</v>
      </c>
      <c r="L201" s="655">
        <f t="shared" si="22"/>
        <v>1205824</v>
      </c>
      <c r="M201" s="113">
        <v>0</v>
      </c>
      <c r="N201" s="113">
        <v>0</v>
      </c>
      <c r="O201" s="113">
        <v>1205824</v>
      </c>
      <c r="P201" s="113">
        <v>0</v>
      </c>
      <c r="Q201" s="114">
        <f t="shared" si="21"/>
        <v>2494.4642118328507</v>
      </c>
      <c r="R201" s="114">
        <v>7822</v>
      </c>
      <c r="S201" s="316">
        <v>43100</v>
      </c>
    </row>
    <row r="202" spans="1:19" s="30" customFormat="1" ht="31.5">
      <c r="A202" s="107">
        <v>14</v>
      </c>
      <c r="B202" s="874" t="s">
        <v>939</v>
      </c>
      <c r="C202" s="108">
        <v>1960</v>
      </c>
      <c r="D202" s="108"/>
      <c r="E202" s="611" t="s">
        <v>218</v>
      </c>
      <c r="F202" s="893">
        <v>2</v>
      </c>
      <c r="G202" s="893">
        <v>2</v>
      </c>
      <c r="H202" s="893">
        <v>312.8</v>
      </c>
      <c r="I202" s="893">
        <v>300</v>
      </c>
      <c r="J202" s="893">
        <v>44.5</v>
      </c>
      <c r="K202" s="893">
        <v>11</v>
      </c>
      <c r="L202" s="655">
        <f t="shared" si="22"/>
        <v>818595.8</v>
      </c>
      <c r="M202" s="113">
        <v>0</v>
      </c>
      <c r="N202" s="113">
        <v>0</v>
      </c>
      <c r="O202" s="113">
        <v>818595.8</v>
      </c>
      <c r="P202" s="113">
        <v>0</v>
      </c>
      <c r="Q202" s="114">
        <f t="shared" si="21"/>
        <v>2728.6526666666668</v>
      </c>
      <c r="R202" s="114">
        <v>7822</v>
      </c>
      <c r="S202" s="316">
        <v>43100</v>
      </c>
    </row>
    <row r="203" spans="1:19" s="30" customFormat="1" ht="31.5">
      <c r="A203" s="107">
        <f t="shared" si="16"/>
        <v>15</v>
      </c>
      <c r="B203" s="874" t="s">
        <v>940</v>
      </c>
      <c r="C203" s="108">
        <v>1983</v>
      </c>
      <c r="D203" s="108"/>
      <c r="E203" s="611" t="s">
        <v>834</v>
      </c>
      <c r="F203" s="893">
        <v>5</v>
      </c>
      <c r="G203" s="893">
        <v>2</v>
      </c>
      <c r="H203" s="893">
        <v>4292.2</v>
      </c>
      <c r="I203" s="893">
        <v>3595.1</v>
      </c>
      <c r="J203" s="893">
        <v>2978.5</v>
      </c>
      <c r="K203" s="893">
        <v>170</v>
      </c>
      <c r="L203" s="655">
        <f t="shared" si="22"/>
        <v>2707283</v>
      </c>
      <c r="M203" s="113">
        <v>0</v>
      </c>
      <c r="N203" s="113">
        <v>0</v>
      </c>
      <c r="O203" s="113">
        <v>2707283</v>
      </c>
      <c r="P203" s="113">
        <v>0</v>
      </c>
      <c r="Q203" s="114">
        <f t="shared" si="21"/>
        <v>753.04803760674258</v>
      </c>
      <c r="R203" s="114">
        <v>7822</v>
      </c>
      <c r="S203" s="316">
        <v>43100</v>
      </c>
    </row>
    <row r="204" spans="1:19" s="30" customFormat="1" ht="31.5">
      <c r="A204" s="107">
        <f t="shared" si="16"/>
        <v>16</v>
      </c>
      <c r="B204" s="874" t="s">
        <v>941</v>
      </c>
      <c r="C204" s="108">
        <v>1961</v>
      </c>
      <c r="D204" s="108"/>
      <c r="E204" s="611" t="s">
        <v>218</v>
      </c>
      <c r="F204" s="893">
        <v>2</v>
      </c>
      <c r="G204" s="893">
        <v>2</v>
      </c>
      <c r="H204" s="893">
        <v>850.8</v>
      </c>
      <c r="I204" s="893">
        <v>852</v>
      </c>
      <c r="J204" s="893">
        <v>614.4</v>
      </c>
      <c r="K204" s="893">
        <v>19</v>
      </c>
      <c r="L204" s="655">
        <f t="shared" si="22"/>
        <v>1834849</v>
      </c>
      <c r="M204" s="113">
        <v>0</v>
      </c>
      <c r="N204" s="113">
        <v>0</v>
      </c>
      <c r="O204" s="113">
        <v>1834849</v>
      </c>
      <c r="P204" s="113">
        <v>0</v>
      </c>
      <c r="Q204" s="114">
        <f t="shared" si="21"/>
        <v>2153.5786384976527</v>
      </c>
      <c r="R204" s="114">
        <v>7822</v>
      </c>
      <c r="S204" s="316">
        <v>43100</v>
      </c>
    </row>
    <row r="205" spans="1:19" s="30" customFormat="1" ht="24.6" customHeight="1">
      <c r="A205" s="308"/>
      <c r="B205" s="1371" t="s">
        <v>92</v>
      </c>
      <c r="C205" s="1371"/>
      <c r="D205" s="1371"/>
      <c r="E205" s="1371"/>
      <c r="F205" s="1404"/>
      <c r="G205" s="1404"/>
      <c r="H205" s="898">
        <f>H206</f>
        <v>432.8</v>
      </c>
      <c r="I205" s="899">
        <f t="shared" ref="I205:P205" si="23">I206</f>
        <v>396.8</v>
      </c>
      <c r="J205" s="899">
        <f t="shared" si="23"/>
        <v>245.1</v>
      </c>
      <c r="K205" s="900">
        <f t="shared" si="23"/>
        <v>27</v>
      </c>
      <c r="L205" s="314">
        <f t="shared" si="23"/>
        <v>366350</v>
      </c>
      <c r="M205" s="314">
        <f t="shared" si="23"/>
        <v>0</v>
      </c>
      <c r="N205" s="314">
        <f t="shared" si="23"/>
        <v>0</v>
      </c>
      <c r="O205" s="314">
        <f t="shared" si="23"/>
        <v>366350</v>
      </c>
      <c r="P205" s="314">
        <f t="shared" si="23"/>
        <v>0</v>
      </c>
      <c r="Q205" s="315" t="s">
        <v>40</v>
      </c>
      <c r="R205" s="901" t="s">
        <v>40</v>
      </c>
      <c r="S205" s="316">
        <v>43100</v>
      </c>
    </row>
    <row r="206" spans="1:19" s="1" customFormat="1" ht="25.9" customHeight="1">
      <c r="A206" s="308">
        <v>1</v>
      </c>
      <c r="B206" s="888" t="s">
        <v>645</v>
      </c>
      <c r="C206" s="387">
        <v>1953</v>
      </c>
      <c r="D206" s="387"/>
      <c r="E206" s="311" t="s">
        <v>646</v>
      </c>
      <c r="F206" s="387">
        <v>2</v>
      </c>
      <c r="G206" s="387">
        <v>1</v>
      </c>
      <c r="H206" s="388">
        <v>432.8</v>
      </c>
      <c r="I206" s="387">
        <v>396.8</v>
      </c>
      <c r="J206" s="387">
        <v>245.1</v>
      </c>
      <c r="K206" s="390">
        <v>27</v>
      </c>
      <c r="L206" s="314">
        <v>366350</v>
      </c>
      <c r="M206" s="314">
        <v>0</v>
      </c>
      <c r="N206" s="314">
        <v>0</v>
      </c>
      <c r="O206" s="314">
        <v>366350</v>
      </c>
      <c r="P206" s="314">
        <v>0</v>
      </c>
      <c r="Q206" s="391">
        <f>L206/I206</f>
        <v>923.26108870967744</v>
      </c>
      <c r="R206" s="315">
        <v>7822</v>
      </c>
      <c r="S206" s="316">
        <v>43100</v>
      </c>
    </row>
    <row r="207" spans="1:19" s="1" customFormat="1" ht="19.149999999999999" customHeight="1">
      <c r="A207" s="308"/>
      <c r="B207" s="1381" t="s">
        <v>93</v>
      </c>
      <c r="C207" s="1380"/>
      <c r="D207" s="1380"/>
      <c r="E207" s="1380"/>
      <c r="F207" s="1381"/>
      <c r="G207" s="1381"/>
      <c r="H207" s="681">
        <f>SUM(H208:H219)</f>
        <v>19486.900000000001</v>
      </c>
      <c r="I207" s="681">
        <f t="shared" ref="I207:P207" si="24">SUM(I208:I219)</f>
        <v>16904.800000000003</v>
      </c>
      <c r="J207" s="681">
        <f t="shared" si="24"/>
        <v>11753.659999999998</v>
      </c>
      <c r="K207" s="681">
        <f t="shared" si="24"/>
        <v>669</v>
      </c>
      <c r="L207" s="693">
        <f t="shared" si="24"/>
        <v>31146002</v>
      </c>
      <c r="M207" s="693">
        <f t="shared" si="24"/>
        <v>0</v>
      </c>
      <c r="N207" s="693">
        <f t="shared" si="24"/>
        <v>0</v>
      </c>
      <c r="O207" s="693">
        <f t="shared" si="24"/>
        <v>31146002</v>
      </c>
      <c r="P207" s="693">
        <f t="shared" si="24"/>
        <v>0</v>
      </c>
      <c r="Q207" s="350" t="s">
        <v>40</v>
      </c>
      <c r="R207" s="350" t="s">
        <v>40</v>
      </c>
      <c r="S207" s="316">
        <v>43100</v>
      </c>
    </row>
    <row r="208" spans="1:19" s="1" customFormat="1" ht="31.5">
      <c r="A208" s="682">
        <v>2</v>
      </c>
      <c r="B208" s="683" t="s">
        <v>778</v>
      </c>
      <c r="C208" s="684">
        <v>1961</v>
      </c>
      <c r="D208" s="346"/>
      <c r="E208" s="685" t="s">
        <v>218</v>
      </c>
      <c r="F208" s="430">
        <v>2</v>
      </c>
      <c r="G208" s="430">
        <v>2</v>
      </c>
      <c r="H208" s="430">
        <v>592.29999999999995</v>
      </c>
      <c r="I208" s="430">
        <v>550.9</v>
      </c>
      <c r="J208" s="430">
        <v>313.7</v>
      </c>
      <c r="K208" s="430">
        <v>27</v>
      </c>
      <c r="L208" s="686">
        <v>2706084</v>
      </c>
      <c r="M208" s="687">
        <v>0</v>
      </c>
      <c r="N208" s="314">
        <v>0</v>
      </c>
      <c r="O208" s="314">
        <f t="shared" ref="O208:O219" si="25">L208</f>
        <v>2706084</v>
      </c>
      <c r="P208" s="314">
        <v>0</v>
      </c>
      <c r="Q208" s="350">
        <f>L208/I208</f>
        <v>4912.1147213650393</v>
      </c>
      <c r="R208" s="315">
        <v>7822</v>
      </c>
      <c r="S208" s="316">
        <v>43100</v>
      </c>
    </row>
    <row r="209" spans="1:62" s="1" customFormat="1" ht="15.75">
      <c r="A209" s="682">
        <v>3</v>
      </c>
      <c r="B209" s="683" t="s">
        <v>779</v>
      </c>
      <c r="C209" s="684">
        <v>1962</v>
      </c>
      <c r="D209" s="346"/>
      <c r="E209" s="685" t="s">
        <v>220</v>
      </c>
      <c r="F209" s="430">
        <v>2</v>
      </c>
      <c r="G209" s="430">
        <v>2</v>
      </c>
      <c r="H209" s="430">
        <v>502.5</v>
      </c>
      <c r="I209" s="430">
        <v>442.1</v>
      </c>
      <c r="J209" s="430">
        <v>280.57</v>
      </c>
      <c r="K209" s="430">
        <v>25</v>
      </c>
      <c r="L209" s="686">
        <v>1419136</v>
      </c>
      <c r="M209" s="687">
        <v>0</v>
      </c>
      <c r="N209" s="314">
        <v>0</v>
      </c>
      <c r="O209" s="314">
        <f t="shared" si="25"/>
        <v>1419136</v>
      </c>
      <c r="P209" s="314">
        <v>0</v>
      </c>
      <c r="Q209" s="350">
        <f>L209/I209</f>
        <v>3209.9886903415513</v>
      </c>
      <c r="R209" s="315">
        <v>7822</v>
      </c>
      <c r="S209" s="316">
        <v>43100</v>
      </c>
    </row>
    <row r="210" spans="1:62" s="1" customFormat="1" ht="31.5">
      <c r="A210" s="682">
        <f t="shared" si="16"/>
        <v>4</v>
      </c>
      <c r="B210" s="683" t="s">
        <v>780</v>
      </c>
      <c r="C210" s="684">
        <v>1958</v>
      </c>
      <c r="D210" s="346"/>
      <c r="E210" s="685" t="s">
        <v>218</v>
      </c>
      <c r="F210" s="430">
        <v>2</v>
      </c>
      <c r="G210" s="430">
        <v>2</v>
      </c>
      <c r="H210" s="430">
        <v>1345.8</v>
      </c>
      <c r="I210" s="430">
        <v>1345.8</v>
      </c>
      <c r="J210" s="430">
        <v>720.55</v>
      </c>
      <c r="K210" s="430">
        <v>34</v>
      </c>
      <c r="L210" s="686">
        <v>3552093</v>
      </c>
      <c r="M210" s="687">
        <v>0</v>
      </c>
      <c r="N210" s="314">
        <v>0</v>
      </c>
      <c r="O210" s="314">
        <f t="shared" si="25"/>
        <v>3552093</v>
      </c>
      <c r="P210" s="314">
        <v>0</v>
      </c>
      <c r="Q210" s="350">
        <f t="shared" ref="Q210:Q219" si="26">L210/I210</f>
        <v>2639.3914400356666</v>
      </c>
      <c r="R210" s="315">
        <v>7822</v>
      </c>
      <c r="S210" s="316">
        <v>43100</v>
      </c>
    </row>
    <row r="211" spans="1:62" s="1" customFormat="1" ht="31.5">
      <c r="A211" s="682">
        <f t="shared" si="16"/>
        <v>5</v>
      </c>
      <c r="B211" s="683" t="s">
        <v>781</v>
      </c>
      <c r="C211" s="684">
        <v>1917</v>
      </c>
      <c r="D211" s="346"/>
      <c r="E211" s="685" t="s">
        <v>218</v>
      </c>
      <c r="F211" s="430">
        <v>3</v>
      </c>
      <c r="G211" s="430">
        <v>1</v>
      </c>
      <c r="H211" s="430">
        <v>766.5</v>
      </c>
      <c r="I211" s="430">
        <v>707.4</v>
      </c>
      <c r="J211" s="430">
        <v>344.9</v>
      </c>
      <c r="K211" s="430">
        <v>23</v>
      </c>
      <c r="L211" s="686">
        <v>2154879</v>
      </c>
      <c r="M211" s="687">
        <v>0</v>
      </c>
      <c r="N211" s="314">
        <v>0</v>
      </c>
      <c r="O211" s="314">
        <f t="shared" si="25"/>
        <v>2154879</v>
      </c>
      <c r="P211" s="314">
        <v>0</v>
      </c>
      <c r="Q211" s="350">
        <f t="shared" si="26"/>
        <v>3046.1959287531809</v>
      </c>
      <c r="R211" s="315">
        <v>7822</v>
      </c>
      <c r="S211" s="316">
        <v>43100</v>
      </c>
    </row>
    <row r="212" spans="1:62" s="1" customFormat="1" ht="31.5">
      <c r="A212" s="682">
        <f t="shared" si="16"/>
        <v>6</v>
      </c>
      <c r="B212" s="683" t="s">
        <v>782</v>
      </c>
      <c r="C212" s="684">
        <v>1965</v>
      </c>
      <c r="D212" s="346"/>
      <c r="E212" s="685" t="s">
        <v>218</v>
      </c>
      <c r="F212" s="430">
        <v>2</v>
      </c>
      <c r="G212" s="430">
        <v>3</v>
      </c>
      <c r="H212" s="430">
        <v>870.1</v>
      </c>
      <c r="I212" s="430">
        <v>670.2</v>
      </c>
      <c r="J212" s="430">
        <v>552.89</v>
      </c>
      <c r="K212" s="430">
        <v>26</v>
      </c>
      <c r="L212" s="686">
        <v>4352566</v>
      </c>
      <c r="M212" s="687">
        <v>0</v>
      </c>
      <c r="N212" s="314">
        <v>0</v>
      </c>
      <c r="O212" s="314">
        <f t="shared" si="25"/>
        <v>4352566</v>
      </c>
      <c r="P212" s="314">
        <v>0</v>
      </c>
      <c r="Q212" s="350">
        <f t="shared" si="26"/>
        <v>6494.4285287973735</v>
      </c>
      <c r="R212" s="315">
        <v>7822</v>
      </c>
      <c r="S212" s="316">
        <v>43100</v>
      </c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</row>
    <row r="213" spans="1:62" s="1" customFormat="1" ht="31.5">
      <c r="A213" s="682">
        <v>6</v>
      </c>
      <c r="B213" s="683" t="s">
        <v>783</v>
      </c>
      <c r="C213" s="684">
        <v>1917</v>
      </c>
      <c r="D213" s="346"/>
      <c r="E213" s="685" t="s">
        <v>218</v>
      </c>
      <c r="F213" s="430">
        <v>3</v>
      </c>
      <c r="G213" s="430">
        <v>1</v>
      </c>
      <c r="H213" s="430">
        <v>438.3</v>
      </c>
      <c r="I213" s="430">
        <v>438.3</v>
      </c>
      <c r="J213" s="430">
        <v>266.39</v>
      </c>
      <c r="K213" s="430">
        <v>21</v>
      </c>
      <c r="L213" s="686">
        <v>1202127</v>
      </c>
      <c r="M213" s="687">
        <v>0</v>
      </c>
      <c r="N213" s="314">
        <v>0</v>
      </c>
      <c r="O213" s="314">
        <f t="shared" si="25"/>
        <v>1202127</v>
      </c>
      <c r="P213" s="314">
        <v>0</v>
      </c>
      <c r="Q213" s="350">
        <f t="shared" si="26"/>
        <v>2742.7036276522927</v>
      </c>
      <c r="R213" s="315">
        <v>7822</v>
      </c>
      <c r="S213" s="316">
        <v>43100</v>
      </c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</row>
    <row r="214" spans="1:62" s="1" customFormat="1" ht="31.5">
      <c r="A214" s="682">
        <f t="shared" si="16"/>
        <v>7</v>
      </c>
      <c r="B214" s="683" t="s">
        <v>775</v>
      </c>
      <c r="C214" s="684">
        <v>1977</v>
      </c>
      <c r="D214" s="346"/>
      <c r="E214" s="685" t="s">
        <v>218</v>
      </c>
      <c r="F214" s="430">
        <v>5</v>
      </c>
      <c r="G214" s="430">
        <v>4</v>
      </c>
      <c r="H214" s="430">
        <v>3655</v>
      </c>
      <c r="I214" s="430">
        <v>3655</v>
      </c>
      <c r="J214" s="430">
        <v>2511.63</v>
      </c>
      <c r="K214" s="430">
        <v>170</v>
      </c>
      <c r="L214" s="686">
        <v>3401733</v>
      </c>
      <c r="M214" s="687">
        <v>0</v>
      </c>
      <c r="N214" s="314">
        <v>0</v>
      </c>
      <c r="O214" s="314">
        <f t="shared" si="25"/>
        <v>3401733</v>
      </c>
      <c r="P214" s="314">
        <v>0</v>
      </c>
      <c r="Q214" s="350">
        <f t="shared" si="26"/>
        <v>930.70670314637482</v>
      </c>
      <c r="R214" s="315">
        <v>7822</v>
      </c>
      <c r="S214" s="316">
        <v>43100</v>
      </c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</row>
    <row r="215" spans="1:62" s="1" customFormat="1" ht="31.5">
      <c r="A215" s="682">
        <f t="shared" si="16"/>
        <v>8</v>
      </c>
      <c r="B215" s="683" t="s">
        <v>784</v>
      </c>
      <c r="C215" s="684">
        <v>1963</v>
      </c>
      <c r="D215" s="346"/>
      <c r="E215" s="685" t="s">
        <v>218</v>
      </c>
      <c r="F215" s="430">
        <v>2</v>
      </c>
      <c r="G215" s="430">
        <v>1</v>
      </c>
      <c r="H215" s="430">
        <v>719.8</v>
      </c>
      <c r="I215" s="430">
        <v>461.7</v>
      </c>
      <c r="J215" s="430">
        <v>107.4</v>
      </c>
      <c r="K215" s="430">
        <v>46</v>
      </c>
      <c r="L215" s="686">
        <v>1763431</v>
      </c>
      <c r="M215" s="687">
        <v>0</v>
      </c>
      <c r="N215" s="314">
        <v>0</v>
      </c>
      <c r="O215" s="314">
        <f t="shared" si="25"/>
        <v>1763431</v>
      </c>
      <c r="P215" s="314">
        <v>0</v>
      </c>
      <c r="Q215" s="350">
        <f t="shared" si="26"/>
        <v>3819.4303660385531</v>
      </c>
      <c r="R215" s="315">
        <v>7822</v>
      </c>
      <c r="S215" s="316">
        <v>43100</v>
      </c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</row>
    <row r="216" spans="1:62" s="1" customFormat="1" ht="15.75">
      <c r="A216" s="682">
        <f t="shared" si="16"/>
        <v>9</v>
      </c>
      <c r="B216" s="683" t="s">
        <v>776</v>
      </c>
      <c r="C216" s="684">
        <v>1977</v>
      </c>
      <c r="D216" s="346"/>
      <c r="E216" s="685" t="s">
        <v>220</v>
      </c>
      <c r="F216" s="430">
        <v>5</v>
      </c>
      <c r="G216" s="430">
        <v>4</v>
      </c>
      <c r="H216" s="430">
        <v>3209.1</v>
      </c>
      <c r="I216" s="430">
        <v>2125.9</v>
      </c>
      <c r="J216" s="430">
        <v>1811.3</v>
      </c>
      <c r="K216" s="430">
        <v>101</v>
      </c>
      <c r="L216" s="686">
        <v>2572091</v>
      </c>
      <c r="M216" s="687">
        <v>0</v>
      </c>
      <c r="N216" s="314">
        <v>0</v>
      </c>
      <c r="O216" s="314">
        <f t="shared" si="25"/>
        <v>2572091</v>
      </c>
      <c r="P216" s="314">
        <v>0</v>
      </c>
      <c r="Q216" s="350">
        <f t="shared" si="26"/>
        <v>1209.8833435250951</v>
      </c>
      <c r="R216" s="315">
        <v>7822</v>
      </c>
      <c r="S216" s="316">
        <v>43100</v>
      </c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</row>
    <row r="217" spans="1:62" s="1" customFormat="1" ht="15.75">
      <c r="A217" s="682">
        <f t="shared" si="16"/>
        <v>10</v>
      </c>
      <c r="B217" s="683" t="s">
        <v>785</v>
      </c>
      <c r="C217" s="684">
        <v>1974</v>
      </c>
      <c r="D217" s="346"/>
      <c r="E217" s="685" t="s">
        <v>219</v>
      </c>
      <c r="F217" s="430">
        <v>5</v>
      </c>
      <c r="G217" s="430">
        <v>5</v>
      </c>
      <c r="H217" s="430">
        <v>3970.6</v>
      </c>
      <c r="I217" s="430">
        <v>3970.6</v>
      </c>
      <c r="J217" s="430">
        <v>2778.35</v>
      </c>
      <c r="K217" s="430">
        <v>121</v>
      </c>
      <c r="L217" s="686">
        <v>2660626</v>
      </c>
      <c r="M217" s="687">
        <v>0</v>
      </c>
      <c r="N217" s="314">
        <v>0</v>
      </c>
      <c r="O217" s="314">
        <f t="shared" si="25"/>
        <v>2660626</v>
      </c>
      <c r="P217" s="314">
        <v>0</v>
      </c>
      <c r="Q217" s="350">
        <f t="shared" si="26"/>
        <v>670.08159975822298</v>
      </c>
      <c r="R217" s="315">
        <v>7822</v>
      </c>
      <c r="S217" s="316">
        <v>43100</v>
      </c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</row>
    <row r="218" spans="1:62" s="1" customFormat="1" ht="31.5">
      <c r="A218" s="682">
        <f t="shared" si="16"/>
        <v>11</v>
      </c>
      <c r="B218" s="683" t="s">
        <v>786</v>
      </c>
      <c r="C218" s="684">
        <v>1959</v>
      </c>
      <c r="D218" s="346"/>
      <c r="E218" s="685" t="s">
        <v>218</v>
      </c>
      <c r="F218" s="430">
        <v>2</v>
      </c>
      <c r="G218" s="430">
        <v>2</v>
      </c>
      <c r="H218" s="430">
        <v>592</v>
      </c>
      <c r="I218" s="430">
        <v>545.20000000000005</v>
      </c>
      <c r="J218" s="430">
        <v>344.48</v>
      </c>
      <c r="K218" s="430">
        <v>32</v>
      </c>
      <c r="L218" s="686">
        <v>1458499</v>
      </c>
      <c r="M218" s="687">
        <v>0</v>
      </c>
      <c r="N218" s="314">
        <v>0</v>
      </c>
      <c r="O218" s="314">
        <f t="shared" si="25"/>
        <v>1458499</v>
      </c>
      <c r="P218" s="314">
        <v>0</v>
      </c>
      <c r="Q218" s="350">
        <f t="shared" si="26"/>
        <v>2675.1632428466614</v>
      </c>
      <c r="R218" s="315">
        <v>7822</v>
      </c>
      <c r="S218" s="316">
        <v>43100</v>
      </c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</row>
    <row r="219" spans="1:62" s="1" customFormat="1" ht="31.5">
      <c r="A219" s="682">
        <f t="shared" si="16"/>
        <v>12</v>
      </c>
      <c r="B219" s="683" t="s">
        <v>787</v>
      </c>
      <c r="C219" s="684">
        <v>1959</v>
      </c>
      <c r="D219" s="346"/>
      <c r="E219" s="685" t="s">
        <v>218</v>
      </c>
      <c r="F219" s="430">
        <v>3</v>
      </c>
      <c r="G219" s="430">
        <v>4</v>
      </c>
      <c r="H219" s="430">
        <v>2824.9</v>
      </c>
      <c r="I219" s="430">
        <v>1991.7</v>
      </c>
      <c r="J219" s="430">
        <v>1721.5</v>
      </c>
      <c r="K219" s="430">
        <v>43</v>
      </c>
      <c r="L219" s="686">
        <v>3902737</v>
      </c>
      <c r="M219" s="687">
        <v>0</v>
      </c>
      <c r="N219" s="314">
        <v>0</v>
      </c>
      <c r="O219" s="314">
        <f t="shared" si="25"/>
        <v>3902737</v>
      </c>
      <c r="P219" s="314">
        <v>0</v>
      </c>
      <c r="Q219" s="350">
        <f t="shared" si="26"/>
        <v>1959.5004267710999</v>
      </c>
      <c r="R219" s="315">
        <v>7822</v>
      </c>
      <c r="S219" s="316">
        <v>43100</v>
      </c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</row>
    <row r="220" spans="1:62" s="1" customFormat="1" ht="15.75">
      <c r="A220" s="308"/>
      <c r="B220" s="688"/>
      <c r="C220" s="346"/>
      <c r="D220" s="346"/>
      <c r="E220" s="311"/>
      <c r="F220" s="689"/>
      <c r="G220" s="689"/>
      <c r="H220" s="690"/>
      <c r="I220" s="691"/>
      <c r="J220" s="691"/>
      <c r="K220" s="689"/>
      <c r="L220" s="614"/>
      <c r="M220" s="314"/>
      <c r="N220" s="314"/>
      <c r="O220" s="314"/>
      <c r="P220" s="314"/>
      <c r="Q220" s="350"/>
      <c r="R220" s="315"/>
      <c r="S220" s="316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</row>
    <row r="221" spans="1:62" s="1" customFormat="1" ht="15.75">
      <c r="A221" s="308"/>
      <c r="B221" s="692"/>
      <c r="C221" s="346"/>
      <c r="D221" s="346"/>
      <c r="E221" s="311"/>
      <c r="F221" s="349"/>
      <c r="G221" s="349"/>
      <c r="H221" s="550"/>
      <c r="I221" s="347"/>
      <c r="J221" s="347"/>
      <c r="K221" s="349"/>
      <c r="L221" s="314"/>
      <c r="M221" s="314"/>
      <c r="N221" s="314"/>
      <c r="O221" s="314"/>
      <c r="P221" s="314"/>
      <c r="Q221" s="350"/>
      <c r="R221" s="315"/>
      <c r="S221" s="316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</row>
    <row r="222" spans="1:62" s="1" customFormat="1" ht="15.75">
      <c r="A222" s="308"/>
      <c r="B222" s="692"/>
      <c r="C222" s="346"/>
      <c r="D222" s="346"/>
      <c r="E222" s="311"/>
      <c r="F222" s="349"/>
      <c r="G222" s="349"/>
      <c r="H222" s="550"/>
      <c r="I222" s="347"/>
      <c r="J222" s="347"/>
      <c r="K222" s="349"/>
      <c r="L222" s="314"/>
      <c r="M222" s="314"/>
      <c r="N222" s="314"/>
      <c r="O222" s="314"/>
      <c r="P222" s="314"/>
      <c r="Q222" s="350"/>
      <c r="R222" s="315"/>
      <c r="S222" s="316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</row>
    <row r="223" spans="1:62" s="1" customFormat="1" ht="15.75">
      <c r="A223" s="308"/>
      <c r="B223" s="692"/>
      <c r="C223" s="346"/>
      <c r="D223" s="346"/>
      <c r="E223" s="311"/>
      <c r="F223" s="349"/>
      <c r="G223" s="349"/>
      <c r="H223" s="550"/>
      <c r="I223" s="347"/>
      <c r="J223" s="347"/>
      <c r="K223" s="349"/>
      <c r="L223" s="314"/>
      <c r="M223" s="314"/>
      <c r="N223" s="314"/>
      <c r="O223" s="314"/>
      <c r="P223" s="314"/>
      <c r="Q223" s="350"/>
      <c r="R223" s="315"/>
      <c r="S223" s="316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</row>
    <row r="224" spans="1:62" s="1" customFormat="1" ht="15.75">
      <c r="A224" s="308"/>
      <c r="B224" s="692"/>
      <c r="C224" s="346"/>
      <c r="D224" s="346"/>
      <c r="E224" s="311"/>
      <c r="F224" s="349"/>
      <c r="G224" s="349"/>
      <c r="H224" s="550"/>
      <c r="I224" s="347"/>
      <c r="J224" s="347"/>
      <c r="K224" s="349"/>
      <c r="L224" s="314"/>
      <c r="M224" s="314"/>
      <c r="N224" s="314"/>
      <c r="O224" s="314"/>
      <c r="P224" s="314"/>
      <c r="Q224" s="350"/>
      <c r="R224" s="315"/>
      <c r="S224" s="316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</row>
    <row r="225" spans="1:62" s="1" customFormat="1" ht="15.75">
      <c r="A225" s="308"/>
      <c r="B225" s="692"/>
      <c r="C225" s="346"/>
      <c r="D225" s="346"/>
      <c r="E225" s="311"/>
      <c r="F225" s="349"/>
      <c r="G225" s="349"/>
      <c r="H225" s="550"/>
      <c r="I225" s="347"/>
      <c r="J225" s="347"/>
      <c r="K225" s="349"/>
      <c r="L225" s="314"/>
      <c r="M225" s="314"/>
      <c r="N225" s="314"/>
      <c r="O225" s="314"/>
      <c r="P225" s="314"/>
      <c r="Q225" s="350"/>
      <c r="R225" s="315"/>
      <c r="S225" s="316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</row>
    <row r="226" spans="1:62" s="1" customFormat="1" ht="15.75">
      <c r="A226" s="308"/>
      <c r="B226" s="692"/>
      <c r="C226" s="346"/>
      <c r="D226" s="346"/>
      <c r="E226" s="311"/>
      <c r="F226" s="349"/>
      <c r="G226" s="349"/>
      <c r="H226" s="550"/>
      <c r="I226" s="347"/>
      <c r="J226" s="347"/>
      <c r="K226" s="349"/>
      <c r="L226" s="314"/>
      <c r="M226" s="314"/>
      <c r="N226" s="314"/>
      <c r="O226" s="314"/>
      <c r="P226" s="314"/>
      <c r="Q226" s="350"/>
      <c r="R226" s="315"/>
      <c r="S226" s="316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</row>
    <row r="227" spans="1:62" s="1" customFormat="1" ht="15.75">
      <c r="A227" s="308"/>
      <c r="B227" s="692"/>
      <c r="C227" s="346"/>
      <c r="D227" s="346"/>
      <c r="E227" s="311"/>
      <c r="F227" s="349"/>
      <c r="G227" s="349"/>
      <c r="H227" s="550"/>
      <c r="I227" s="347"/>
      <c r="J227" s="347"/>
      <c r="K227" s="349"/>
      <c r="L227" s="314"/>
      <c r="M227" s="314"/>
      <c r="N227" s="314"/>
      <c r="O227" s="314"/>
      <c r="P227" s="314"/>
      <c r="Q227" s="350"/>
      <c r="R227" s="315"/>
      <c r="S227" s="316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</row>
    <row r="228" spans="1:62" s="1" customFormat="1" ht="15.75">
      <c r="A228" s="308"/>
      <c r="B228" s="692"/>
      <c r="C228" s="346"/>
      <c r="D228" s="346"/>
      <c r="E228" s="311"/>
      <c r="F228" s="349"/>
      <c r="G228" s="349"/>
      <c r="H228" s="550"/>
      <c r="I228" s="347"/>
      <c r="J228" s="347"/>
      <c r="K228" s="349"/>
      <c r="L228" s="314"/>
      <c r="M228" s="314"/>
      <c r="N228" s="314"/>
      <c r="O228" s="314"/>
      <c r="P228" s="314"/>
      <c r="Q228" s="350"/>
      <c r="R228" s="315"/>
      <c r="S228" s="316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</row>
    <row r="229" spans="1:62" s="1" customFormat="1" ht="15.75">
      <c r="A229" s="308"/>
      <c r="B229" s="692"/>
      <c r="C229" s="346"/>
      <c r="D229" s="346"/>
      <c r="E229" s="311"/>
      <c r="F229" s="349"/>
      <c r="G229" s="349"/>
      <c r="H229" s="550"/>
      <c r="I229" s="347"/>
      <c r="J229" s="347"/>
      <c r="K229" s="349"/>
      <c r="L229" s="314"/>
      <c r="M229" s="314"/>
      <c r="N229" s="314"/>
      <c r="O229" s="314"/>
      <c r="P229" s="314"/>
      <c r="Q229" s="350"/>
      <c r="R229" s="315"/>
      <c r="S229" s="316"/>
    </row>
    <row r="230" spans="1:62" s="1" customFormat="1" ht="15.75">
      <c r="A230" s="308"/>
      <c r="B230" s="692"/>
      <c r="C230" s="346"/>
      <c r="D230" s="346"/>
      <c r="E230" s="311"/>
      <c r="F230" s="349"/>
      <c r="G230" s="349"/>
      <c r="H230" s="550"/>
      <c r="I230" s="347"/>
      <c r="J230" s="347"/>
      <c r="K230" s="349"/>
      <c r="L230" s="314"/>
      <c r="M230" s="314"/>
      <c r="N230" s="314"/>
      <c r="O230" s="314"/>
      <c r="P230" s="314"/>
      <c r="Q230" s="350"/>
      <c r="R230" s="315"/>
      <c r="S230" s="316"/>
    </row>
    <row r="231" spans="1:62" s="1" customFormat="1" ht="15.75">
      <c r="A231" s="408"/>
      <c r="B231" s="1343" t="s">
        <v>94</v>
      </c>
      <c r="C231" s="1343"/>
      <c r="D231" s="1343"/>
      <c r="E231" s="1343"/>
      <c r="F231" s="1343"/>
      <c r="G231" s="1343"/>
      <c r="H231" s="409">
        <f>SUM(H232:H240)</f>
        <v>27680.9</v>
      </c>
      <c r="I231" s="409">
        <f t="shared" ref="I231:P231" si="27">SUM(I232:I240)</f>
        <v>25196.170000000002</v>
      </c>
      <c r="J231" s="409">
        <f t="shared" si="27"/>
        <v>23604.800000000003</v>
      </c>
      <c r="K231" s="409">
        <f t="shared" si="27"/>
        <v>984</v>
      </c>
      <c r="L231" s="415">
        <f t="shared" si="27"/>
        <v>26467626</v>
      </c>
      <c r="M231" s="415">
        <f t="shared" si="27"/>
        <v>0</v>
      </c>
      <c r="N231" s="415">
        <f t="shared" si="27"/>
        <v>0</v>
      </c>
      <c r="O231" s="415">
        <f t="shared" si="27"/>
        <v>26467626</v>
      </c>
      <c r="P231" s="415">
        <f t="shared" si="27"/>
        <v>0</v>
      </c>
      <c r="Q231" s="106" t="s">
        <v>40</v>
      </c>
      <c r="R231" s="106" t="s">
        <v>40</v>
      </c>
      <c r="S231" s="316">
        <v>43100</v>
      </c>
    </row>
    <row r="232" spans="1:62" s="47" customFormat="1" ht="31.5">
      <c r="A232" s="308">
        <v>13</v>
      </c>
      <c r="B232" s="410" t="s">
        <v>529</v>
      </c>
      <c r="C232" s="403">
        <v>1958</v>
      </c>
      <c r="D232" s="311"/>
      <c r="E232" s="311" t="s">
        <v>218</v>
      </c>
      <c r="F232" s="412">
        <v>2</v>
      </c>
      <c r="G232" s="412">
        <v>3</v>
      </c>
      <c r="H232" s="413">
        <v>1472.8</v>
      </c>
      <c r="I232" s="413">
        <v>1340.4</v>
      </c>
      <c r="J232" s="405">
        <v>1340.4</v>
      </c>
      <c r="K232" s="406">
        <v>35</v>
      </c>
      <c r="L232" s="314">
        <v>3993146</v>
      </c>
      <c r="M232" s="314">
        <v>0</v>
      </c>
      <c r="N232" s="314">
        <v>0</v>
      </c>
      <c r="O232" s="314">
        <f t="shared" ref="O232:O240" si="28">L232</f>
        <v>3993146</v>
      </c>
      <c r="P232" s="314">
        <v>0</v>
      </c>
      <c r="Q232" s="405">
        <f t="shared" ref="Q232:Q240" si="29">L232/I232</f>
        <v>2979.0704267382871</v>
      </c>
      <c r="R232" s="315">
        <v>7822</v>
      </c>
      <c r="S232" s="316">
        <v>43100</v>
      </c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</row>
    <row r="233" spans="1:62" s="1" customFormat="1" ht="31.5">
      <c r="A233" s="308">
        <f t="shared" ref="A233:A272" si="30">A232+1</f>
        <v>14</v>
      </c>
      <c r="B233" s="410" t="s">
        <v>530</v>
      </c>
      <c r="C233" s="403">
        <v>1989</v>
      </c>
      <c r="D233" s="311"/>
      <c r="E233" s="311" t="s">
        <v>218</v>
      </c>
      <c r="F233" s="412">
        <v>5</v>
      </c>
      <c r="G233" s="412">
        <v>5</v>
      </c>
      <c r="H233" s="413">
        <v>3077.7</v>
      </c>
      <c r="I233" s="413">
        <v>2760.9</v>
      </c>
      <c r="J233" s="405">
        <v>2631.3</v>
      </c>
      <c r="K233" s="406">
        <v>112</v>
      </c>
      <c r="L233" s="314">
        <v>2211975</v>
      </c>
      <c r="M233" s="314">
        <v>0</v>
      </c>
      <c r="N233" s="314">
        <v>0</v>
      </c>
      <c r="O233" s="314">
        <f t="shared" si="28"/>
        <v>2211975</v>
      </c>
      <c r="P233" s="314">
        <v>0</v>
      </c>
      <c r="Q233" s="405">
        <f t="shared" si="29"/>
        <v>801.17896338150604</v>
      </c>
      <c r="R233" s="315">
        <v>7822</v>
      </c>
      <c r="S233" s="316">
        <v>43100</v>
      </c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</row>
    <row r="234" spans="1:62" s="1" customFormat="1" ht="15.75">
      <c r="A234" s="308">
        <f t="shared" si="30"/>
        <v>15</v>
      </c>
      <c r="B234" s="410" t="s">
        <v>531</v>
      </c>
      <c r="C234" s="403">
        <v>1970</v>
      </c>
      <c r="D234" s="311"/>
      <c r="E234" s="311" t="s">
        <v>219</v>
      </c>
      <c r="F234" s="412">
        <v>5</v>
      </c>
      <c r="G234" s="412">
        <v>6</v>
      </c>
      <c r="H234" s="413">
        <v>4832.8</v>
      </c>
      <c r="I234" s="413">
        <v>4328.2</v>
      </c>
      <c r="J234" s="404">
        <v>4026.5</v>
      </c>
      <c r="K234" s="406">
        <v>157</v>
      </c>
      <c r="L234" s="314">
        <v>4161815</v>
      </c>
      <c r="M234" s="314">
        <v>0</v>
      </c>
      <c r="N234" s="314">
        <v>0</v>
      </c>
      <c r="O234" s="314">
        <f t="shared" si="28"/>
        <v>4161815</v>
      </c>
      <c r="P234" s="314">
        <v>0</v>
      </c>
      <c r="Q234" s="405">
        <f t="shared" si="29"/>
        <v>961.55792246199348</v>
      </c>
      <c r="R234" s="315">
        <v>7822</v>
      </c>
      <c r="S234" s="316">
        <v>43100</v>
      </c>
    </row>
    <row r="235" spans="1:62" s="1" customFormat="1" ht="15.75">
      <c r="A235" s="308">
        <f t="shared" si="30"/>
        <v>16</v>
      </c>
      <c r="B235" s="411" t="s">
        <v>532</v>
      </c>
      <c r="C235" s="403">
        <v>1974</v>
      </c>
      <c r="D235" s="311"/>
      <c r="E235" s="311" t="s">
        <v>219</v>
      </c>
      <c r="F235" s="412">
        <v>5</v>
      </c>
      <c r="G235" s="412">
        <v>4</v>
      </c>
      <c r="H235" s="413">
        <v>2805.2</v>
      </c>
      <c r="I235" s="413">
        <v>2696.5</v>
      </c>
      <c r="J235" s="405">
        <v>2652.7</v>
      </c>
      <c r="K235" s="406">
        <v>104</v>
      </c>
      <c r="L235" s="314">
        <v>2678707</v>
      </c>
      <c r="M235" s="314">
        <v>0</v>
      </c>
      <c r="N235" s="314">
        <v>0</v>
      </c>
      <c r="O235" s="314">
        <f t="shared" si="28"/>
        <v>2678707</v>
      </c>
      <c r="P235" s="314">
        <v>0</v>
      </c>
      <c r="Q235" s="405">
        <f t="shared" si="29"/>
        <v>993.40144631930275</v>
      </c>
      <c r="R235" s="315">
        <v>7822</v>
      </c>
      <c r="S235" s="316">
        <v>43100</v>
      </c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</row>
    <row r="236" spans="1:62" s="1" customFormat="1" ht="31.5">
      <c r="A236" s="308">
        <f t="shared" si="30"/>
        <v>17</v>
      </c>
      <c r="B236" s="410" t="s">
        <v>533</v>
      </c>
      <c r="C236" s="403">
        <v>1977</v>
      </c>
      <c r="D236" s="311"/>
      <c r="E236" s="311" t="s">
        <v>218</v>
      </c>
      <c r="F236" s="412">
        <v>5</v>
      </c>
      <c r="G236" s="412">
        <v>4</v>
      </c>
      <c r="H236" s="413">
        <v>2967.8</v>
      </c>
      <c r="I236" s="413">
        <v>2815.7</v>
      </c>
      <c r="J236" s="405">
        <v>2754</v>
      </c>
      <c r="K236" s="406">
        <v>117</v>
      </c>
      <c r="L236" s="314">
        <v>2783301</v>
      </c>
      <c r="M236" s="314">
        <v>0</v>
      </c>
      <c r="N236" s="314">
        <v>0</v>
      </c>
      <c r="O236" s="314">
        <f t="shared" si="28"/>
        <v>2783301</v>
      </c>
      <c r="P236" s="314">
        <v>0</v>
      </c>
      <c r="Q236" s="405">
        <f t="shared" si="29"/>
        <v>988.49344745533972</v>
      </c>
      <c r="R236" s="315">
        <v>7822</v>
      </c>
      <c r="S236" s="316">
        <v>43100</v>
      </c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</row>
    <row r="237" spans="1:62" s="10" customFormat="1" ht="31.5">
      <c r="A237" s="308">
        <f t="shared" si="30"/>
        <v>18</v>
      </c>
      <c r="B237" s="410" t="s">
        <v>534</v>
      </c>
      <c r="C237" s="403">
        <v>1960</v>
      </c>
      <c r="D237" s="311"/>
      <c r="E237" s="311" t="s">
        <v>218</v>
      </c>
      <c r="F237" s="412">
        <v>3</v>
      </c>
      <c r="G237" s="412">
        <v>3</v>
      </c>
      <c r="H237" s="413">
        <v>1944</v>
      </c>
      <c r="I237" s="413">
        <v>1776.8</v>
      </c>
      <c r="J237" s="404">
        <v>1541.1</v>
      </c>
      <c r="K237" s="406">
        <v>61</v>
      </c>
      <c r="L237" s="314">
        <v>3450795</v>
      </c>
      <c r="M237" s="314">
        <v>0</v>
      </c>
      <c r="N237" s="314">
        <v>0</v>
      </c>
      <c r="O237" s="314">
        <f t="shared" si="28"/>
        <v>3450795</v>
      </c>
      <c r="P237" s="314">
        <v>0</v>
      </c>
      <c r="Q237" s="405">
        <f t="shared" si="29"/>
        <v>1942.1403647005855</v>
      </c>
      <c r="R237" s="315">
        <v>7822</v>
      </c>
      <c r="S237" s="316">
        <v>43100</v>
      </c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62" s="10" customFormat="1" ht="15.75">
      <c r="A238" s="308">
        <f t="shared" si="30"/>
        <v>19</v>
      </c>
      <c r="B238" s="410" t="s">
        <v>535</v>
      </c>
      <c r="C238" s="403">
        <v>1960</v>
      </c>
      <c r="D238" s="311"/>
      <c r="E238" s="311" t="s">
        <v>538</v>
      </c>
      <c r="F238" s="412">
        <v>2</v>
      </c>
      <c r="G238" s="412">
        <v>2</v>
      </c>
      <c r="H238" s="414">
        <v>446.4</v>
      </c>
      <c r="I238" s="414">
        <v>385.37</v>
      </c>
      <c r="J238" s="405">
        <v>269.8</v>
      </c>
      <c r="K238" s="406">
        <v>15</v>
      </c>
      <c r="L238" s="314">
        <v>919216</v>
      </c>
      <c r="M238" s="314">
        <v>0</v>
      </c>
      <c r="N238" s="314">
        <v>0</v>
      </c>
      <c r="O238" s="314">
        <f t="shared" si="28"/>
        <v>919216</v>
      </c>
      <c r="P238" s="314">
        <v>0</v>
      </c>
      <c r="Q238" s="405">
        <f t="shared" si="29"/>
        <v>2385.2816773490413</v>
      </c>
      <c r="R238" s="315">
        <v>7822</v>
      </c>
      <c r="S238" s="316">
        <v>43100</v>
      </c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</row>
    <row r="239" spans="1:62" s="48" customFormat="1" ht="15.75">
      <c r="A239" s="308">
        <f t="shared" si="30"/>
        <v>20</v>
      </c>
      <c r="B239" s="410" t="s">
        <v>536</v>
      </c>
      <c r="C239" s="403">
        <v>1991</v>
      </c>
      <c r="D239" s="311"/>
      <c r="E239" s="311" t="s">
        <v>219</v>
      </c>
      <c r="F239" s="412">
        <v>5</v>
      </c>
      <c r="G239" s="412">
        <v>5</v>
      </c>
      <c r="H239" s="413">
        <v>3981.1</v>
      </c>
      <c r="I239" s="413">
        <v>3488.1</v>
      </c>
      <c r="J239" s="405">
        <v>2967.5</v>
      </c>
      <c r="K239" s="406">
        <v>140</v>
      </c>
      <c r="L239" s="314">
        <v>2376610</v>
      </c>
      <c r="M239" s="314">
        <v>0</v>
      </c>
      <c r="N239" s="314">
        <v>0</v>
      </c>
      <c r="O239" s="314">
        <f t="shared" si="28"/>
        <v>2376610</v>
      </c>
      <c r="P239" s="314">
        <v>0</v>
      </c>
      <c r="Q239" s="405">
        <f t="shared" si="29"/>
        <v>681.34801181158798</v>
      </c>
      <c r="R239" s="315">
        <v>7822</v>
      </c>
      <c r="S239" s="316">
        <v>43100</v>
      </c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</row>
    <row r="240" spans="1:62" s="49" customFormat="1" ht="31.5">
      <c r="A240" s="308">
        <f t="shared" si="30"/>
        <v>21</v>
      </c>
      <c r="B240" s="410" t="s">
        <v>537</v>
      </c>
      <c r="C240" s="403">
        <v>1991</v>
      </c>
      <c r="D240" s="311"/>
      <c r="E240" s="311" t="s">
        <v>218</v>
      </c>
      <c r="F240" s="412">
        <v>5</v>
      </c>
      <c r="G240" s="412">
        <v>6</v>
      </c>
      <c r="H240" s="413">
        <v>6153.1</v>
      </c>
      <c r="I240" s="413">
        <v>5604.2</v>
      </c>
      <c r="J240" s="405">
        <v>5421.5</v>
      </c>
      <c r="K240" s="406">
        <v>243</v>
      </c>
      <c r="L240" s="314">
        <v>3892061</v>
      </c>
      <c r="M240" s="314">
        <v>0</v>
      </c>
      <c r="N240" s="314">
        <v>0</v>
      </c>
      <c r="O240" s="314">
        <f t="shared" si="28"/>
        <v>3892061</v>
      </c>
      <c r="P240" s="314">
        <v>0</v>
      </c>
      <c r="Q240" s="405">
        <f t="shared" si="29"/>
        <v>694.49002533813928</v>
      </c>
      <c r="R240" s="315">
        <v>7822</v>
      </c>
      <c r="S240" s="316">
        <v>43100</v>
      </c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</row>
    <row r="241" spans="1:30" s="49" customFormat="1" ht="15.75">
      <c r="A241" s="308"/>
      <c r="B241" s="402"/>
      <c r="C241" s="311"/>
      <c r="D241" s="311"/>
      <c r="E241" s="311"/>
      <c r="F241" s="403"/>
      <c r="G241" s="403"/>
      <c r="H241" s="404"/>
      <c r="I241" s="404"/>
      <c r="J241" s="404"/>
      <c r="K241" s="406"/>
      <c r="L241" s="314"/>
      <c r="M241" s="314"/>
      <c r="N241" s="314"/>
      <c r="O241" s="314"/>
      <c r="P241" s="314"/>
      <c r="Q241" s="405"/>
      <c r="R241" s="315"/>
      <c r="S241" s="316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s="49" customFormat="1" ht="15.75">
      <c r="A242" s="308"/>
      <c r="B242" s="402"/>
      <c r="C242" s="311"/>
      <c r="D242" s="311"/>
      <c r="E242" s="311"/>
      <c r="F242" s="403"/>
      <c r="G242" s="403"/>
      <c r="H242" s="404"/>
      <c r="I242" s="405"/>
      <c r="J242" s="405"/>
      <c r="K242" s="406"/>
      <c r="L242" s="314"/>
      <c r="M242" s="314"/>
      <c r="N242" s="314"/>
      <c r="O242" s="314"/>
      <c r="P242" s="314"/>
      <c r="Q242" s="405"/>
      <c r="R242" s="315"/>
      <c r="S242" s="316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s="49" customFormat="1" ht="15.75">
      <c r="A243" s="308"/>
      <c r="B243" s="407"/>
      <c r="C243" s="311"/>
      <c r="D243" s="311"/>
      <c r="E243" s="311"/>
      <c r="F243" s="403"/>
      <c r="G243" s="403"/>
      <c r="H243" s="404"/>
      <c r="I243" s="405"/>
      <c r="J243" s="405"/>
      <c r="K243" s="406"/>
      <c r="L243" s="314"/>
      <c r="M243" s="314"/>
      <c r="N243" s="314"/>
      <c r="O243" s="314"/>
      <c r="P243" s="314"/>
      <c r="Q243" s="405"/>
      <c r="R243" s="315"/>
      <c r="S243" s="316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</row>
    <row r="244" spans="1:30" s="1" customFormat="1" ht="20.45" customHeight="1">
      <c r="A244" s="308"/>
      <c r="B244" s="1382" t="s">
        <v>123</v>
      </c>
      <c r="C244" s="1382"/>
      <c r="D244" s="1382"/>
      <c r="E244" s="1382"/>
      <c r="F244" s="1382"/>
      <c r="G244" s="1382"/>
      <c r="H244" s="347">
        <f>SUM(H245:H249)</f>
        <v>34678.06</v>
      </c>
      <c r="I244" s="347">
        <f t="shared" ref="I244:P244" si="31">SUM(I245:I249)</f>
        <v>20430.3</v>
      </c>
      <c r="J244" s="347">
        <f t="shared" si="31"/>
        <v>10666.880000000001</v>
      </c>
      <c r="K244" s="347">
        <f t="shared" si="31"/>
        <v>1002</v>
      </c>
      <c r="L244" s="670">
        <f t="shared" si="31"/>
        <v>11767484</v>
      </c>
      <c r="M244" s="670">
        <f t="shared" si="31"/>
        <v>0</v>
      </c>
      <c r="N244" s="670">
        <f t="shared" si="31"/>
        <v>0</v>
      </c>
      <c r="O244" s="670">
        <f t="shared" si="31"/>
        <v>11767484</v>
      </c>
      <c r="P244" s="670">
        <f t="shared" si="31"/>
        <v>0</v>
      </c>
      <c r="Q244" s="350" t="s">
        <v>40</v>
      </c>
      <c r="R244" s="346" t="s">
        <v>40</v>
      </c>
      <c r="S244" s="316">
        <v>43100</v>
      </c>
    </row>
    <row r="245" spans="1:30" s="1" customFormat="1" ht="33" customHeight="1">
      <c r="A245" s="308">
        <v>22</v>
      </c>
      <c r="B245" s="875" t="s">
        <v>732</v>
      </c>
      <c r="C245" s="387">
        <v>2004</v>
      </c>
      <c r="D245" s="387"/>
      <c r="E245" s="311" t="s">
        <v>734</v>
      </c>
      <c r="F245" s="346">
        <v>5</v>
      </c>
      <c r="G245" s="346">
        <v>7</v>
      </c>
      <c r="H245" s="347">
        <v>9679.56</v>
      </c>
      <c r="I245" s="346">
        <v>5484.6</v>
      </c>
      <c r="J245" s="346">
        <v>2358.38</v>
      </c>
      <c r="K245" s="390">
        <v>299</v>
      </c>
      <c r="L245" s="314">
        <v>3438972</v>
      </c>
      <c r="M245" s="314">
        <f>SUM(M246:M259)</f>
        <v>0</v>
      </c>
      <c r="N245" s="314">
        <v>0</v>
      </c>
      <c r="O245" s="314">
        <f>L245</f>
        <v>3438972</v>
      </c>
      <c r="P245" s="314">
        <v>0</v>
      </c>
      <c r="Q245" s="350">
        <f t="shared" ref="Q245:Q259" si="32">L245/I245</f>
        <v>627.02330160813915</v>
      </c>
      <c r="R245" s="315">
        <v>7822</v>
      </c>
      <c r="S245" s="316">
        <v>43100</v>
      </c>
    </row>
    <row r="246" spans="1:30" s="1" customFormat="1" ht="28.15" customHeight="1">
      <c r="A246" s="308">
        <f t="shared" si="30"/>
        <v>23</v>
      </c>
      <c r="B246" s="875" t="s">
        <v>363</v>
      </c>
      <c r="C246" s="387">
        <v>2004</v>
      </c>
      <c r="D246" s="387"/>
      <c r="E246" s="311" t="s">
        <v>735</v>
      </c>
      <c r="F246" s="346">
        <v>5</v>
      </c>
      <c r="G246" s="346">
        <v>4</v>
      </c>
      <c r="H246" s="347">
        <v>8574.2999999999993</v>
      </c>
      <c r="I246" s="346">
        <v>4885.1000000000004</v>
      </c>
      <c r="J246" s="346">
        <v>2569.56</v>
      </c>
      <c r="K246" s="390">
        <v>269</v>
      </c>
      <c r="L246" s="314">
        <v>2804575</v>
      </c>
      <c r="M246" s="314">
        <f>SUM(M247:M260)</f>
        <v>0</v>
      </c>
      <c r="N246" s="314">
        <v>0</v>
      </c>
      <c r="O246" s="314">
        <f>L246</f>
        <v>2804575</v>
      </c>
      <c r="P246" s="314">
        <v>0</v>
      </c>
      <c r="Q246" s="350">
        <f t="shared" si="32"/>
        <v>574.10800188327767</v>
      </c>
      <c r="R246" s="315">
        <v>7822</v>
      </c>
      <c r="S246" s="316">
        <v>43100</v>
      </c>
    </row>
    <row r="247" spans="1:30" s="1" customFormat="1" ht="33" customHeight="1">
      <c r="A247" s="308">
        <f t="shared" si="30"/>
        <v>24</v>
      </c>
      <c r="B247" s="875" t="s">
        <v>733</v>
      </c>
      <c r="C247" s="387">
        <v>1994</v>
      </c>
      <c r="D247" s="346"/>
      <c r="E247" s="311" t="s">
        <v>734</v>
      </c>
      <c r="F247" s="346">
        <v>5</v>
      </c>
      <c r="G247" s="346">
        <v>4</v>
      </c>
      <c r="H247" s="347">
        <v>5877.3</v>
      </c>
      <c r="I247" s="346">
        <v>3126.5</v>
      </c>
      <c r="J247" s="346">
        <v>1813.68</v>
      </c>
      <c r="K247" s="390">
        <v>160</v>
      </c>
      <c r="L247" s="314">
        <v>1993932</v>
      </c>
      <c r="M247" s="314">
        <f>SUM(M248:M261)</f>
        <v>0</v>
      </c>
      <c r="N247" s="314">
        <v>0</v>
      </c>
      <c r="O247" s="314">
        <f>L247</f>
        <v>1993932</v>
      </c>
      <c r="P247" s="314">
        <v>0</v>
      </c>
      <c r="Q247" s="350">
        <f t="shared" si="32"/>
        <v>637.75211898288819</v>
      </c>
      <c r="R247" s="315">
        <v>7822</v>
      </c>
      <c r="S247" s="316">
        <v>43100</v>
      </c>
    </row>
    <row r="248" spans="1:30" s="1" customFormat="1" ht="33" customHeight="1">
      <c r="A248" s="308"/>
      <c r="B248" s="875" t="s">
        <v>942</v>
      </c>
      <c r="C248" s="387">
        <v>1966</v>
      </c>
      <c r="D248" s="346"/>
      <c r="E248" s="311" t="s">
        <v>218</v>
      </c>
      <c r="F248" s="346">
        <v>5</v>
      </c>
      <c r="G248" s="346">
        <v>4</v>
      </c>
      <c r="H248" s="347">
        <v>5298</v>
      </c>
      <c r="I248" s="346">
        <v>3567.1</v>
      </c>
      <c r="J248" s="346">
        <v>1608.76</v>
      </c>
      <c r="K248" s="390">
        <v>96</v>
      </c>
      <c r="L248" s="314">
        <v>1656223</v>
      </c>
      <c r="M248" s="314">
        <v>0</v>
      </c>
      <c r="N248" s="314">
        <v>0</v>
      </c>
      <c r="O248" s="314">
        <v>1656223</v>
      </c>
      <c r="P248" s="314">
        <v>0</v>
      </c>
      <c r="Q248" s="350">
        <f t="shared" si="32"/>
        <v>464.30517787558523</v>
      </c>
      <c r="R248" s="315">
        <v>7822</v>
      </c>
      <c r="S248" s="316">
        <v>43100</v>
      </c>
    </row>
    <row r="249" spans="1:30" s="1" customFormat="1" ht="33" customHeight="1">
      <c r="A249" s="308"/>
      <c r="B249" s="875" t="s">
        <v>357</v>
      </c>
      <c r="C249" s="387">
        <v>1964</v>
      </c>
      <c r="D249" s="346"/>
      <c r="E249" s="311" t="s">
        <v>218</v>
      </c>
      <c r="F249" s="346">
        <v>5</v>
      </c>
      <c r="G249" s="346">
        <v>4</v>
      </c>
      <c r="H249" s="347">
        <v>5248.9</v>
      </c>
      <c r="I249" s="346">
        <v>3367</v>
      </c>
      <c r="J249" s="346">
        <v>2316.5</v>
      </c>
      <c r="K249" s="390">
        <v>178</v>
      </c>
      <c r="L249" s="314">
        <v>1873782</v>
      </c>
      <c r="M249" s="314">
        <v>0</v>
      </c>
      <c r="N249" s="314">
        <v>0</v>
      </c>
      <c r="O249" s="314">
        <v>1873782</v>
      </c>
      <c r="P249" s="314">
        <v>0</v>
      </c>
      <c r="Q249" s="350">
        <f t="shared" si="32"/>
        <v>556.51381051381054</v>
      </c>
      <c r="R249" s="315">
        <v>7822</v>
      </c>
      <c r="S249" s="316">
        <v>43100</v>
      </c>
    </row>
    <row r="250" spans="1:30" s="1" customFormat="1" ht="15.75">
      <c r="A250" s="308"/>
      <c r="B250" s="606"/>
      <c r="C250" s="387"/>
      <c r="D250" s="346"/>
      <c r="E250" s="311"/>
      <c r="F250" s="346"/>
      <c r="G250" s="346"/>
      <c r="H250" s="347"/>
      <c r="I250" s="346"/>
      <c r="J250" s="346"/>
      <c r="K250" s="390"/>
      <c r="L250" s="314"/>
      <c r="M250" s="314"/>
      <c r="N250" s="314"/>
      <c r="O250" s="314"/>
      <c r="P250" s="314"/>
      <c r="Q250" s="350"/>
      <c r="R250" s="315"/>
      <c r="S250" s="316">
        <v>43100</v>
      </c>
    </row>
    <row r="251" spans="1:30" s="1" customFormat="1" ht="15.75">
      <c r="A251" s="308"/>
      <c r="B251" s="606"/>
      <c r="C251" s="644"/>
      <c r="D251" s="346"/>
      <c r="E251" s="311"/>
      <c r="F251" s="346"/>
      <c r="G251" s="346"/>
      <c r="H251" s="347"/>
      <c r="I251" s="346"/>
      <c r="J251" s="346"/>
      <c r="K251" s="390"/>
      <c r="L251" s="314"/>
      <c r="M251" s="314"/>
      <c r="N251" s="314"/>
      <c r="O251" s="314"/>
      <c r="P251" s="314"/>
      <c r="Q251" s="350"/>
      <c r="R251" s="315"/>
      <c r="S251" s="316">
        <v>43100</v>
      </c>
    </row>
    <row r="252" spans="1:30" s="1" customFormat="1" ht="15.75">
      <c r="A252" s="308"/>
      <c r="B252" s="606"/>
      <c r="C252" s="644"/>
      <c r="D252" s="346"/>
      <c r="E252" s="311"/>
      <c r="F252" s="346"/>
      <c r="G252" s="346"/>
      <c r="H252" s="347"/>
      <c r="I252" s="346"/>
      <c r="J252" s="346"/>
      <c r="K252" s="390"/>
      <c r="L252" s="314"/>
      <c r="M252" s="314"/>
      <c r="N252" s="314"/>
      <c r="O252" s="314"/>
      <c r="P252" s="314"/>
      <c r="Q252" s="350"/>
      <c r="R252" s="315"/>
      <c r="S252" s="316">
        <v>43100</v>
      </c>
    </row>
    <row r="253" spans="1:30" s="1" customFormat="1" ht="15.75">
      <c r="A253" s="308"/>
      <c r="B253" s="606"/>
      <c r="C253" s="387"/>
      <c r="D253" s="346"/>
      <c r="E253" s="311"/>
      <c r="F253" s="346"/>
      <c r="G253" s="346"/>
      <c r="H253" s="347"/>
      <c r="I253" s="346"/>
      <c r="J253" s="346"/>
      <c r="K253" s="390"/>
      <c r="L253" s="314"/>
      <c r="M253" s="314"/>
      <c r="N253" s="314"/>
      <c r="O253" s="314"/>
      <c r="P253" s="314"/>
      <c r="Q253" s="350"/>
      <c r="R253" s="466"/>
      <c r="S253" s="316">
        <v>43100</v>
      </c>
    </row>
    <row r="254" spans="1:30" s="1" customFormat="1" ht="15.75">
      <c r="A254" s="308"/>
      <c r="B254" s="606"/>
      <c r="C254" s="387"/>
      <c r="D254" s="346"/>
      <c r="E254" s="311"/>
      <c r="F254" s="346"/>
      <c r="G254" s="346"/>
      <c r="H254" s="347"/>
      <c r="I254" s="346"/>
      <c r="J254" s="346"/>
      <c r="K254" s="390"/>
      <c r="L254" s="314"/>
      <c r="M254" s="314"/>
      <c r="N254" s="314"/>
      <c r="O254" s="314"/>
      <c r="P254" s="314"/>
      <c r="Q254" s="350"/>
      <c r="R254" s="315"/>
      <c r="S254" s="316">
        <v>43100</v>
      </c>
    </row>
    <row r="255" spans="1:30" s="1" customFormat="1" ht="15.75">
      <c r="A255" s="308"/>
      <c r="B255" s="606"/>
      <c r="C255" s="387"/>
      <c r="D255" s="346"/>
      <c r="E255" s="311"/>
      <c r="F255" s="346"/>
      <c r="G255" s="346"/>
      <c r="H255" s="347"/>
      <c r="I255" s="346"/>
      <c r="J255" s="346"/>
      <c r="K255" s="390"/>
      <c r="L255" s="314"/>
      <c r="M255" s="314"/>
      <c r="N255" s="314"/>
      <c r="O255" s="314"/>
      <c r="P255" s="314"/>
      <c r="Q255" s="350"/>
      <c r="R255" s="315"/>
      <c r="S255" s="316">
        <v>43100</v>
      </c>
    </row>
    <row r="256" spans="1:30" s="1" customFormat="1" ht="15.75">
      <c r="A256" s="308"/>
      <c r="B256" s="606"/>
      <c r="C256" s="387"/>
      <c r="D256" s="346"/>
      <c r="E256" s="311"/>
      <c r="F256" s="346"/>
      <c r="G256" s="346"/>
      <c r="H256" s="347"/>
      <c r="I256" s="346"/>
      <c r="J256" s="346"/>
      <c r="K256" s="390"/>
      <c r="L256" s="314"/>
      <c r="M256" s="314"/>
      <c r="N256" s="314"/>
      <c r="O256" s="314"/>
      <c r="P256" s="314"/>
      <c r="Q256" s="350"/>
      <c r="R256" s="315"/>
      <c r="S256" s="316">
        <v>43100</v>
      </c>
    </row>
    <row r="257" spans="1:19" s="1" customFormat="1" ht="35.450000000000003" customHeight="1">
      <c r="A257" s="308"/>
      <c r="B257" s="1382" t="s">
        <v>864</v>
      </c>
      <c r="C257" s="1382"/>
      <c r="D257" s="1382"/>
      <c r="E257" s="1382"/>
      <c r="F257" s="1382"/>
      <c r="G257" s="1382"/>
      <c r="H257" s="347">
        <f>H258+H259</f>
        <v>4284.7</v>
      </c>
      <c r="I257" s="347">
        <f t="shared" ref="I257:P257" si="33">I258+I259</f>
        <v>3030.4</v>
      </c>
      <c r="J257" s="347">
        <f t="shared" si="33"/>
        <v>2763.5</v>
      </c>
      <c r="K257" s="347">
        <f t="shared" si="33"/>
        <v>97</v>
      </c>
      <c r="L257" s="670">
        <f t="shared" si="33"/>
        <v>2812692</v>
      </c>
      <c r="M257" s="670">
        <f t="shared" si="33"/>
        <v>0</v>
      </c>
      <c r="N257" s="670">
        <f t="shared" si="33"/>
        <v>0</v>
      </c>
      <c r="O257" s="670">
        <f t="shared" si="33"/>
        <v>2812692</v>
      </c>
      <c r="P257" s="670">
        <f t="shared" si="33"/>
        <v>0</v>
      </c>
      <c r="Q257" s="350" t="s">
        <v>40</v>
      </c>
      <c r="R257" s="346" t="s">
        <v>40</v>
      </c>
      <c r="S257" s="316">
        <v>43100</v>
      </c>
    </row>
    <row r="258" spans="1:19" s="1" customFormat="1" ht="31.5">
      <c r="A258" s="308"/>
      <c r="B258" s="916" t="s">
        <v>865</v>
      </c>
      <c r="C258" s="387">
        <v>1961</v>
      </c>
      <c r="D258" s="346"/>
      <c r="E258" s="311" t="s">
        <v>218</v>
      </c>
      <c r="F258" s="346">
        <v>3</v>
      </c>
      <c r="G258" s="346">
        <v>3</v>
      </c>
      <c r="H258" s="347">
        <v>2106.6999999999998</v>
      </c>
      <c r="I258" s="346">
        <v>1512.5</v>
      </c>
      <c r="J258" s="346">
        <v>1432</v>
      </c>
      <c r="K258" s="390">
        <v>50</v>
      </c>
      <c r="L258" s="314">
        <v>1914360</v>
      </c>
      <c r="M258" s="314">
        <v>0</v>
      </c>
      <c r="N258" s="314">
        <v>0</v>
      </c>
      <c r="O258" s="314">
        <v>1914360</v>
      </c>
      <c r="P258" s="314">
        <v>0</v>
      </c>
      <c r="Q258" s="350">
        <f t="shared" si="32"/>
        <v>1265.692561983471</v>
      </c>
      <c r="R258" s="315">
        <v>7822</v>
      </c>
      <c r="S258" s="316">
        <v>43100</v>
      </c>
    </row>
    <row r="259" spans="1:19" s="1" customFormat="1" ht="31.5">
      <c r="A259" s="308"/>
      <c r="B259" s="916" t="s">
        <v>866</v>
      </c>
      <c r="C259" s="387">
        <v>1963</v>
      </c>
      <c r="D259" s="346"/>
      <c r="E259" s="311" t="s">
        <v>218</v>
      </c>
      <c r="F259" s="346">
        <v>3</v>
      </c>
      <c r="G259" s="346">
        <v>3</v>
      </c>
      <c r="H259" s="347">
        <v>2178</v>
      </c>
      <c r="I259" s="346">
        <v>1517.9</v>
      </c>
      <c r="J259" s="346">
        <v>1331.5</v>
      </c>
      <c r="K259" s="390">
        <v>47</v>
      </c>
      <c r="L259" s="314">
        <v>898332</v>
      </c>
      <c r="M259" s="314">
        <v>0</v>
      </c>
      <c r="N259" s="314">
        <v>0</v>
      </c>
      <c r="O259" s="314">
        <v>898332</v>
      </c>
      <c r="P259" s="314">
        <v>0</v>
      </c>
      <c r="Q259" s="350">
        <f t="shared" si="32"/>
        <v>591.82554845510242</v>
      </c>
      <c r="R259" s="315">
        <v>7822</v>
      </c>
      <c r="S259" s="316">
        <v>43100</v>
      </c>
    </row>
    <row r="260" spans="1:19" s="16" customFormat="1" ht="28.15" customHeight="1">
      <c r="A260" s="308"/>
      <c r="B260" s="1382" t="s">
        <v>72</v>
      </c>
      <c r="C260" s="1382"/>
      <c r="D260" s="1382"/>
      <c r="E260" s="1382"/>
      <c r="F260" s="1382"/>
      <c r="G260" s="1382"/>
      <c r="H260" s="347">
        <f>H261</f>
        <v>3033.7</v>
      </c>
      <c r="I260" s="346">
        <f t="shared" ref="I260:R260" si="34">I261</f>
        <v>2730.3</v>
      </c>
      <c r="J260" s="346">
        <f t="shared" si="34"/>
        <v>2430.5</v>
      </c>
      <c r="K260" s="349">
        <f t="shared" si="34"/>
        <v>100</v>
      </c>
      <c r="L260" s="314">
        <f t="shared" si="34"/>
        <v>5868972</v>
      </c>
      <c r="M260" s="314">
        <f t="shared" si="34"/>
        <v>0</v>
      </c>
      <c r="N260" s="314">
        <f t="shared" si="34"/>
        <v>0</v>
      </c>
      <c r="O260" s="314">
        <f t="shared" si="34"/>
        <v>5868972</v>
      </c>
      <c r="P260" s="314">
        <f t="shared" si="34"/>
        <v>0</v>
      </c>
      <c r="Q260" s="350" t="str">
        <f t="shared" si="34"/>
        <v>Х</v>
      </c>
      <c r="R260" s="346" t="str">
        <f t="shared" si="34"/>
        <v>Х</v>
      </c>
      <c r="S260" s="316">
        <v>43100</v>
      </c>
    </row>
    <row r="261" spans="1:19" s="16" customFormat="1" ht="24.6" customHeight="1">
      <c r="A261" s="308"/>
      <c r="B261" s="1382" t="s">
        <v>95</v>
      </c>
      <c r="C261" s="1382"/>
      <c r="D261" s="1382"/>
      <c r="E261" s="1382"/>
      <c r="F261" s="1382"/>
      <c r="G261" s="1382"/>
      <c r="H261" s="347">
        <f>SUM(H262:H268)</f>
        <v>3033.7</v>
      </c>
      <c r="I261" s="347">
        <f t="shared" ref="I261:P261" si="35">SUM(I262:I268)</f>
        <v>2730.3</v>
      </c>
      <c r="J261" s="347">
        <f t="shared" si="35"/>
        <v>2430.5</v>
      </c>
      <c r="K261" s="347">
        <f t="shared" si="35"/>
        <v>100</v>
      </c>
      <c r="L261" s="820">
        <f t="shared" si="35"/>
        <v>5868972</v>
      </c>
      <c r="M261" s="820">
        <f t="shared" si="35"/>
        <v>0</v>
      </c>
      <c r="N261" s="820">
        <f t="shared" si="35"/>
        <v>0</v>
      </c>
      <c r="O261" s="820">
        <f t="shared" si="35"/>
        <v>5868972</v>
      </c>
      <c r="P261" s="820">
        <f t="shared" si="35"/>
        <v>0</v>
      </c>
      <c r="Q261" s="350" t="s">
        <v>40</v>
      </c>
      <c r="R261" s="387" t="s">
        <v>40</v>
      </c>
      <c r="S261" s="316">
        <v>43100</v>
      </c>
    </row>
    <row r="262" spans="1:19" s="1" customFormat="1" ht="22.9" customHeight="1">
      <c r="A262" s="308">
        <v>25</v>
      </c>
      <c r="B262" s="337" t="s">
        <v>619</v>
      </c>
      <c r="C262" s="310">
        <v>1972</v>
      </c>
      <c r="D262" s="310"/>
      <c r="E262" s="311" t="s">
        <v>220</v>
      </c>
      <c r="F262" s="310">
        <v>2</v>
      </c>
      <c r="G262" s="310">
        <v>1</v>
      </c>
      <c r="H262" s="312">
        <v>351.8</v>
      </c>
      <c r="I262" s="310">
        <v>351.1</v>
      </c>
      <c r="J262" s="362">
        <v>351.1</v>
      </c>
      <c r="K262" s="313">
        <v>11</v>
      </c>
      <c r="L262" s="314">
        <v>620394</v>
      </c>
      <c r="M262" s="314">
        <v>0</v>
      </c>
      <c r="N262" s="314">
        <v>0</v>
      </c>
      <c r="O262" s="314">
        <f>L262</f>
        <v>620394</v>
      </c>
      <c r="P262" s="314">
        <v>0</v>
      </c>
      <c r="Q262" s="315">
        <f t="shared" ref="Q262:Q268" si="36">L262/I262</f>
        <v>1767.0008544574193</v>
      </c>
      <c r="R262" s="608">
        <v>7822</v>
      </c>
      <c r="S262" s="316">
        <v>43100</v>
      </c>
    </row>
    <row r="263" spans="1:19" s="1" customFormat="1" ht="29.45" customHeight="1">
      <c r="A263" s="308">
        <f t="shared" si="30"/>
        <v>26</v>
      </c>
      <c r="B263" s="337" t="s">
        <v>620</v>
      </c>
      <c r="C263" s="310">
        <v>1969</v>
      </c>
      <c r="D263" s="310"/>
      <c r="E263" s="311" t="s">
        <v>220</v>
      </c>
      <c r="F263" s="310">
        <v>2</v>
      </c>
      <c r="G263" s="310">
        <v>1</v>
      </c>
      <c r="H263" s="312">
        <v>363.6</v>
      </c>
      <c r="I263" s="310">
        <v>336</v>
      </c>
      <c r="J263" s="362">
        <v>336</v>
      </c>
      <c r="K263" s="313">
        <v>11</v>
      </c>
      <c r="L263" s="314">
        <v>620324</v>
      </c>
      <c r="M263" s="314">
        <v>0</v>
      </c>
      <c r="N263" s="314">
        <v>0</v>
      </c>
      <c r="O263" s="314">
        <f>L263</f>
        <v>620324</v>
      </c>
      <c r="P263" s="314">
        <v>0</v>
      </c>
      <c r="Q263" s="315">
        <f t="shared" si="36"/>
        <v>1846.202380952381</v>
      </c>
      <c r="R263" s="608">
        <v>7822</v>
      </c>
      <c r="S263" s="316">
        <v>43100</v>
      </c>
    </row>
    <row r="264" spans="1:19" s="1" customFormat="1" ht="31.5">
      <c r="A264" s="308">
        <f t="shared" si="30"/>
        <v>27</v>
      </c>
      <c r="B264" s="337" t="s">
        <v>621</v>
      </c>
      <c r="C264" s="310">
        <v>1971</v>
      </c>
      <c r="D264" s="310"/>
      <c r="E264" s="311" t="s">
        <v>218</v>
      </c>
      <c r="F264" s="310">
        <v>2</v>
      </c>
      <c r="G264" s="310">
        <v>2</v>
      </c>
      <c r="H264" s="312">
        <v>520.6</v>
      </c>
      <c r="I264" s="310">
        <v>466</v>
      </c>
      <c r="J264" s="310">
        <v>466</v>
      </c>
      <c r="K264" s="313">
        <v>18</v>
      </c>
      <c r="L264" s="314">
        <v>626838</v>
      </c>
      <c r="M264" s="314">
        <v>0</v>
      </c>
      <c r="N264" s="314">
        <v>0</v>
      </c>
      <c r="O264" s="314">
        <f>L264</f>
        <v>626838</v>
      </c>
      <c r="P264" s="314">
        <v>0</v>
      </c>
      <c r="Q264" s="315">
        <f t="shared" si="36"/>
        <v>1345.145922746781</v>
      </c>
      <c r="R264" s="315">
        <v>7822</v>
      </c>
      <c r="S264" s="316">
        <v>43100</v>
      </c>
    </row>
    <row r="265" spans="1:19" s="1" customFormat="1" ht="31.5">
      <c r="A265" s="308">
        <f t="shared" si="30"/>
        <v>28</v>
      </c>
      <c r="B265" s="337" t="s">
        <v>622</v>
      </c>
      <c r="C265" s="310">
        <v>1966</v>
      </c>
      <c r="D265" s="310"/>
      <c r="E265" s="311" t="s">
        <v>218</v>
      </c>
      <c r="F265" s="310">
        <v>2</v>
      </c>
      <c r="G265" s="310">
        <v>2</v>
      </c>
      <c r="H265" s="312">
        <v>604.4</v>
      </c>
      <c r="I265" s="310">
        <v>545.6</v>
      </c>
      <c r="J265" s="310">
        <v>506.9</v>
      </c>
      <c r="K265" s="313">
        <v>26</v>
      </c>
      <c r="L265" s="314">
        <v>2055193</v>
      </c>
      <c r="M265" s="314">
        <v>0</v>
      </c>
      <c r="N265" s="314">
        <v>0</v>
      </c>
      <c r="O265" s="314">
        <f t="shared" ref="O265:O268" si="37">L265</f>
        <v>2055193</v>
      </c>
      <c r="P265" s="314">
        <v>0</v>
      </c>
      <c r="Q265" s="315">
        <f t="shared" si="36"/>
        <v>3766.8493401759529</v>
      </c>
      <c r="R265" s="315">
        <v>7822</v>
      </c>
      <c r="S265" s="316">
        <v>43100</v>
      </c>
    </row>
    <row r="266" spans="1:19" s="1" customFormat="1" ht="31.5">
      <c r="A266" s="308">
        <f t="shared" si="30"/>
        <v>29</v>
      </c>
      <c r="B266" s="337" t="s">
        <v>392</v>
      </c>
      <c r="C266" s="310">
        <v>1962</v>
      </c>
      <c r="D266" s="310"/>
      <c r="E266" s="311" t="s">
        <v>218</v>
      </c>
      <c r="F266" s="310">
        <v>2</v>
      </c>
      <c r="G266" s="310">
        <v>1</v>
      </c>
      <c r="H266" s="312">
        <v>342.6</v>
      </c>
      <c r="I266" s="310">
        <v>307.39999999999998</v>
      </c>
      <c r="J266" s="310">
        <v>237.3</v>
      </c>
      <c r="K266" s="313">
        <v>15</v>
      </c>
      <c r="L266" s="314">
        <v>626290</v>
      </c>
      <c r="M266" s="314">
        <v>0</v>
      </c>
      <c r="N266" s="314">
        <v>0</v>
      </c>
      <c r="O266" s="314">
        <f t="shared" si="37"/>
        <v>626290</v>
      </c>
      <c r="P266" s="314">
        <v>0</v>
      </c>
      <c r="Q266" s="315">
        <f t="shared" si="36"/>
        <v>2037.3780091086533</v>
      </c>
      <c r="R266" s="315">
        <v>7822</v>
      </c>
      <c r="S266" s="316">
        <v>43100</v>
      </c>
    </row>
    <row r="267" spans="1:19" s="1" customFormat="1" ht="31.5">
      <c r="A267" s="308">
        <f t="shared" si="30"/>
        <v>30</v>
      </c>
      <c r="B267" s="337" t="s">
        <v>623</v>
      </c>
      <c r="C267" s="310">
        <v>1962</v>
      </c>
      <c r="D267" s="310"/>
      <c r="E267" s="311" t="s">
        <v>218</v>
      </c>
      <c r="F267" s="310">
        <v>2</v>
      </c>
      <c r="G267" s="310">
        <v>1</v>
      </c>
      <c r="H267" s="312">
        <v>416.7</v>
      </c>
      <c r="I267" s="310">
        <v>327.8</v>
      </c>
      <c r="J267" s="310">
        <v>136.80000000000001</v>
      </c>
      <c r="K267" s="313">
        <v>7</v>
      </c>
      <c r="L267" s="314">
        <v>555216</v>
      </c>
      <c r="M267" s="314">
        <v>0</v>
      </c>
      <c r="N267" s="314">
        <v>0</v>
      </c>
      <c r="O267" s="314">
        <f t="shared" si="37"/>
        <v>555216</v>
      </c>
      <c r="P267" s="314">
        <v>0</v>
      </c>
      <c r="Q267" s="315">
        <f t="shared" si="36"/>
        <v>1693.7644905430141</v>
      </c>
      <c r="R267" s="315">
        <v>7822</v>
      </c>
      <c r="S267" s="316">
        <v>43100</v>
      </c>
    </row>
    <row r="268" spans="1:19" s="1" customFormat="1" ht="31.5">
      <c r="A268" s="308">
        <v>31</v>
      </c>
      <c r="B268" s="337" t="s">
        <v>628</v>
      </c>
      <c r="C268" s="310">
        <v>1966</v>
      </c>
      <c r="D268" s="310"/>
      <c r="E268" s="311" t="s">
        <v>218</v>
      </c>
      <c r="F268" s="310">
        <v>2</v>
      </c>
      <c r="G268" s="310">
        <v>2</v>
      </c>
      <c r="H268" s="312">
        <v>434</v>
      </c>
      <c r="I268" s="310">
        <v>396.4</v>
      </c>
      <c r="J268" s="362">
        <v>396.4</v>
      </c>
      <c r="K268" s="313">
        <v>12</v>
      </c>
      <c r="L268" s="314">
        <v>764717</v>
      </c>
      <c r="M268" s="314">
        <v>0</v>
      </c>
      <c r="N268" s="314">
        <v>0</v>
      </c>
      <c r="O268" s="314">
        <f t="shared" si="37"/>
        <v>764717</v>
      </c>
      <c r="P268" s="314">
        <v>0</v>
      </c>
      <c r="Q268" s="315">
        <f t="shared" si="36"/>
        <v>1929.1548940464179</v>
      </c>
      <c r="R268" s="315">
        <v>7822</v>
      </c>
      <c r="S268" s="316">
        <v>43100</v>
      </c>
    </row>
    <row r="269" spans="1:19" s="1" customFormat="1" ht="15.75" customHeight="1">
      <c r="A269" s="107"/>
      <c r="B269" s="1348" t="s">
        <v>41</v>
      </c>
      <c r="C269" s="1348"/>
      <c r="D269" s="1348"/>
      <c r="E269" s="1348"/>
      <c r="F269" s="1348"/>
      <c r="G269" s="1348"/>
      <c r="H269" s="111">
        <f>H270</f>
        <v>21724.199999999997</v>
      </c>
      <c r="I269" s="111">
        <f t="shared" ref="I269:P269" si="38">I270</f>
        <v>17960.030000000002</v>
      </c>
      <c r="J269" s="111">
        <f t="shared" si="38"/>
        <v>16982.93</v>
      </c>
      <c r="K269" s="112">
        <f t="shared" si="38"/>
        <v>832</v>
      </c>
      <c r="L269" s="113">
        <f t="shared" si="38"/>
        <v>22562280</v>
      </c>
      <c r="M269" s="113">
        <f t="shared" si="38"/>
        <v>0</v>
      </c>
      <c r="N269" s="113">
        <f t="shared" si="38"/>
        <v>0</v>
      </c>
      <c r="O269" s="113">
        <f t="shared" si="38"/>
        <v>22562280</v>
      </c>
      <c r="P269" s="113">
        <f t="shared" si="38"/>
        <v>0</v>
      </c>
      <c r="Q269" s="114" t="s">
        <v>40</v>
      </c>
      <c r="R269" s="126" t="s">
        <v>40</v>
      </c>
      <c r="S269" s="316">
        <v>43100</v>
      </c>
    </row>
    <row r="270" spans="1:19" s="1" customFormat="1" ht="30.6" customHeight="1">
      <c r="A270" s="107"/>
      <c r="B270" s="1349" t="s">
        <v>96</v>
      </c>
      <c r="C270" s="1349"/>
      <c r="D270" s="1348"/>
      <c r="E270" s="1348"/>
      <c r="F270" s="1349"/>
      <c r="G270" s="1349"/>
      <c r="H270" s="628">
        <f>SUM(H271:H280)</f>
        <v>21724.199999999997</v>
      </c>
      <c r="I270" s="628">
        <f>SUM(I271:I280)</f>
        <v>17960.030000000002</v>
      </c>
      <c r="J270" s="628">
        <f>SUM(J271:J280)</f>
        <v>16982.93</v>
      </c>
      <c r="K270" s="112">
        <f>SUM(K271:K280)</f>
        <v>832</v>
      </c>
      <c r="L270" s="658">
        <f>SUM(L271:L280)</f>
        <v>22562280</v>
      </c>
      <c r="M270" s="113">
        <f t="shared" ref="M270:P270" si="39">SUM(M271:M280)</f>
        <v>0</v>
      </c>
      <c r="N270" s="113">
        <f t="shared" si="39"/>
        <v>0</v>
      </c>
      <c r="O270" s="113">
        <f t="shared" si="39"/>
        <v>22562280</v>
      </c>
      <c r="P270" s="113">
        <f t="shared" si="39"/>
        <v>0</v>
      </c>
      <c r="Q270" s="114" t="s">
        <v>40</v>
      </c>
      <c r="R270" s="126" t="s">
        <v>40</v>
      </c>
      <c r="S270" s="316">
        <v>43100</v>
      </c>
    </row>
    <row r="271" spans="1:19" s="1" customFormat="1" ht="31.5">
      <c r="A271" s="631">
        <f>A2517+1</f>
        <v>1</v>
      </c>
      <c r="B271" s="762" t="s">
        <v>813</v>
      </c>
      <c r="C271" s="764">
        <v>1966</v>
      </c>
      <c r="D271" s="761"/>
      <c r="E271" s="611" t="s">
        <v>218</v>
      </c>
      <c r="F271" s="769">
        <v>5</v>
      </c>
      <c r="G271" s="769">
        <v>2</v>
      </c>
      <c r="H271" s="767">
        <v>2171.1999999999998</v>
      </c>
      <c r="I271" s="767">
        <v>1607.3</v>
      </c>
      <c r="J271" s="767">
        <f>I271-30.6</f>
        <v>1576.7</v>
      </c>
      <c r="K271" s="770">
        <v>64</v>
      </c>
      <c r="L271" s="773">
        <v>2342562</v>
      </c>
      <c r="M271" s="655">
        <v>0</v>
      </c>
      <c r="N271" s="113">
        <v>0</v>
      </c>
      <c r="O271" s="113">
        <f>L271</f>
        <v>2342562</v>
      </c>
      <c r="P271" s="113">
        <v>0</v>
      </c>
      <c r="Q271" s="114">
        <f>L271/I271</f>
        <v>1457.4516269520313</v>
      </c>
      <c r="R271" s="114">
        <v>7822</v>
      </c>
      <c r="S271" s="316">
        <v>43100</v>
      </c>
    </row>
    <row r="272" spans="1:19" s="1" customFormat="1" ht="31.5">
      <c r="A272" s="631">
        <f t="shared" si="30"/>
        <v>2</v>
      </c>
      <c r="B272" s="762" t="s">
        <v>814</v>
      </c>
      <c r="C272" s="764">
        <v>1933</v>
      </c>
      <c r="D272" s="761"/>
      <c r="E272" s="611" t="s">
        <v>218</v>
      </c>
      <c r="F272" s="769">
        <v>3</v>
      </c>
      <c r="G272" s="769">
        <v>3</v>
      </c>
      <c r="H272" s="767">
        <v>2335.1</v>
      </c>
      <c r="I272" s="767">
        <v>1526.5</v>
      </c>
      <c r="J272" s="767">
        <f>I272-173.6</f>
        <v>1352.9</v>
      </c>
      <c r="K272" s="770">
        <v>90</v>
      </c>
      <c r="L272" s="773">
        <v>2815415</v>
      </c>
      <c r="M272" s="655">
        <v>0</v>
      </c>
      <c r="N272" s="113">
        <v>0</v>
      </c>
      <c r="O272" s="113">
        <f t="shared" ref="O272:O278" si="40">L272</f>
        <v>2815415</v>
      </c>
      <c r="P272" s="113">
        <v>0</v>
      </c>
      <c r="Q272" s="114">
        <f>L272/I272</f>
        <v>1844.3596462495905</v>
      </c>
      <c r="R272" s="114">
        <v>7822</v>
      </c>
      <c r="S272" s="316">
        <v>43100</v>
      </c>
    </row>
    <row r="273" spans="1:34" s="1" customFormat="1" ht="31.5">
      <c r="A273" s="631">
        <f>A272+1</f>
        <v>3</v>
      </c>
      <c r="B273" s="762" t="s">
        <v>815</v>
      </c>
      <c r="C273" s="764">
        <v>1964</v>
      </c>
      <c r="D273" s="761"/>
      <c r="E273" s="611" t="s">
        <v>218</v>
      </c>
      <c r="F273" s="769">
        <v>5</v>
      </c>
      <c r="G273" s="769">
        <v>4</v>
      </c>
      <c r="H273" s="767">
        <v>5031</v>
      </c>
      <c r="I273" s="767">
        <v>3189.4</v>
      </c>
      <c r="J273" s="767">
        <f>I273-83.7</f>
        <v>3105.7000000000003</v>
      </c>
      <c r="K273" s="770">
        <v>112</v>
      </c>
      <c r="L273" s="773">
        <v>3917668</v>
      </c>
      <c r="M273" s="655">
        <v>0</v>
      </c>
      <c r="N273" s="113">
        <v>0</v>
      </c>
      <c r="O273" s="113">
        <f t="shared" si="40"/>
        <v>3917668</v>
      </c>
      <c r="P273" s="113">
        <v>0</v>
      </c>
      <c r="Q273" s="114">
        <f>L273/I273</f>
        <v>1228.340126669593</v>
      </c>
      <c r="R273" s="114">
        <v>7822</v>
      </c>
      <c r="S273" s="316">
        <v>43100</v>
      </c>
    </row>
    <row r="274" spans="1:34" s="1" customFormat="1" ht="31.5">
      <c r="A274" s="631">
        <v>4</v>
      </c>
      <c r="B274" s="762" t="s">
        <v>816</v>
      </c>
      <c r="C274" s="764">
        <v>1990</v>
      </c>
      <c r="D274" s="761"/>
      <c r="E274" s="611" t="s">
        <v>218</v>
      </c>
      <c r="F274" s="769">
        <v>5</v>
      </c>
      <c r="G274" s="769">
        <v>6</v>
      </c>
      <c r="H274" s="767">
        <v>4196.8999999999996</v>
      </c>
      <c r="I274" s="767">
        <v>4190</v>
      </c>
      <c r="J274" s="767">
        <f>I274-170.3</f>
        <v>4019.7</v>
      </c>
      <c r="K274" s="770">
        <v>204</v>
      </c>
      <c r="L274" s="773">
        <v>3136577</v>
      </c>
      <c r="M274" s="655">
        <v>0</v>
      </c>
      <c r="N274" s="113">
        <v>0</v>
      </c>
      <c r="O274" s="113">
        <f t="shared" si="40"/>
        <v>3136577</v>
      </c>
      <c r="P274" s="113">
        <v>0</v>
      </c>
      <c r="Q274" s="114">
        <f t="shared" ref="Q274:Q278" si="41">L274/I274</f>
        <v>748.5863961813842</v>
      </c>
      <c r="R274" s="114">
        <v>7822</v>
      </c>
      <c r="S274" s="316">
        <v>43100</v>
      </c>
    </row>
    <row r="275" spans="1:34" s="1" customFormat="1" ht="31.5">
      <c r="A275" s="631">
        <f t="shared" ref="A275:A279" si="42">A274+1</f>
        <v>5</v>
      </c>
      <c r="B275" s="762" t="s">
        <v>817</v>
      </c>
      <c r="C275" s="764"/>
      <c r="D275" s="761"/>
      <c r="E275" s="611" t="s">
        <v>218</v>
      </c>
      <c r="F275" s="769">
        <v>2</v>
      </c>
      <c r="G275" s="769">
        <v>2</v>
      </c>
      <c r="H275" s="767">
        <v>587.9</v>
      </c>
      <c r="I275" s="767">
        <v>541.4</v>
      </c>
      <c r="J275" s="767">
        <f>I275-226.8</f>
        <v>314.59999999999997</v>
      </c>
      <c r="K275" s="770">
        <v>42</v>
      </c>
      <c r="L275" s="773">
        <v>1046329</v>
      </c>
      <c r="M275" s="655">
        <v>0</v>
      </c>
      <c r="N275" s="113">
        <v>0</v>
      </c>
      <c r="O275" s="113">
        <f t="shared" si="40"/>
        <v>1046329</v>
      </c>
      <c r="P275" s="113">
        <v>0</v>
      </c>
      <c r="Q275" s="114">
        <f t="shared" si="41"/>
        <v>1932.6357591429628</v>
      </c>
      <c r="R275" s="114">
        <v>7822</v>
      </c>
      <c r="S275" s="316">
        <v>43100</v>
      </c>
    </row>
    <row r="276" spans="1:34" s="1" customFormat="1" ht="31.5">
      <c r="A276" s="631">
        <f t="shared" si="42"/>
        <v>6</v>
      </c>
      <c r="B276" s="762" t="s">
        <v>818</v>
      </c>
      <c r="C276" s="764">
        <v>1955</v>
      </c>
      <c r="D276" s="761"/>
      <c r="E276" s="611" t="s">
        <v>218</v>
      </c>
      <c r="F276" s="769">
        <v>3</v>
      </c>
      <c r="G276" s="769">
        <v>2</v>
      </c>
      <c r="H276" s="767">
        <v>1065.8</v>
      </c>
      <c r="I276" s="767">
        <v>959.8</v>
      </c>
      <c r="J276" s="767">
        <f>I276-123.4</f>
        <v>836.4</v>
      </c>
      <c r="K276" s="770">
        <v>38</v>
      </c>
      <c r="L276" s="773">
        <v>2290833</v>
      </c>
      <c r="M276" s="655">
        <v>0</v>
      </c>
      <c r="N276" s="113">
        <v>0</v>
      </c>
      <c r="O276" s="113">
        <f t="shared" si="40"/>
        <v>2290833</v>
      </c>
      <c r="P276" s="113">
        <v>0</v>
      </c>
      <c r="Q276" s="114">
        <f t="shared" si="41"/>
        <v>2386.7816211710774</v>
      </c>
      <c r="R276" s="114">
        <v>7822</v>
      </c>
      <c r="S276" s="316">
        <v>43100</v>
      </c>
    </row>
    <row r="277" spans="1:34" s="1" customFormat="1" ht="31.5">
      <c r="A277" s="631">
        <v>7</v>
      </c>
      <c r="B277" s="762" t="s">
        <v>819</v>
      </c>
      <c r="C277" s="764">
        <v>1952</v>
      </c>
      <c r="D277" s="761"/>
      <c r="E277" s="611" t="s">
        <v>218</v>
      </c>
      <c r="F277" s="769">
        <v>3</v>
      </c>
      <c r="G277" s="769">
        <v>2</v>
      </c>
      <c r="H277" s="767">
        <v>924.5</v>
      </c>
      <c r="I277" s="767">
        <v>878.6</v>
      </c>
      <c r="J277" s="767">
        <f>I277-65.6</f>
        <v>813</v>
      </c>
      <c r="K277" s="770">
        <v>37</v>
      </c>
      <c r="L277" s="773">
        <v>1932078</v>
      </c>
      <c r="M277" s="655">
        <v>0</v>
      </c>
      <c r="N277" s="113">
        <v>0</v>
      </c>
      <c r="O277" s="113">
        <f>L277</f>
        <v>1932078</v>
      </c>
      <c r="P277" s="113">
        <v>0</v>
      </c>
      <c r="Q277" s="114">
        <f t="shared" si="41"/>
        <v>2199.0416571818801</v>
      </c>
      <c r="R277" s="114">
        <v>7822</v>
      </c>
      <c r="S277" s="316">
        <v>43100</v>
      </c>
    </row>
    <row r="278" spans="1:34" s="1" customFormat="1" ht="31.5">
      <c r="A278" s="631">
        <f t="shared" si="42"/>
        <v>8</v>
      </c>
      <c r="B278" s="762" t="s">
        <v>820</v>
      </c>
      <c r="C278" s="764">
        <v>1973</v>
      </c>
      <c r="D278" s="761"/>
      <c r="E278" s="611" t="s">
        <v>218</v>
      </c>
      <c r="F278" s="769">
        <v>5</v>
      </c>
      <c r="G278" s="769">
        <v>6</v>
      </c>
      <c r="H278" s="767">
        <v>4335.5</v>
      </c>
      <c r="I278" s="767">
        <v>4074.77</v>
      </c>
      <c r="J278" s="767">
        <f>I278-103.1</f>
        <v>3971.67</v>
      </c>
      <c r="K278" s="770">
        <v>197</v>
      </c>
      <c r="L278" s="773">
        <v>3354962</v>
      </c>
      <c r="M278" s="655">
        <v>0</v>
      </c>
      <c r="N278" s="113">
        <v>0</v>
      </c>
      <c r="O278" s="113">
        <f t="shared" si="40"/>
        <v>3354962</v>
      </c>
      <c r="P278" s="113">
        <v>0</v>
      </c>
      <c r="Q278" s="114">
        <f t="shared" si="41"/>
        <v>823.35002957222127</v>
      </c>
      <c r="R278" s="114">
        <v>7822</v>
      </c>
      <c r="S278" s="316">
        <v>43100</v>
      </c>
    </row>
    <row r="279" spans="1:34" s="1" customFormat="1" ht="15.75">
      <c r="A279" s="631">
        <f t="shared" si="42"/>
        <v>9</v>
      </c>
      <c r="B279" s="762" t="s">
        <v>821</v>
      </c>
      <c r="C279" s="764">
        <v>1933</v>
      </c>
      <c r="D279" s="761"/>
      <c r="E279" s="611" t="s">
        <v>824</v>
      </c>
      <c r="F279" s="769">
        <v>2</v>
      </c>
      <c r="G279" s="769">
        <v>2</v>
      </c>
      <c r="H279" s="767">
        <v>447.8</v>
      </c>
      <c r="I279" s="767">
        <v>365.06</v>
      </c>
      <c r="J279" s="767">
        <f>I279</f>
        <v>365.06</v>
      </c>
      <c r="K279" s="770">
        <v>18</v>
      </c>
      <c r="L279" s="773">
        <v>280050</v>
      </c>
      <c r="M279" s="655">
        <v>0</v>
      </c>
      <c r="N279" s="113">
        <v>0</v>
      </c>
      <c r="O279" s="113">
        <f>L279</f>
        <v>280050</v>
      </c>
      <c r="P279" s="113">
        <v>0</v>
      </c>
      <c r="Q279" s="114">
        <f>L279/I279</f>
        <v>767.13416972552454</v>
      </c>
      <c r="R279" s="114">
        <v>7822</v>
      </c>
      <c r="S279" s="316">
        <v>43100</v>
      </c>
    </row>
    <row r="280" spans="1:34" s="1" customFormat="1" ht="31.5">
      <c r="A280" s="631">
        <v>10</v>
      </c>
      <c r="B280" s="763" t="s">
        <v>822</v>
      </c>
      <c r="C280" s="656">
        <v>1969</v>
      </c>
      <c r="D280" s="761"/>
      <c r="E280" s="611" t="s">
        <v>823</v>
      </c>
      <c r="F280" s="131">
        <v>2</v>
      </c>
      <c r="G280" s="131">
        <v>2</v>
      </c>
      <c r="H280" s="768">
        <v>628.5</v>
      </c>
      <c r="I280" s="768">
        <v>627.20000000000005</v>
      </c>
      <c r="J280" s="768">
        <f>I280</f>
        <v>627.20000000000005</v>
      </c>
      <c r="K280" s="770">
        <v>30</v>
      </c>
      <c r="L280" s="772">
        <v>1445806</v>
      </c>
      <c r="M280" s="655">
        <v>0</v>
      </c>
      <c r="N280" s="113">
        <v>0</v>
      </c>
      <c r="O280" s="113">
        <f>L280</f>
        <v>1445806</v>
      </c>
      <c r="P280" s="113">
        <v>0</v>
      </c>
      <c r="Q280" s="114">
        <f>L280/I280</f>
        <v>2305.1753826530612</v>
      </c>
      <c r="R280" s="114">
        <v>7822</v>
      </c>
      <c r="S280" s="316">
        <v>43100</v>
      </c>
    </row>
    <row r="281" spans="1:34" s="1" customFormat="1" ht="15.75">
      <c r="A281" s="107"/>
      <c r="B281" s="1376" t="s">
        <v>68</v>
      </c>
      <c r="C281" s="1376"/>
      <c r="D281" s="1336"/>
      <c r="E281" s="1336"/>
      <c r="F281" s="1376"/>
      <c r="G281" s="1376"/>
      <c r="H281" s="765">
        <f>H282</f>
        <v>362.9</v>
      </c>
      <c r="I281" s="766">
        <f t="shared" ref="I281:P281" si="43">I282</f>
        <v>247.4</v>
      </c>
      <c r="J281" s="766">
        <f t="shared" si="43"/>
        <v>159.80000000000001</v>
      </c>
      <c r="K281" s="119">
        <f t="shared" si="43"/>
        <v>15</v>
      </c>
      <c r="L281" s="771">
        <f t="shared" si="43"/>
        <v>241114</v>
      </c>
      <c r="M281" s="113">
        <f t="shared" si="43"/>
        <v>0</v>
      </c>
      <c r="N281" s="113">
        <f t="shared" si="43"/>
        <v>0</v>
      </c>
      <c r="O281" s="113">
        <f t="shared" si="43"/>
        <v>241114</v>
      </c>
      <c r="P281" s="113">
        <f t="shared" si="43"/>
        <v>0</v>
      </c>
      <c r="Q281" s="106" t="s">
        <v>40</v>
      </c>
      <c r="R281" s="106" t="s">
        <v>40</v>
      </c>
      <c r="S281" s="316">
        <v>43100</v>
      </c>
    </row>
    <row r="282" spans="1:34" s="1" customFormat="1" ht="15.75" customHeight="1">
      <c r="A282" s="107"/>
      <c r="B282" s="1329" t="s">
        <v>97</v>
      </c>
      <c r="C282" s="1329"/>
      <c r="D282" s="1329"/>
      <c r="E282" s="1329"/>
      <c r="F282" s="1329"/>
      <c r="G282" s="1329"/>
      <c r="H282" s="128">
        <f>H283</f>
        <v>362.9</v>
      </c>
      <c r="I282" s="106">
        <f t="shared" ref="I282:P282" si="44">I283</f>
        <v>247.4</v>
      </c>
      <c r="J282" s="106">
        <f t="shared" si="44"/>
        <v>159.80000000000001</v>
      </c>
      <c r="K282" s="119">
        <f t="shared" si="44"/>
        <v>15</v>
      </c>
      <c r="L282" s="113">
        <f t="shared" si="44"/>
        <v>241114</v>
      </c>
      <c r="M282" s="113">
        <f t="shared" si="44"/>
        <v>0</v>
      </c>
      <c r="N282" s="113">
        <f t="shared" si="44"/>
        <v>0</v>
      </c>
      <c r="O282" s="113">
        <f t="shared" si="44"/>
        <v>241114</v>
      </c>
      <c r="P282" s="113">
        <f t="shared" si="44"/>
        <v>0</v>
      </c>
      <c r="Q282" s="106" t="s">
        <v>40</v>
      </c>
      <c r="R282" s="106" t="s">
        <v>40</v>
      </c>
      <c r="S282" s="316">
        <v>43100</v>
      </c>
    </row>
    <row r="283" spans="1:34" s="1" customFormat="1" ht="31.5">
      <c r="A283" s="308">
        <f>A280+1</f>
        <v>11</v>
      </c>
      <c r="B283" s="363" t="s">
        <v>505</v>
      </c>
      <c r="C283" s="346">
        <v>1946</v>
      </c>
      <c r="D283" s="346"/>
      <c r="E283" s="311" t="s">
        <v>218</v>
      </c>
      <c r="F283" s="346">
        <v>2</v>
      </c>
      <c r="G283" s="346">
        <v>1</v>
      </c>
      <c r="H283" s="347">
        <v>362.9</v>
      </c>
      <c r="I283" s="350">
        <v>247.4</v>
      </c>
      <c r="J283" s="350">
        <v>159.80000000000001</v>
      </c>
      <c r="K283" s="349">
        <v>15</v>
      </c>
      <c r="L283" s="314">
        <v>241114</v>
      </c>
      <c r="M283" s="314">
        <v>0</v>
      </c>
      <c r="N283" s="314">
        <v>0</v>
      </c>
      <c r="O283" s="314">
        <v>241114</v>
      </c>
      <c r="P283" s="314">
        <v>0</v>
      </c>
      <c r="Q283" s="350">
        <f>L283/I283</f>
        <v>974.591754244139</v>
      </c>
      <c r="R283" s="315">
        <v>7822</v>
      </c>
      <c r="S283" s="316">
        <v>43100</v>
      </c>
    </row>
    <row r="284" spans="1:34" s="16" customFormat="1" ht="15.75">
      <c r="A284" s="107"/>
      <c r="B284" s="1336" t="s">
        <v>43</v>
      </c>
      <c r="C284" s="1336"/>
      <c r="D284" s="1336"/>
      <c r="E284" s="1336"/>
      <c r="F284" s="1336"/>
      <c r="G284" s="1336"/>
      <c r="H284" s="106">
        <f>H285+H300</f>
        <v>23164.559999999998</v>
      </c>
      <c r="I284" s="106">
        <f t="shared" ref="I284:L284" si="45">I285+I300</f>
        <v>21134.959999999999</v>
      </c>
      <c r="J284" s="106">
        <f t="shared" si="45"/>
        <v>19251.09</v>
      </c>
      <c r="K284" s="119">
        <f>K285+K300</f>
        <v>853</v>
      </c>
      <c r="L284" s="113">
        <f t="shared" si="45"/>
        <v>23032470</v>
      </c>
      <c r="M284" s="113">
        <f t="shared" ref="M284" si="46">M285+M300</f>
        <v>0</v>
      </c>
      <c r="N284" s="113">
        <f t="shared" ref="N284" si="47">N285+N300</f>
        <v>1400000</v>
      </c>
      <c r="O284" s="113">
        <f t="shared" ref="O284:P284" si="48">O285+O300</f>
        <v>21632470</v>
      </c>
      <c r="P284" s="113">
        <f t="shared" si="48"/>
        <v>0</v>
      </c>
      <c r="Q284" s="106" t="s">
        <v>40</v>
      </c>
      <c r="R284" s="106" t="s">
        <v>40</v>
      </c>
      <c r="S284" s="316">
        <v>43100</v>
      </c>
    </row>
    <row r="285" spans="1:34" s="10" customFormat="1" ht="15.75" customHeight="1">
      <c r="A285" s="107"/>
      <c r="B285" s="1329" t="s">
        <v>125</v>
      </c>
      <c r="C285" s="1329"/>
      <c r="D285" s="1329"/>
      <c r="E285" s="1329"/>
      <c r="F285" s="1329"/>
      <c r="G285" s="1329"/>
      <c r="H285" s="128">
        <f t="shared" ref="H285:M285" si="49">SUM(H286:H299)</f>
        <v>20106.559999999998</v>
      </c>
      <c r="I285" s="106">
        <f t="shared" si="49"/>
        <v>18426.259999999998</v>
      </c>
      <c r="J285" s="106">
        <f t="shared" si="49"/>
        <v>16665.189999999999</v>
      </c>
      <c r="K285" s="119">
        <f t="shared" si="49"/>
        <v>735</v>
      </c>
      <c r="L285" s="113">
        <f t="shared" si="49"/>
        <v>20696312</v>
      </c>
      <c r="M285" s="113">
        <f t="shared" si="49"/>
        <v>0</v>
      </c>
      <c r="N285" s="113">
        <f t="shared" ref="N285:O285" si="50">SUM(N286:N299)</f>
        <v>0</v>
      </c>
      <c r="O285" s="113">
        <f t="shared" si="50"/>
        <v>20696312</v>
      </c>
      <c r="P285" s="113">
        <f>SUM(P286:P302)</f>
        <v>0</v>
      </c>
      <c r="Q285" s="106" t="s">
        <v>40</v>
      </c>
      <c r="R285" s="106" t="s">
        <v>40</v>
      </c>
      <c r="S285" s="316">
        <v>43100</v>
      </c>
    </row>
    <row r="286" spans="1:34" s="40" customFormat="1" ht="15.75">
      <c r="A286" s="107"/>
      <c r="B286" s="130" t="s">
        <v>405</v>
      </c>
      <c r="C286" s="131">
        <v>1979</v>
      </c>
      <c r="D286" s="132"/>
      <c r="E286" s="109" t="s">
        <v>219</v>
      </c>
      <c r="F286" s="131">
        <v>5</v>
      </c>
      <c r="G286" s="131">
        <v>6</v>
      </c>
      <c r="H286" s="133">
        <v>4364.1000000000004</v>
      </c>
      <c r="I286" s="131">
        <v>3933.3</v>
      </c>
      <c r="J286" s="131">
        <v>3786.33</v>
      </c>
      <c r="K286" s="123">
        <v>163</v>
      </c>
      <c r="L286" s="113">
        <v>2301804</v>
      </c>
      <c r="M286" s="113">
        <v>0</v>
      </c>
      <c r="N286" s="113">
        <v>0</v>
      </c>
      <c r="O286" s="113">
        <f t="shared" ref="O286:O299" si="51">L286</f>
        <v>2301804</v>
      </c>
      <c r="P286" s="113">
        <v>0</v>
      </c>
      <c r="Q286" s="134">
        <f>L286/I286</f>
        <v>585.2093661810693</v>
      </c>
      <c r="R286" s="114">
        <v>6774</v>
      </c>
      <c r="S286" s="316">
        <v>43100</v>
      </c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</row>
    <row r="287" spans="1:34" s="41" customFormat="1" ht="31.5">
      <c r="A287" s="107"/>
      <c r="B287" s="120" t="s">
        <v>393</v>
      </c>
      <c r="C287" s="109">
        <v>1976</v>
      </c>
      <c r="D287" s="109"/>
      <c r="E287" s="109" t="s">
        <v>218</v>
      </c>
      <c r="F287" s="135">
        <v>5</v>
      </c>
      <c r="G287" s="109">
        <v>6</v>
      </c>
      <c r="H287" s="136">
        <v>4869.8</v>
      </c>
      <c r="I287" s="137">
        <v>4494.8</v>
      </c>
      <c r="J287" s="137">
        <v>3910.1</v>
      </c>
      <c r="K287" s="138">
        <v>161</v>
      </c>
      <c r="L287" s="113">
        <v>1743478</v>
      </c>
      <c r="M287" s="113">
        <v>0</v>
      </c>
      <c r="N287" s="113">
        <v>0</v>
      </c>
      <c r="O287" s="113">
        <f t="shared" si="51"/>
        <v>1743478</v>
      </c>
      <c r="P287" s="113">
        <v>0</v>
      </c>
      <c r="Q287" s="139">
        <f>L287/I287</f>
        <v>387.88778143632641</v>
      </c>
      <c r="R287" s="102">
        <v>6774</v>
      </c>
      <c r="S287" s="316">
        <v>43100</v>
      </c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</row>
    <row r="288" spans="1:34" s="41" customFormat="1" ht="31.5">
      <c r="A288" s="107"/>
      <c r="B288" s="140" t="s">
        <v>406</v>
      </c>
      <c r="C288" s="132">
        <v>2005</v>
      </c>
      <c r="D288" s="132"/>
      <c r="E288" s="109" t="s">
        <v>218</v>
      </c>
      <c r="F288" s="131">
        <v>2</v>
      </c>
      <c r="G288" s="131">
        <v>2</v>
      </c>
      <c r="H288" s="133">
        <v>2170.6999999999998</v>
      </c>
      <c r="I288" s="125">
        <v>1890.5</v>
      </c>
      <c r="J288" s="125">
        <v>1756.6</v>
      </c>
      <c r="K288" s="123">
        <v>72</v>
      </c>
      <c r="L288" s="113">
        <v>2485001</v>
      </c>
      <c r="M288" s="113">
        <v>0</v>
      </c>
      <c r="N288" s="113">
        <v>0</v>
      </c>
      <c r="O288" s="113">
        <f t="shared" si="51"/>
        <v>2485001</v>
      </c>
      <c r="P288" s="113">
        <v>0</v>
      </c>
      <c r="Q288" s="126">
        <f>L288/I288</f>
        <v>1314.4676011637132</v>
      </c>
      <c r="R288" s="114">
        <v>6774</v>
      </c>
      <c r="S288" s="316">
        <v>43100</v>
      </c>
    </row>
    <row r="289" spans="1:34" s="41" customFormat="1" ht="31.5">
      <c r="A289" s="107"/>
      <c r="B289" s="130" t="s">
        <v>402</v>
      </c>
      <c r="C289" s="131">
        <v>1961</v>
      </c>
      <c r="D289" s="132"/>
      <c r="E289" s="109" t="s">
        <v>218</v>
      </c>
      <c r="F289" s="131">
        <v>2</v>
      </c>
      <c r="G289" s="132">
        <v>3</v>
      </c>
      <c r="H289" s="141">
        <v>662.8</v>
      </c>
      <c r="I289" s="142">
        <v>612.6</v>
      </c>
      <c r="J289" s="142">
        <v>517</v>
      </c>
      <c r="K289" s="143">
        <v>32</v>
      </c>
      <c r="L289" s="113">
        <v>1237591</v>
      </c>
      <c r="M289" s="113">
        <v>0</v>
      </c>
      <c r="N289" s="113">
        <v>0</v>
      </c>
      <c r="O289" s="113">
        <f t="shared" si="51"/>
        <v>1237591</v>
      </c>
      <c r="P289" s="113">
        <v>0</v>
      </c>
      <c r="Q289" s="144">
        <f>L289/I289</f>
        <v>2020.2269017303297</v>
      </c>
      <c r="R289" s="114">
        <v>6774</v>
      </c>
      <c r="S289" s="316">
        <v>43100</v>
      </c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</row>
    <row r="290" spans="1:34" s="41" customFormat="1" ht="31.5">
      <c r="A290" s="107"/>
      <c r="B290" s="145" t="s">
        <v>397</v>
      </c>
      <c r="C290" s="131">
        <v>1953</v>
      </c>
      <c r="D290" s="132"/>
      <c r="E290" s="109" t="s">
        <v>218</v>
      </c>
      <c r="F290" s="131">
        <v>2</v>
      </c>
      <c r="G290" s="132">
        <v>2</v>
      </c>
      <c r="H290" s="146">
        <v>470.96</v>
      </c>
      <c r="I290" s="147">
        <v>417.36</v>
      </c>
      <c r="J290" s="147">
        <v>356.76</v>
      </c>
      <c r="K290" s="148">
        <v>10</v>
      </c>
      <c r="L290" s="113">
        <v>1448078</v>
      </c>
      <c r="M290" s="113">
        <v>0</v>
      </c>
      <c r="N290" s="113">
        <v>0</v>
      </c>
      <c r="O290" s="113">
        <f t="shared" si="51"/>
        <v>1448078</v>
      </c>
      <c r="P290" s="113">
        <v>0</v>
      </c>
      <c r="Q290" s="144">
        <f>L290/I290</f>
        <v>3469.6137626988689</v>
      </c>
      <c r="R290" s="114">
        <v>6774</v>
      </c>
      <c r="S290" s="316">
        <v>43100</v>
      </c>
    </row>
    <row r="291" spans="1:34" s="41" customFormat="1" ht="31.5">
      <c r="A291" s="107"/>
      <c r="B291" s="145" t="s">
        <v>398</v>
      </c>
      <c r="C291" s="131">
        <v>1954</v>
      </c>
      <c r="D291" s="132"/>
      <c r="E291" s="109" t="s">
        <v>218</v>
      </c>
      <c r="F291" s="131">
        <v>2</v>
      </c>
      <c r="G291" s="132">
        <v>2</v>
      </c>
      <c r="H291" s="141">
        <v>922.3</v>
      </c>
      <c r="I291" s="142">
        <v>862.3</v>
      </c>
      <c r="J291" s="142">
        <v>862.3</v>
      </c>
      <c r="K291" s="123">
        <v>31</v>
      </c>
      <c r="L291" s="113">
        <v>1963797</v>
      </c>
      <c r="M291" s="113">
        <v>0</v>
      </c>
      <c r="N291" s="113">
        <v>0</v>
      </c>
      <c r="O291" s="113">
        <f t="shared" si="51"/>
        <v>1963797</v>
      </c>
      <c r="P291" s="113">
        <v>0</v>
      </c>
      <c r="Q291" s="144">
        <f xml:space="preserve"> L291/I291</f>
        <v>2277.3941783601995</v>
      </c>
      <c r="R291" s="114">
        <v>6774</v>
      </c>
      <c r="S291" s="316">
        <v>43100</v>
      </c>
    </row>
    <row r="292" spans="1:34" s="42" customFormat="1" ht="31.5">
      <c r="A292" s="107"/>
      <c r="B292" s="145" t="s">
        <v>399</v>
      </c>
      <c r="C292" s="131">
        <v>1961</v>
      </c>
      <c r="D292" s="132"/>
      <c r="E292" s="109" t="s">
        <v>218</v>
      </c>
      <c r="F292" s="131">
        <v>4</v>
      </c>
      <c r="G292" s="132">
        <v>4</v>
      </c>
      <c r="H292" s="133">
        <v>2386.6</v>
      </c>
      <c r="I292" s="125">
        <v>2260.4</v>
      </c>
      <c r="J292" s="125">
        <v>2024.9</v>
      </c>
      <c r="K292" s="123">
        <v>66</v>
      </c>
      <c r="L292" s="113">
        <v>2119530</v>
      </c>
      <c r="M292" s="113">
        <v>0</v>
      </c>
      <c r="N292" s="113">
        <v>0</v>
      </c>
      <c r="O292" s="113">
        <f t="shared" si="51"/>
        <v>2119530</v>
      </c>
      <c r="P292" s="113">
        <v>0</v>
      </c>
      <c r="Q292" s="144">
        <f t="shared" ref="Q292:Q299" si="52">L292/I292</f>
        <v>937.67917182799499</v>
      </c>
      <c r="R292" s="114">
        <v>6774</v>
      </c>
      <c r="S292" s="316">
        <v>43100</v>
      </c>
    </row>
    <row r="293" spans="1:34" s="42" customFormat="1" ht="31.5">
      <c r="A293" s="107"/>
      <c r="B293" s="130" t="s">
        <v>403</v>
      </c>
      <c r="C293" s="131">
        <v>1956</v>
      </c>
      <c r="D293" s="132"/>
      <c r="E293" s="109" t="s">
        <v>218</v>
      </c>
      <c r="F293" s="131">
        <v>2</v>
      </c>
      <c r="G293" s="132">
        <v>2</v>
      </c>
      <c r="H293" s="149">
        <v>833.9</v>
      </c>
      <c r="I293" s="142">
        <v>785.9</v>
      </c>
      <c r="J293" s="142">
        <v>675</v>
      </c>
      <c r="K293" s="143">
        <v>32</v>
      </c>
      <c r="L293" s="113">
        <v>1098163</v>
      </c>
      <c r="M293" s="113">
        <v>0</v>
      </c>
      <c r="N293" s="113">
        <v>0</v>
      </c>
      <c r="O293" s="113">
        <f t="shared" si="51"/>
        <v>1098163</v>
      </c>
      <c r="P293" s="113">
        <v>0</v>
      </c>
      <c r="Q293" s="144">
        <f t="shared" si="52"/>
        <v>1397.3317215930781</v>
      </c>
      <c r="R293" s="114">
        <v>6774</v>
      </c>
      <c r="S293" s="316">
        <v>43100</v>
      </c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</row>
    <row r="294" spans="1:34" s="42" customFormat="1" ht="31.5">
      <c r="A294" s="107"/>
      <c r="B294" s="130" t="s">
        <v>404</v>
      </c>
      <c r="C294" s="131">
        <v>1959</v>
      </c>
      <c r="D294" s="132"/>
      <c r="E294" s="109" t="s">
        <v>218</v>
      </c>
      <c r="F294" s="131">
        <v>2</v>
      </c>
      <c r="G294" s="132">
        <v>3</v>
      </c>
      <c r="H294" s="150">
        <v>640.5</v>
      </c>
      <c r="I294" s="147">
        <v>621.79999999999995</v>
      </c>
      <c r="J294" s="147">
        <v>490.9</v>
      </c>
      <c r="K294" s="143">
        <v>35</v>
      </c>
      <c r="L294" s="113">
        <v>1241309</v>
      </c>
      <c r="M294" s="113">
        <v>0</v>
      </c>
      <c r="N294" s="113">
        <v>0</v>
      </c>
      <c r="O294" s="113">
        <f t="shared" si="51"/>
        <v>1241309</v>
      </c>
      <c r="P294" s="113">
        <v>0</v>
      </c>
      <c r="Q294" s="144">
        <f t="shared" si="52"/>
        <v>1996.3155355419751</v>
      </c>
      <c r="R294" s="114">
        <v>6774</v>
      </c>
      <c r="S294" s="316">
        <v>43100</v>
      </c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</row>
    <row r="295" spans="1:34" s="42" customFormat="1" ht="31.5">
      <c r="A295" s="107"/>
      <c r="B295" s="130" t="s">
        <v>400</v>
      </c>
      <c r="C295" s="131">
        <v>1960</v>
      </c>
      <c r="D295" s="132"/>
      <c r="E295" s="109" t="s">
        <v>218</v>
      </c>
      <c r="F295" s="131">
        <v>2</v>
      </c>
      <c r="G295" s="132">
        <v>2</v>
      </c>
      <c r="H295" s="141">
        <v>504.1</v>
      </c>
      <c r="I295" s="142">
        <v>445.3</v>
      </c>
      <c r="J295" s="142">
        <v>373.3</v>
      </c>
      <c r="K295" s="143">
        <v>24</v>
      </c>
      <c r="L295" s="113">
        <v>1041360</v>
      </c>
      <c r="M295" s="113">
        <v>0</v>
      </c>
      <c r="N295" s="113">
        <v>0</v>
      </c>
      <c r="O295" s="113">
        <f t="shared" si="51"/>
        <v>1041360</v>
      </c>
      <c r="P295" s="113">
        <v>0</v>
      </c>
      <c r="Q295" s="144">
        <f t="shared" si="52"/>
        <v>2338.5582753200088</v>
      </c>
      <c r="R295" s="114">
        <v>6774</v>
      </c>
      <c r="S295" s="316">
        <v>43100</v>
      </c>
    </row>
    <row r="296" spans="1:34" s="44" customFormat="1" ht="31.5">
      <c r="A296" s="107"/>
      <c r="B296" s="130" t="s">
        <v>401</v>
      </c>
      <c r="C296" s="131">
        <v>1961</v>
      </c>
      <c r="D296" s="132"/>
      <c r="E296" s="109" t="s">
        <v>218</v>
      </c>
      <c r="F296" s="131">
        <v>2</v>
      </c>
      <c r="G296" s="132">
        <v>2</v>
      </c>
      <c r="H296" s="141">
        <v>506.2</v>
      </c>
      <c r="I296" s="142">
        <v>447.4</v>
      </c>
      <c r="J296" s="142">
        <f>I296</f>
        <v>447.4</v>
      </c>
      <c r="K296" s="143">
        <v>18</v>
      </c>
      <c r="L296" s="113">
        <v>1138866</v>
      </c>
      <c r="M296" s="113">
        <v>0</v>
      </c>
      <c r="N296" s="113">
        <v>0</v>
      </c>
      <c r="O296" s="113">
        <f t="shared" si="51"/>
        <v>1138866</v>
      </c>
      <c r="P296" s="113">
        <v>0</v>
      </c>
      <c r="Q296" s="144">
        <f t="shared" si="52"/>
        <v>2545.5207867679928</v>
      </c>
      <c r="R296" s="114">
        <v>6774</v>
      </c>
      <c r="S296" s="316">
        <v>43100</v>
      </c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</row>
    <row r="297" spans="1:34" s="41" customFormat="1" ht="31.5">
      <c r="A297" s="107"/>
      <c r="B297" s="145" t="s">
        <v>394</v>
      </c>
      <c r="C297" s="131">
        <v>1966</v>
      </c>
      <c r="D297" s="132"/>
      <c r="E297" s="109" t="s">
        <v>218</v>
      </c>
      <c r="F297" s="131">
        <v>2</v>
      </c>
      <c r="G297" s="132">
        <v>2</v>
      </c>
      <c r="H297" s="141">
        <v>482.5</v>
      </c>
      <c r="I297" s="142">
        <v>454.1</v>
      </c>
      <c r="J297" s="142">
        <v>370.7</v>
      </c>
      <c r="K297" s="123">
        <v>31</v>
      </c>
      <c r="L297" s="113">
        <v>848546</v>
      </c>
      <c r="M297" s="113">
        <v>0</v>
      </c>
      <c r="N297" s="113">
        <v>0</v>
      </c>
      <c r="O297" s="113">
        <f t="shared" si="51"/>
        <v>848546</v>
      </c>
      <c r="P297" s="113">
        <v>0</v>
      </c>
      <c r="Q297" s="144">
        <f t="shared" si="52"/>
        <v>1868.6324598106144</v>
      </c>
      <c r="R297" s="114">
        <v>6774</v>
      </c>
      <c r="S297" s="316">
        <v>43100</v>
      </c>
    </row>
    <row r="298" spans="1:34" s="41" customFormat="1" ht="31.5">
      <c r="A298" s="107"/>
      <c r="B298" s="145" t="s">
        <v>395</v>
      </c>
      <c r="C298" s="131">
        <v>1969</v>
      </c>
      <c r="D298" s="132"/>
      <c r="E298" s="109" t="s">
        <v>218</v>
      </c>
      <c r="F298" s="131">
        <v>2</v>
      </c>
      <c r="G298" s="132">
        <v>2</v>
      </c>
      <c r="H298" s="141">
        <v>502.6</v>
      </c>
      <c r="I298" s="151">
        <v>471</v>
      </c>
      <c r="J298" s="142">
        <v>423.8</v>
      </c>
      <c r="K298" s="123">
        <v>21</v>
      </c>
      <c r="L298" s="113">
        <v>848706</v>
      </c>
      <c r="M298" s="113">
        <v>0</v>
      </c>
      <c r="N298" s="113">
        <v>0</v>
      </c>
      <c r="O298" s="113">
        <f t="shared" si="51"/>
        <v>848706</v>
      </c>
      <c r="P298" s="113">
        <v>0</v>
      </c>
      <c r="Q298" s="144">
        <f t="shared" si="52"/>
        <v>1801.9235668789809</v>
      </c>
      <c r="R298" s="114">
        <v>6774</v>
      </c>
      <c r="S298" s="316">
        <v>43100</v>
      </c>
    </row>
    <row r="299" spans="1:34" s="41" customFormat="1" ht="31.5">
      <c r="A299" s="107"/>
      <c r="B299" s="145" t="s">
        <v>396</v>
      </c>
      <c r="C299" s="131">
        <v>1973</v>
      </c>
      <c r="D299" s="132"/>
      <c r="E299" s="109" t="s">
        <v>218</v>
      </c>
      <c r="F299" s="131">
        <v>2</v>
      </c>
      <c r="G299" s="132">
        <v>2</v>
      </c>
      <c r="H299" s="141">
        <v>789.5</v>
      </c>
      <c r="I299" s="142">
        <v>729.5</v>
      </c>
      <c r="J299" s="142">
        <v>670.1</v>
      </c>
      <c r="K299" s="123">
        <v>39</v>
      </c>
      <c r="L299" s="113">
        <v>1180083</v>
      </c>
      <c r="M299" s="113">
        <v>0</v>
      </c>
      <c r="N299" s="113">
        <v>0</v>
      </c>
      <c r="O299" s="113">
        <f t="shared" si="51"/>
        <v>1180083</v>
      </c>
      <c r="P299" s="113">
        <v>0</v>
      </c>
      <c r="Q299" s="144">
        <f t="shared" si="52"/>
        <v>1617.6600411240577</v>
      </c>
      <c r="R299" s="114">
        <v>6774</v>
      </c>
      <c r="S299" s="316">
        <v>43100</v>
      </c>
    </row>
    <row r="300" spans="1:34" s="42" customFormat="1" ht="15.75" customHeight="1">
      <c r="A300" s="107"/>
      <c r="B300" s="1329" t="s">
        <v>210</v>
      </c>
      <c r="C300" s="1329"/>
      <c r="D300" s="1329"/>
      <c r="E300" s="1329"/>
      <c r="F300" s="1329"/>
      <c r="G300" s="1329"/>
      <c r="H300" s="106">
        <f>H301+H302</f>
        <v>3058</v>
      </c>
      <c r="I300" s="106">
        <f t="shared" ref="I300:L300" si="53">I301+I302</f>
        <v>2708.7</v>
      </c>
      <c r="J300" s="106">
        <f t="shared" si="53"/>
        <v>2585.9</v>
      </c>
      <c r="K300" s="119">
        <f t="shared" si="53"/>
        <v>118</v>
      </c>
      <c r="L300" s="113">
        <f t="shared" si="53"/>
        <v>2336158</v>
      </c>
      <c r="M300" s="113">
        <f t="shared" ref="M300" si="54">M301+M302</f>
        <v>0</v>
      </c>
      <c r="N300" s="113">
        <f t="shared" ref="N300" si="55">N301+N302</f>
        <v>1400000</v>
      </c>
      <c r="O300" s="113">
        <f t="shared" ref="O300" si="56">O301+O302</f>
        <v>936158</v>
      </c>
      <c r="P300" s="113">
        <f t="shared" ref="P300" si="57">P301+P302</f>
        <v>0</v>
      </c>
      <c r="Q300" s="106" t="s">
        <v>40</v>
      </c>
      <c r="R300" s="106" t="s">
        <v>40</v>
      </c>
      <c r="S300" s="316">
        <v>43100</v>
      </c>
    </row>
    <row r="301" spans="1:34" s="42" customFormat="1" ht="16.5" customHeight="1">
      <c r="A301" s="107"/>
      <c r="B301" s="140" t="s">
        <v>407</v>
      </c>
      <c r="C301" s="132">
        <v>1986</v>
      </c>
      <c r="D301" s="132"/>
      <c r="E301" s="109" t="s">
        <v>222</v>
      </c>
      <c r="F301" s="131">
        <v>3</v>
      </c>
      <c r="G301" s="132">
        <v>3</v>
      </c>
      <c r="H301" s="152">
        <v>1529</v>
      </c>
      <c r="I301" s="153">
        <v>1345.2</v>
      </c>
      <c r="J301" s="153">
        <v>1345.2</v>
      </c>
      <c r="K301" s="143">
        <v>60</v>
      </c>
      <c r="L301" s="113">
        <f>O301+N301</f>
        <v>1168079</v>
      </c>
      <c r="M301" s="113">
        <v>0</v>
      </c>
      <c r="N301" s="113">
        <v>700000</v>
      </c>
      <c r="O301" s="113">
        <v>468079</v>
      </c>
      <c r="P301" s="113">
        <v>0</v>
      </c>
      <c r="Q301" s="144">
        <f>L301/I301</f>
        <v>868.33110318168303</v>
      </c>
      <c r="R301" s="114">
        <v>6774</v>
      </c>
      <c r="S301" s="316">
        <v>43100</v>
      </c>
    </row>
    <row r="302" spans="1:34" s="42" customFormat="1" ht="18" customHeight="1">
      <c r="A302" s="107"/>
      <c r="B302" s="140" t="s">
        <v>408</v>
      </c>
      <c r="C302" s="132">
        <v>1986</v>
      </c>
      <c r="D302" s="132"/>
      <c r="E302" s="109" t="s">
        <v>222</v>
      </c>
      <c r="F302" s="131">
        <v>3</v>
      </c>
      <c r="G302" s="132">
        <v>3</v>
      </c>
      <c r="H302" s="152">
        <v>1529</v>
      </c>
      <c r="I302" s="153">
        <v>1363.5</v>
      </c>
      <c r="J302" s="153">
        <v>1240.7</v>
      </c>
      <c r="K302" s="143">
        <v>58</v>
      </c>
      <c r="L302" s="113">
        <f>O302+N302</f>
        <v>1168079</v>
      </c>
      <c r="M302" s="113">
        <v>0</v>
      </c>
      <c r="N302" s="113">
        <v>700000</v>
      </c>
      <c r="O302" s="113">
        <v>468079</v>
      </c>
      <c r="P302" s="113">
        <v>0</v>
      </c>
      <c r="Q302" s="144">
        <f>L302/I302</f>
        <v>856.67693436010268</v>
      </c>
      <c r="R302" s="114">
        <v>6774</v>
      </c>
      <c r="S302" s="316">
        <v>43100</v>
      </c>
    </row>
    <row r="303" spans="1:34" s="1" customFormat="1" ht="15.75">
      <c r="A303" s="107"/>
      <c r="B303" s="1336" t="s">
        <v>44</v>
      </c>
      <c r="C303" s="1336"/>
      <c r="D303" s="1336"/>
      <c r="E303" s="1336"/>
      <c r="F303" s="1336"/>
      <c r="G303" s="1336"/>
      <c r="H303" s="128">
        <f>H304</f>
        <v>1753.9</v>
      </c>
      <c r="I303" s="106">
        <f t="shared" ref="I303:P303" si="58">I304</f>
        <v>1753.9</v>
      </c>
      <c r="J303" s="106">
        <f t="shared" si="58"/>
        <v>1134.4000000000001</v>
      </c>
      <c r="K303" s="119">
        <f t="shared" si="58"/>
        <v>60</v>
      </c>
      <c r="L303" s="113">
        <f>L304</f>
        <v>2561132</v>
      </c>
      <c r="M303" s="113">
        <f t="shared" si="58"/>
        <v>0</v>
      </c>
      <c r="N303" s="113">
        <f t="shared" si="58"/>
        <v>0</v>
      </c>
      <c r="O303" s="113">
        <f t="shared" si="58"/>
        <v>2561132</v>
      </c>
      <c r="P303" s="113">
        <f t="shared" si="58"/>
        <v>0</v>
      </c>
      <c r="Q303" s="106" t="s">
        <v>40</v>
      </c>
      <c r="R303" s="114" t="s">
        <v>40</v>
      </c>
      <c r="S303" s="316">
        <v>43100</v>
      </c>
    </row>
    <row r="304" spans="1:34" s="1" customFormat="1" ht="15.75" customHeight="1">
      <c r="A304" s="107"/>
      <c r="B304" s="1329" t="s">
        <v>435</v>
      </c>
      <c r="C304" s="1329"/>
      <c r="D304" s="1329"/>
      <c r="E304" s="1329"/>
      <c r="F304" s="1329"/>
      <c r="G304" s="1329"/>
      <c r="H304" s="128">
        <f>H305+H306</f>
        <v>1753.9</v>
      </c>
      <c r="I304" s="106">
        <f t="shared" ref="I304:P304" si="59">I305+I306</f>
        <v>1753.9</v>
      </c>
      <c r="J304" s="106">
        <f t="shared" si="59"/>
        <v>1134.4000000000001</v>
      </c>
      <c r="K304" s="119">
        <f t="shared" si="59"/>
        <v>60</v>
      </c>
      <c r="L304" s="113">
        <f t="shared" si="59"/>
        <v>2561132</v>
      </c>
      <c r="M304" s="113">
        <f t="shared" si="59"/>
        <v>0</v>
      </c>
      <c r="N304" s="113">
        <f t="shared" si="59"/>
        <v>0</v>
      </c>
      <c r="O304" s="113">
        <f t="shared" si="59"/>
        <v>2561132</v>
      </c>
      <c r="P304" s="113">
        <f t="shared" si="59"/>
        <v>0</v>
      </c>
      <c r="Q304" s="106" t="s">
        <v>40</v>
      </c>
      <c r="R304" s="106" t="s">
        <v>40</v>
      </c>
      <c r="S304" s="316">
        <v>43100</v>
      </c>
    </row>
    <row r="305" spans="1:19" s="1" customFormat="1" ht="15.75">
      <c r="A305" s="308">
        <v>43</v>
      </c>
      <c r="B305" s="337" t="s">
        <v>503</v>
      </c>
      <c r="C305" s="308">
        <v>1981</v>
      </c>
      <c r="D305" s="310"/>
      <c r="E305" s="311" t="s">
        <v>220</v>
      </c>
      <c r="F305" s="310">
        <v>3</v>
      </c>
      <c r="G305" s="310">
        <v>3</v>
      </c>
      <c r="H305" s="312">
        <v>1293</v>
      </c>
      <c r="I305" s="310">
        <v>1293</v>
      </c>
      <c r="J305" s="310">
        <v>702.3</v>
      </c>
      <c r="K305" s="313">
        <v>49</v>
      </c>
      <c r="L305" s="314">
        <v>1416533</v>
      </c>
      <c r="M305" s="314">
        <v>0</v>
      </c>
      <c r="N305" s="314">
        <v>0</v>
      </c>
      <c r="O305" s="314">
        <v>1416533</v>
      </c>
      <c r="P305" s="314">
        <v>0</v>
      </c>
      <c r="Q305" s="315">
        <f>L305/I305</f>
        <v>1095.5398298530549</v>
      </c>
      <c r="R305" s="315">
        <v>7822</v>
      </c>
      <c r="S305" s="316">
        <v>43100</v>
      </c>
    </row>
    <row r="306" spans="1:19" s="1" customFormat="1" ht="31.5">
      <c r="A306" s="308">
        <f t="shared" ref="A306:A334" si="60">A305+1</f>
        <v>44</v>
      </c>
      <c r="B306" s="337" t="s">
        <v>504</v>
      </c>
      <c r="C306" s="310">
        <v>1966</v>
      </c>
      <c r="D306" s="310"/>
      <c r="E306" s="311" t="s">
        <v>218</v>
      </c>
      <c r="F306" s="310">
        <v>2</v>
      </c>
      <c r="G306" s="310">
        <v>2</v>
      </c>
      <c r="H306" s="312">
        <v>460.9</v>
      </c>
      <c r="I306" s="310">
        <v>460.9</v>
      </c>
      <c r="J306" s="310">
        <v>432.1</v>
      </c>
      <c r="K306" s="313">
        <v>11</v>
      </c>
      <c r="L306" s="314">
        <v>1144599</v>
      </c>
      <c r="M306" s="314">
        <v>0</v>
      </c>
      <c r="N306" s="314">
        <v>0</v>
      </c>
      <c r="O306" s="314">
        <v>1144599</v>
      </c>
      <c r="P306" s="314">
        <v>0</v>
      </c>
      <c r="Q306" s="315">
        <f>L306/I306</f>
        <v>2483.3998698199175</v>
      </c>
      <c r="R306" s="315">
        <v>7822</v>
      </c>
      <c r="S306" s="316">
        <v>43100</v>
      </c>
    </row>
    <row r="307" spans="1:19" s="1" customFormat="1" ht="15.75">
      <c r="A307" s="107"/>
      <c r="B307" s="1336" t="s">
        <v>45</v>
      </c>
      <c r="C307" s="1336"/>
      <c r="D307" s="1336"/>
      <c r="E307" s="1336"/>
      <c r="F307" s="1336"/>
      <c r="G307" s="1336"/>
      <c r="H307" s="128">
        <f>H308+H310+H312+H314+H316+H317+H318</f>
        <v>12862.18</v>
      </c>
      <c r="I307" s="128">
        <f t="shared" ref="I307:P307" si="61">I308+I310+I312+I314+I316+I317+I318</f>
        <v>11237.579999999998</v>
      </c>
      <c r="J307" s="128">
        <f t="shared" si="61"/>
        <v>9407.9000000000015</v>
      </c>
      <c r="K307" s="128">
        <f t="shared" si="61"/>
        <v>459</v>
      </c>
      <c r="L307" s="565">
        <f t="shared" si="61"/>
        <v>9578601</v>
      </c>
      <c r="M307" s="565">
        <f t="shared" si="61"/>
        <v>0</v>
      </c>
      <c r="N307" s="565">
        <f t="shared" si="61"/>
        <v>200000</v>
      </c>
      <c r="O307" s="565">
        <f t="shared" si="61"/>
        <v>9378601</v>
      </c>
      <c r="P307" s="565">
        <f t="shared" si="61"/>
        <v>0</v>
      </c>
      <c r="Q307" s="106" t="s">
        <v>40</v>
      </c>
      <c r="R307" s="114" t="s">
        <v>40</v>
      </c>
      <c r="S307" s="316">
        <v>43100</v>
      </c>
    </row>
    <row r="308" spans="1:19" s="1" customFormat="1" ht="15.75">
      <c r="A308" s="308"/>
      <c r="B308" s="1382" t="s">
        <v>98</v>
      </c>
      <c r="C308" s="1382"/>
      <c r="D308" s="1382"/>
      <c r="E308" s="1382"/>
      <c r="F308" s="1382"/>
      <c r="G308" s="1382"/>
      <c r="H308" s="347">
        <f>H309</f>
        <v>3536</v>
      </c>
      <c r="I308" s="347">
        <f t="shared" ref="I308:P308" si="62">I309</f>
        <v>3173</v>
      </c>
      <c r="J308" s="347">
        <f t="shared" si="62"/>
        <v>3014.3</v>
      </c>
      <c r="K308" s="347">
        <f t="shared" si="62"/>
        <v>153</v>
      </c>
      <c r="L308" s="670">
        <f t="shared" si="62"/>
        <v>2256851</v>
      </c>
      <c r="M308" s="670">
        <f t="shared" si="62"/>
        <v>0</v>
      </c>
      <c r="N308" s="670">
        <f t="shared" si="62"/>
        <v>0</v>
      </c>
      <c r="O308" s="670">
        <f t="shared" si="62"/>
        <v>2256851</v>
      </c>
      <c r="P308" s="670">
        <f t="shared" si="62"/>
        <v>0</v>
      </c>
      <c r="Q308" s="350" t="s">
        <v>40</v>
      </c>
      <c r="R308" s="350" t="s">
        <v>40</v>
      </c>
      <c r="S308" s="316">
        <v>43100</v>
      </c>
    </row>
    <row r="309" spans="1:19" s="1" customFormat="1" ht="31.5">
      <c r="A309" s="308">
        <f>A306+1</f>
        <v>45</v>
      </c>
      <c r="B309" s="582" t="s">
        <v>794</v>
      </c>
      <c r="C309" s="308">
        <v>1978</v>
      </c>
      <c r="D309" s="310"/>
      <c r="E309" s="311" t="s">
        <v>218</v>
      </c>
      <c r="F309" s="583">
        <v>5</v>
      </c>
      <c r="G309" s="583">
        <v>4</v>
      </c>
      <c r="H309" s="550">
        <v>3536</v>
      </c>
      <c r="I309" s="584">
        <v>3173</v>
      </c>
      <c r="J309" s="585">
        <v>3014.3</v>
      </c>
      <c r="K309" s="586">
        <v>153</v>
      </c>
      <c r="L309" s="314">
        <v>2256851</v>
      </c>
      <c r="M309" s="314">
        <v>0</v>
      </c>
      <c r="N309" s="314">
        <v>0</v>
      </c>
      <c r="O309" s="314">
        <v>2256851</v>
      </c>
      <c r="P309" s="314">
        <f>SUM(P314:P314)</f>
        <v>0</v>
      </c>
      <c r="Q309" s="315">
        <f>L309/I309</f>
        <v>711.26725496375673</v>
      </c>
      <c r="R309" s="315">
        <v>7822</v>
      </c>
      <c r="S309" s="316">
        <v>43100</v>
      </c>
    </row>
    <row r="310" spans="1:19" s="1" customFormat="1" ht="15.75">
      <c r="A310" s="308"/>
      <c r="B310" s="1382" t="s">
        <v>688</v>
      </c>
      <c r="C310" s="1382"/>
      <c r="D310" s="1382"/>
      <c r="E310" s="1382"/>
      <c r="F310" s="1382"/>
      <c r="G310" s="1382"/>
      <c r="H310" s="550">
        <f>H311</f>
        <v>1426.08</v>
      </c>
      <c r="I310" s="550">
        <f t="shared" ref="I310:P310" si="63">I311</f>
        <v>1426.08</v>
      </c>
      <c r="J310" s="550">
        <f t="shared" si="63"/>
        <v>821.4</v>
      </c>
      <c r="K310" s="550">
        <f t="shared" si="63"/>
        <v>47</v>
      </c>
      <c r="L310" s="581">
        <f t="shared" si="63"/>
        <v>1826091</v>
      </c>
      <c r="M310" s="581">
        <f t="shared" si="63"/>
        <v>0</v>
      </c>
      <c r="N310" s="581">
        <f t="shared" si="63"/>
        <v>0</v>
      </c>
      <c r="O310" s="581">
        <f t="shared" si="63"/>
        <v>1826091</v>
      </c>
      <c r="P310" s="581">
        <f t="shared" si="63"/>
        <v>0</v>
      </c>
      <c r="Q310" s="350" t="s">
        <v>40</v>
      </c>
      <c r="R310" s="350" t="s">
        <v>40</v>
      </c>
      <c r="S310" s="316">
        <v>43100</v>
      </c>
    </row>
    <row r="311" spans="1:19" s="1" customFormat="1" ht="31.5">
      <c r="A311" s="308">
        <v>46</v>
      </c>
      <c r="B311" s="582" t="s">
        <v>689</v>
      </c>
      <c r="C311" s="308">
        <v>1980</v>
      </c>
      <c r="D311" s="310"/>
      <c r="E311" s="311" t="s">
        <v>219</v>
      </c>
      <c r="F311" s="583">
        <v>3</v>
      </c>
      <c r="G311" s="583">
        <v>3</v>
      </c>
      <c r="H311" s="550">
        <v>1426.08</v>
      </c>
      <c r="I311" s="584">
        <v>1426.08</v>
      </c>
      <c r="J311" s="585">
        <v>821.4</v>
      </c>
      <c r="K311" s="586">
        <v>47</v>
      </c>
      <c r="L311" s="314">
        <v>1826091</v>
      </c>
      <c r="M311" s="314">
        <v>0</v>
      </c>
      <c r="N311" s="314">
        <v>0</v>
      </c>
      <c r="O311" s="314">
        <v>1826091</v>
      </c>
      <c r="P311" s="314">
        <v>0</v>
      </c>
      <c r="Q311" s="315">
        <f t="shared" ref="Q311" si="64">L311/I311</f>
        <v>1280.4968865701785</v>
      </c>
      <c r="R311" s="315">
        <v>7822</v>
      </c>
      <c r="S311" s="316">
        <v>43100</v>
      </c>
    </row>
    <row r="312" spans="1:19" s="1" customFormat="1" ht="15.75">
      <c r="A312" s="308"/>
      <c r="B312" s="1382" t="s">
        <v>99</v>
      </c>
      <c r="C312" s="1382"/>
      <c r="D312" s="1382"/>
      <c r="E312" s="1382"/>
      <c r="F312" s="1382"/>
      <c r="G312" s="1382"/>
      <c r="H312" s="347">
        <f>H313</f>
        <v>961.2</v>
      </c>
      <c r="I312" s="347">
        <f t="shared" ref="I312:P312" si="65">I313</f>
        <v>915.9</v>
      </c>
      <c r="J312" s="347">
        <f t="shared" si="65"/>
        <v>870.4</v>
      </c>
      <c r="K312" s="347">
        <f t="shared" si="65"/>
        <v>37</v>
      </c>
      <c r="L312" s="670">
        <f t="shared" si="65"/>
        <v>1602324</v>
      </c>
      <c r="M312" s="670">
        <f t="shared" si="65"/>
        <v>0</v>
      </c>
      <c r="N312" s="670">
        <f t="shared" si="65"/>
        <v>0</v>
      </c>
      <c r="O312" s="670">
        <f t="shared" si="65"/>
        <v>1602324</v>
      </c>
      <c r="P312" s="670">
        <f t="shared" si="65"/>
        <v>0</v>
      </c>
      <c r="Q312" s="350" t="s">
        <v>40</v>
      </c>
      <c r="R312" s="350" t="s">
        <v>40</v>
      </c>
      <c r="S312" s="316">
        <v>43100</v>
      </c>
    </row>
    <row r="313" spans="1:19" s="20" customFormat="1" ht="31.5">
      <c r="A313" s="308">
        <v>47</v>
      </c>
      <c r="B313" s="707" t="s">
        <v>799</v>
      </c>
      <c r="C313" s="387">
        <v>1972</v>
      </c>
      <c r="D313" s="387"/>
      <c r="E313" s="311" t="s">
        <v>218</v>
      </c>
      <c r="F313" s="387">
        <v>2</v>
      </c>
      <c r="G313" s="387">
        <v>3</v>
      </c>
      <c r="H313" s="388">
        <v>961.2</v>
      </c>
      <c r="I313" s="711">
        <v>915.9</v>
      </c>
      <c r="J313" s="711">
        <v>870.4</v>
      </c>
      <c r="K313" s="390">
        <v>37</v>
      </c>
      <c r="L313" s="314">
        <v>1602324</v>
      </c>
      <c r="M313" s="314">
        <v>0</v>
      </c>
      <c r="N313" s="314">
        <v>0</v>
      </c>
      <c r="O313" s="314">
        <f>L313</f>
        <v>1602324</v>
      </c>
      <c r="P313" s="314">
        <v>0</v>
      </c>
      <c r="Q313" s="391">
        <f>L313/I313</f>
        <v>1749.45299705208</v>
      </c>
      <c r="R313" s="315">
        <v>7822</v>
      </c>
      <c r="S313" s="316">
        <v>43100</v>
      </c>
    </row>
    <row r="314" spans="1:19" s="1" customFormat="1" ht="15.75" customHeight="1">
      <c r="A314" s="308"/>
      <c r="B314" s="1402" t="s">
        <v>100</v>
      </c>
      <c r="C314" s="1402"/>
      <c r="D314" s="1402"/>
      <c r="E314" s="1402"/>
      <c r="F314" s="1402"/>
      <c r="G314" s="1402"/>
      <c r="H314" s="550">
        <f>H315</f>
        <v>3346.3</v>
      </c>
      <c r="I314" s="404">
        <f t="shared" ref="I314:P314" si="66">I315</f>
        <v>2997.3</v>
      </c>
      <c r="J314" s="404">
        <f t="shared" si="66"/>
        <v>2852.1</v>
      </c>
      <c r="K314" s="551">
        <f t="shared" si="66"/>
        <v>128</v>
      </c>
      <c r="L314" s="314">
        <f t="shared" si="66"/>
        <v>1986648</v>
      </c>
      <c r="M314" s="314">
        <f t="shared" si="66"/>
        <v>0</v>
      </c>
      <c r="N314" s="314">
        <f>N315</f>
        <v>200000</v>
      </c>
      <c r="O314" s="314">
        <f t="shared" si="66"/>
        <v>1786648</v>
      </c>
      <c r="P314" s="314">
        <f t="shared" si="66"/>
        <v>0</v>
      </c>
      <c r="Q314" s="315" t="s">
        <v>40</v>
      </c>
      <c r="R314" s="315" t="s">
        <v>40</v>
      </c>
      <c r="S314" s="316">
        <v>43100</v>
      </c>
    </row>
    <row r="315" spans="1:19" s="1" customFormat="1" ht="31.5">
      <c r="A315" s="308">
        <v>48</v>
      </c>
      <c r="B315" s="582" t="s">
        <v>693</v>
      </c>
      <c r="C315" s="308">
        <v>1982</v>
      </c>
      <c r="D315" s="310"/>
      <c r="E315" s="311" t="s">
        <v>220</v>
      </c>
      <c r="F315" s="310">
        <v>5</v>
      </c>
      <c r="G315" s="310">
        <v>4</v>
      </c>
      <c r="H315" s="550">
        <v>3346.3</v>
      </c>
      <c r="I315" s="584">
        <v>2997.3</v>
      </c>
      <c r="J315" s="585">
        <v>2852.1</v>
      </c>
      <c r="K315" s="586">
        <v>128</v>
      </c>
      <c r="L315" s="314">
        <v>1986648</v>
      </c>
      <c r="M315" s="314">
        <v>0</v>
      </c>
      <c r="N315" s="314">
        <v>200000</v>
      </c>
      <c r="O315" s="314">
        <v>1786648</v>
      </c>
      <c r="P315" s="314">
        <v>0</v>
      </c>
      <c r="Q315" s="315">
        <f>L315/I315</f>
        <v>662.81253127815035</v>
      </c>
      <c r="R315" s="315">
        <v>7822</v>
      </c>
      <c r="S315" s="316">
        <v>43100</v>
      </c>
    </row>
    <row r="316" spans="1:19" s="1" customFormat="1" ht="23.45" customHeight="1">
      <c r="A316" s="308"/>
      <c r="B316" s="1403" t="s">
        <v>101</v>
      </c>
      <c r="C316" s="1403"/>
      <c r="D316" s="1403"/>
      <c r="E316" s="1403"/>
      <c r="F316" s="1403"/>
      <c r="G316" s="1403"/>
      <c r="H316" s="347">
        <v>0</v>
      </c>
      <c r="I316" s="350">
        <v>0</v>
      </c>
      <c r="J316" s="350">
        <v>0</v>
      </c>
      <c r="K316" s="349">
        <v>0</v>
      </c>
      <c r="L316" s="314">
        <v>0</v>
      </c>
      <c r="M316" s="314">
        <v>0</v>
      </c>
      <c r="N316" s="314">
        <v>0</v>
      </c>
      <c r="O316" s="314">
        <v>0</v>
      </c>
      <c r="P316" s="314">
        <v>0</v>
      </c>
      <c r="Q316" s="350" t="s">
        <v>40</v>
      </c>
      <c r="R316" s="350" t="s">
        <v>40</v>
      </c>
      <c r="S316" s="316">
        <v>43100</v>
      </c>
    </row>
    <row r="317" spans="1:19" s="20" customFormat="1" ht="23.45" customHeight="1">
      <c r="A317" s="308"/>
      <c r="B317" s="1403" t="s">
        <v>126</v>
      </c>
      <c r="C317" s="1403"/>
      <c r="D317" s="1403"/>
      <c r="E317" s="1403"/>
      <c r="F317" s="1403"/>
      <c r="G317" s="1403"/>
      <c r="H317" s="388">
        <v>0</v>
      </c>
      <c r="I317" s="387">
        <v>0</v>
      </c>
      <c r="J317" s="387">
        <v>0</v>
      </c>
      <c r="K317" s="390">
        <v>0</v>
      </c>
      <c r="L317" s="314">
        <v>0</v>
      </c>
      <c r="M317" s="314">
        <v>0</v>
      </c>
      <c r="N317" s="314">
        <v>0</v>
      </c>
      <c r="O317" s="314">
        <v>0</v>
      </c>
      <c r="P317" s="314">
        <v>0</v>
      </c>
      <c r="Q317" s="391" t="s">
        <v>40</v>
      </c>
      <c r="R317" s="387" t="s">
        <v>40</v>
      </c>
      <c r="S317" s="316">
        <v>43100</v>
      </c>
    </row>
    <row r="318" spans="1:19" s="1" customFormat="1" ht="22.9" customHeight="1">
      <c r="A318" s="308"/>
      <c r="B318" s="1403" t="s">
        <v>861</v>
      </c>
      <c r="C318" s="1403"/>
      <c r="D318" s="1403"/>
      <c r="E318" s="1403"/>
      <c r="F318" s="1403"/>
      <c r="G318" s="1403"/>
      <c r="H318" s="759">
        <f>H319</f>
        <v>3592.6</v>
      </c>
      <c r="I318" s="759">
        <f t="shared" ref="I318:P318" si="67">I319</f>
        <v>2725.3</v>
      </c>
      <c r="J318" s="759">
        <f t="shared" si="67"/>
        <v>1849.7</v>
      </c>
      <c r="K318" s="759">
        <f t="shared" si="67"/>
        <v>94</v>
      </c>
      <c r="L318" s="731">
        <f t="shared" si="67"/>
        <v>1906687</v>
      </c>
      <c r="M318" s="731">
        <f t="shared" si="67"/>
        <v>0</v>
      </c>
      <c r="N318" s="731">
        <f t="shared" si="67"/>
        <v>0</v>
      </c>
      <c r="O318" s="731">
        <f t="shared" si="67"/>
        <v>1906687</v>
      </c>
      <c r="P318" s="731">
        <f t="shared" si="67"/>
        <v>0</v>
      </c>
      <c r="Q318" s="391" t="s">
        <v>40</v>
      </c>
      <c r="R318" s="387" t="s">
        <v>40</v>
      </c>
      <c r="S318" s="316">
        <v>43100</v>
      </c>
    </row>
    <row r="319" spans="1:19" s="1" customFormat="1" ht="31.9" customHeight="1">
      <c r="A319" s="308"/>
      <c r="B319" s="610" t="s">
        <v>859</v>
      </c>
      <c r="C319" s="308">
        <v>1973</v>
      </c>
      <c r="D319" s="308"/>
      <c r="E319" s="311" t="s">
        <v>860</v>
      </c>
      <c r="F319" s="308">
        <v>5</v>
      </c>
      <c r="G319" s="308">
        <v>4</v>
      </c>
      <c r="H319" s="759">
        <v>3592.6</v>
      </c>
      <c r="I319" s="308">
        <v>2725.3</v>
      </c>
      <c r="J319" s="308">
        <v>1849.7</v>
      </c>
      <c r="K319" s="586">
        <v>94</v>
      </c>
      <c r="L319" s="314">
        <v>1906687</v>
      </c>
      <c r="M319" s="314">
        <v>0</v>
      </c>
      <c r="N319" s="314">
        <v>0</v>
      </c>
      <c r="O319" s="314">
        <v>1906687</v>
      </c>
      <c r="P319" s="314">
        <v>0</v>
      </c>
      <c r="Q319" s="391">
        <f>L319/I319</f>
        <v>699.62462848126802</v>
      </c>
      <c r="R319" s="315">
        <v>7822</v>
      </c>
      <c r="S319" s="316">
        <v>43100</v>
      </c>
    </row>
    <row r="320" spans="1:19" s="1" customFormat="1" ht="15.75">
      <c r="A320" s="107"/>
      <c r="B320" s="1336" t="s">
        <v>46</v>
      </c>
      <c r="C320" s="1336"/>
      <c r="D320" s="1336"/>
      <c r="E320" s="1336"/>
      <c r="F320" s="1336"/>
      <c r="G320" s="1336"/>
      <c r="H320" s="128">
        <f>H321</f>
        <v>525.4</v>
      </c>
      <c r="I320" s="106">
        <f t="shared" ref="I320:P320" si="68">I321</f>
        <v>469</v>
      </c>
      <c r="J320" s="106">
        <f t="shared" si="68"/>
        <v>384.8</v>
      </c>
      <c r="K320" s="119">
        <f t="shared" si="68"/>
        <v>21</v>
      </c>
      <c r="L320" s="113">
        <f t="shared" si="68"/>
        <v>1415265</v>
      </c>
      <c r="M320" s="113">
        <f t="shared" si="68"/>
        <v>0</v>
      </c>
      <c r="N320" s="113">
        <f t="shared" si="68"/>
        <v>0</v>
      </c>
      <c r="O320" s="113">
        <f t="shared" si="68"/>
        <v>1415265</v>
      </c>
      <c r="P320" s="113">
        <f t="shared" si="68"/>
        <v>0</v>
      </c>
      <c r="Q320" s="106" t="s">
        <v>40</v>
      </c>
      <c r="R320" s="106" t="s">
        <v>40</v>
      </c>
      <c r="S320" s="316">
        <v>43100</v>
      </c>
    </row>
    <row r="321" spans="1:19" s="1" customFormat="1" ht="15.75">
      <c r="A321" s="107"/>
      <c r="B321" s="1336" t="s">
        <v>102</v>
      </c>
      <c r="C321" s="1336"/>
      <c r="D321" s="1336"/>
      <c r="E321" s="1336"/>
      <c r="F321" s="1336"/>
      <c r="G321" s="1336"/>
      <c r="H321" s="128">
        <f>H322+H323</f>
        <v>525.4</v>
      </c>
      <c r="I321" s="106">
        <f t="shared" ref="I321:P321" si="69">I322+I323</f>
        <v>469</v>
      </c>
      <c r="J321" s="106">
        <f t="shared" si="69"/>
        <v>384.8</v>
      </c>
      <c r="K321" s="119">
        <f t="shared" si="69"/>
        <v>21</v>
      </c>
      <c r="L321" s="113">
        <f t="shared" si="69"/>
        <v>1415265</v>
      </c>
      <c r="M321" s="113">
        <f t="shared" si="69"/>
        <v>0</v>
      </c>
      <c r="N321" s="113">
        <f t="shared" si="69"/>
        <v>0</v>
      </c>
      <c r="O321" s="113">
        <f>O322+O323</f>
        <v>1415265</v>
      </c>
      <c r="P321" s="113">
        <f t="shared" si="69"/>
        <v>0</v>
      </c>
      <c r="Q321" s="106" t="s">
        <v>40</v>
      </c>
      <c r="R321" s="106" t="s">
        <v>40</v>
      </c>
      <c r="S321" s="316">
        <v>43100</v>
      </c>
    </row>
    <row r="322" spans="1:19" s="1" customFormat="1" ht="31.5">
      <c r="A322" s="308">
        <v>51</v>
      </c>
      <c r="B322" s="309" t="s">
        <v>485</v>
      </c>
      <c r="C322" s="310">
        <v>1966</v>
      </c>
      <c r="D322" s="361"/>
      <c r="E322" s="311" t="s">
        <v>218</v>
      </c>
      <c r="F322" s="310">
        <v>2</v>
      </c>
      <c r="G322" s="310">
        <v>2</v>
      </c>
      <c r="H322" s="312">
        <v>525.4</v>
      </c>
      <c r="I322" s="362">
        <v>469</v>
      </c>
      <c r="J322" s="310">
        <v>384.8</v>
      </c>
      <c r="K322" s="313">
        <v>21</v>
      </c>
      <c r="L322" s="314">
        <v>1415265</v>
      </c>
      <c r="M322" s="314">
        <v>0</v>
      </c>
      <c r="N322" s="314">
        <v>0</v>
      </c>
      <c r="O322" s="314">
        <v>1415265</v>
      </c>
      <c r="P322" s="314">
        <v>0</v>
      </c>
      <c r="Q322" s="315">
        <f>L322/I322</f>
        <v>3017.6226012793177</v>
      </c>
      <c r="R322" s="315">
        <v>7822</v>
      </c>
      <c r="S322" s="316">
        <v>43100</v>
      </c>
    </row>
    <row r="323" spans="1:19" s="1" customFormat="1" ht="15.75">
      <c r="A323" s="107"/>
      <c r="B323" s="262"/>
      <c r="C323" s="108"/>
      <c r="D323" s="156"/>
      <c r="E323" s="109"/>
      <c r="F323" s="108"/>
      <c r="G323" s="108"/>
      <c r="H323" s="111"/>
      <c r="I323" s="108"/>
      <c r="J323" s="108"/>
      <c r="K323" s="112"/>
      <c r="L323" s="113"/>
      <c r="M323" s="113"/>
      <c r="N323" s="113"/>
      <c r="O323" s="113"/>
      <c r="P323" s="113"/>
      <c r="Q323" s="114"/>
      <c r="R323" s="114"/>
      <c r="S323" s="316"/>
    </row>
    <row r="324" spans="1:19" s="1" customFormat="1" ht="15.75">
      <c r="A324" s="107"/>
      <c r="B324" s="1336" t="s">
        <v>47</v>
      </c>
      <c r="C324" s="1336"/>
      <c r="D324" s="1336"/>
      <c r="E324" s="1336"/>
      <c r="F324" s="1336"/>
      <c r="G324" s="1336"/>
      <c r="H324" s="128">
        <f>H325</f>
        <v>3715.2</v>
      </c>
      <c r="I324" s="106">
        <f t="shared" ref="I324:P324" si="70">I325</f>
        <v>3256.7999999999997</v>
      </c>
      <c r="J324" s="106">
        <f t="shared" si="70"/>
        <v>3256.7999999999997</v>
      </c>
      <c r="K324" s="119">
        <f t="shared" si="70"/>
        <v>106</v>
      </c>
      <c r="L324" s="113">
        <f t="shared" si="70"/>
        <v>6592116</v>
      </c>
      <c r="M324" s="113">
        <f>M325</f>
        <v>0</v>
      </c>
      <c r="N324" s="113">
        <f t="shared" si="70"/>
        <v>3619172.24</v>
      </c>
      <c r="O324" s="113">
        <f t="shared" si="70"/>
        <v>2972943.76</v>
      </c>
      <c r="P324" s="113">
        <f t="shared" si="70"/>
        <v>0</v>
      </c>
      <c r="Q324" s="106" t="s">
        <v>40</v>
      </c>
      <c r="R324" s="114" t="s">
        <v>40</v>
      </c>
      <c r="S324" s="316">
        <v>43100</v>
      </c>
    </row>
    <row r="325" spans="1:19" s="1" customFormat="1" ht="15.75">
      <c r="A325" s="308"/>
      <c r="B325" s="1382" t="s">
        <v>103</v>
      </c>
      <c r="C325" s="1382"/>
      <c r="D325" s="1382"/>
      <c r="E325" s="1382"/>
      <c r="F325" s="1382"/>
      <c r="G325" s="1382"/>
      <c r="H325" s="347">
        <f>SUM(H326:H330)</f>
        <v>3715.2</v>
      </c>
      <c r="I325" s="350">
        <f t="shared" ref="I325:P325" si="71">SUM(I326:I330)</f>
        <v>3256.7999999999997</v>
      </c>
      <c r="J325" s="350">
        <f t="shared" si="71"/>
        <v>3256.7999999999997</v>
      </c>
      <c r="K325" s="349">
        <f t="shared" si="71"/>
        <v>106</v>
      </c>
      <c r="L325" s="314">
        <f t="shared" si="71"/>
        <v>6592116</v>
      </c>
      <c r="M325" s="314">
        <f>SUM(M326:M330)</f>
        <v>0</v>
      </c>
      <c r="N325" s="314">
        <f t="shared" si="71"/>
        <v>3619172.24</v>
      </c>
      <c r="O325" s="314">
        <f t="shared" si="71"/>
        <v>2972943.76</v>
      </c>
      <c r="P325" s="314">
        <f t="shared" si="71"/>
        <v>0</v>
      </c>
      <c r="Q325" s="350" t="s">
        <v>40</v>
      </c>
      <c r="R325" s="350" t="s">
        <v>40</v>
      </c>
      <c r="S325" s="316">
        <v>43100</v>
      </c>
    </row>
    <row r="326" spans="1:19" s="1" customFormat="1" ht="15.75">
      <c r="A326" s="308">
        <v>52</v>
      </c>
      <c r="B326" s="936" t="s">
        <v>723</v>
      </c>
      <c r="C326" s="553" t="s">
        <v>874</v>
      </c>
      <c r="D326" s="553"/>
      <c r="E326" s="311" t="s">
        <v>219</v>
      </c>
      <c r="F326" s="310">
        <v>4</v>
      </c>
      <c r="G326" s="310">
        <v>2</v>
      </c>
      <c r="H326" s="550">
        <v>1813.9</v>
      </c>
      <c r="I326" s="404">
        <v>1502.8</v>
      </c>
      <c r="J326" s="404">
        <v>1502.8</v>
      </c>
      <c r="K326" s="313">
        <v>44</v>
      </c>
      <c r="L326" s="314">
        <v>1682684</v>
      </c>
      <c r="M326" s="314">
        <v>0</v>
      </c>
      <c r="N326" s="314">
        <v>841342</v>
      </c>
      <c r="O326" s="314">
        <v>841342</v>
      </c>
      <c r="P326" s="314">
        <f>SUM(P327:P330)</f>
        <v>0</v>
      </c>
      <c r="Q326" s="404">
        <f>L326/I326</f>
        <v>1119.6992281075327</v>
      </c>
      <c r="R326" s="315">
        <v>7822</v>
      </c>
      <c r="S326" s="316">
        <v>43100</v>
      </c>
    </row>
    <row r="327" spans="1:19" s="1" customFormat="1" ht="33.6" customHeight="1">
      <c r="A327" s="308">
        <f t="shared" si="60"/>
        <v>53</v>
      </c>
      <c r="B327" s="936" t="s">
        <v>870</v>
      </c>
      <c r="C327" s="553" t="s">
        <v>875</v>
      </c>
      <c r="D327" s="553"/>
      <c r="E327" s="311" t="s">
        <v>218</v>
      </c>
      <c r="F327" s="310">
        <v>2</v>
      </c>
      <c r="G327" s="310">
        <v>2</v>
      </c>
      <c r="H327" s="550">
        <v>503</v>
      </c>
      <c r="I327" s="404">
        <v>444.9</v>
      </c>
      <c r="J327" s="404">
        <v>444.9</v>
      </c>
      <c r="K327" s="313">
        <v>19</v>
      </c>
      <c r="L327" s="314">
        <v>1227835</v>
      </c>
      <c r="M327" s="314">
        <v>0</v>
      </c>
      <c r="N327" s="314">
        <v>716701</v>
      </c>
      <c r="O327" s="314">
        <v>511134</v>
      </c>
      <c r="P327" s="314">
        <f>SUM(P328:P330)</f>
        <v>0</v>
      </c>
      <c r="Q327" s="404">
        <f t="shared" ref="Q327:Q330" si="72">L327/I327</f>
        <v>2759.7999550460777</v>
      </c>
      <c r="R327" s="315">
        <v>7822</v>
      </c>
      <c r="S327" s="316">
        <v>43100</v>
      </c>
    </row>
    <row r="328" spans="1:19" s="1" customFormat="1" ht="15.75">
      <c r="A328" s="308">
        <f t="shared" si="60"/>
        <v>54</v>
      </c>
      <c r="B328" s="936" t="s">
        <v>871</v>
      </c>
      <c r="C328" s="553" t="s">
        <v>876</v>
      </c>
      <c r="D328" s="553"/>
      <c r="E328" s="311" t="s">
        <v>220</v>
      </c>
      <c r="F328" s="310">
        <v>2</v>
      </c>
      <c r="G328" s="310">
        <v>2</v>
      </c>
      <c r="H328" s="550">
        <v>593.5</v>
      </c>
      <c r="I328" s="404">
        <v>543.20000000000005</v>
      </c>
      <c r="J328" s="404">
        <v>543.20000000000005</v>
      </c>
      <c r="K328" s="313">
        <v>18</v>
      </c>
      <c r="L328" s="314">
        <v>1562951</v>
      </c>
      <c r="M328" s="314">
        <v>0</v>
      </c>
      <c r="N328" s="314">
        <v>937770</v>
      </c>
      <c r="O328" s="314">
        <v>625181</v>
      </c>
      <c r="P328" s="314">
        <f>SUM(P330:P330)</f>
        <v>0</v>
      </c>
      <c r="Q328" s="404">
        <f t="shared" si="72"/>
        <v>2877.3030191458024</v>
      </c>
      <c r="R328" s="315">
        <v>7822</v>
      </c>
      <c r="S328" s="316">
        <v>43100</v>
      </c>
    </row>
    <row r="329" spans="1:19" s="1" customFormat="1" ht="31.5">
      <c r="A329" s="308">
        <f>A327+1</f>
        <v>54</v>
      </c>
      <c r="B329" s="936" t="s">
        <v>872</v>
      </c>
      <c r="C329" s="553" t="s">
        <v>877</v>
      </c>
      <c r="D329" s="553"/>
      <c r="E329" s="311" t="s">
        <v>218</v>
      </c>
      <c r="F329" s="310">
        <v>2</v>
      </c>
      <c r="G329" s="310">
        <v>2</v>
      </c>
      <c r="H329" s="550">
        <v>331.7</v>
      </c>
      <c r="I329" s="404">
        <v>298.89999999999998</v>
      </c>
      <c r="J329" s="404">
        <v>298.89999999999998</v>
      </c>
      <c r="K329" s="313">
        <v>13</v>
      </c>
      <c r="L329" s="314">
        <v>974952</v>
      </c>
      <c r="M329" s="314">
        <v>0</v>
      </c>
      <c r="N329" s="314">
        <v>509980</v>
      </c>
      <c r="O329" s="314">
        <v>464972</v>
      </c>
      <c r="P329" s="314">
        <f>SUM(P330:P330)</f>
        <v>0</v>
      </c>
      <c r="Q329" s="404">
        <f t="shared" ref="Q329" si="73">L329/I329</f>
        <v>3261.7999330879898</v>
      </c>
      <c r="R329" s="315">
        <v>7822</v>
      </c>
      <c r="S329" s="316">
        <v>43100</v>
      </c>
    </row>
    <row r="330" spans="1:19" s="1" customFormat="1" ht="31.5">
      <c r="A330" s="308">
        <f>A328+1</f>
        <v>55</v>
      </c>
      <c r="B330" s="936" t="s">
        <v>873</v>
      </c>
      <c r="C330" s="553" t="s">
        <v>877</v>
      </c>
      <c r="D330" s="553"/>
      <c r="E330" s="311" t="s">
        <v>218</v>
      </c>
      <c r="F330" s="310">
        <v>2</v>
      </c>
      <c r="G330" s="310">
        <v>2</v>
      </c>
      <c r="H330" s="550">
        <v>473.1</v>
      </c>
      <c r="I330" s="404">
        <v>467</v>
      </c>
      <c r="J330" s="404">
        <v>467</v>
      </c>
      <c r="K330" s="313">
        <v>12</v>
      </c>
      <c r="L330" s="314">
        <v>1143694</v>
      </c>
      <c r="M330" s="314">
        <v>0</v>
      </c>
      <c r="N330" s="314">
        <v>613379.24</v>
      </c>
      <c r="O330" s="314">
        <v>530314.76</v>
      </c>
      <c r="P330" s="314">
        <f>SUM(P331:P331)</f>
        <v>0</v>
      </c>
      <c r="Q330" s="404">
        <f t="shared" si="72"/>
        <v>2449.0235546038543</v>
      </c>
      <c r="R330" s="315">
        <v>7822</v>
      </c>
      <c r="S330" s="316">
        <v>43100</v>
      </c>
    </row>
    <row r="331" spans="1:19" s="1" customFormat="1" ht="15.75">
      <c r="A331" s="107"/>
      <c r="B331" s="1336" t="s">
        <v>48</v>
      </c>
      <c r="C331" s="1336"/>
      <c r="D331" s="1336"/>
      <c r="E331" s="1336"/>
      <c r="F331" s="1336"/>
      <c r="G331" s="1336"/>
      <c r="H331" s="128">
        <f t="shared" ref="H331:P331" si="74">H332+H336</f>
        <v>1348.8000000000002</v>
      </c>
      <c r="I331" s="106">
        <f t="shared" si="74"/>
        <v>1176.6000000000001</v>
      </c>
      <c r="J331" s="106">
        <f t="shared" si="74"/>
        <v>1100.3000000000002</v>
      </c>
      <c r="K331" s="119">
        <f t="shared" si="74"/>
        <v>52</v>
      </c>
      <c r="L331" s="113">
        <f t="shared" si="74"/>
        <v>3699748</v>
      </c>
      <c r="M331" s="113">
        <f t="shared" si="74"/>
        <v>0</v>
      </c>
      <c r="N331" s="113">
        <f t="shared" si="74"/>
        <v>414501.02</v>
      </c>
      <c r="O331" s="113">
        <f t="shared" si="74"/>
        <v>3285246.98</v>
      </c>
      <c r="P331" s="113">
        <f t="shared" si="74"/>
        <v>0</v>
      </c>
      <c r="Q331" s="106" t="s">
        <v>40</v>
      </c>
      <c r="R331" s="114" t="s">
        <v>40</v>
      </c>
      <c r="S331" s="316">
        <v>43100</v>
      </c>
    </row>
    <row r="332" spans="1:19" s="1" customFormat="1" ht="15.75">
      <c r="A332" s="308"/>
      <c r="B332" s="1382" t="s">
        <v>107</v>
      </c>
      <c r="C332" s="1382"/>
      <c r="D332" s="1382"/>
      <c r="E332" s="1382"/>
      <c r="F332" s="1382"/>
      <c r="G332" s="1382"/>
      <c r="H332" s="347">
        <f>SUM(H333:H334)</f>
        <v>1083.3000000000002</v>
      </c>
      <c r="I332" s="347">
        <f t="shared" ref="I332:P332" si="75">SUM(I333:I334)</f>
        <v>933.7</v>
      </c>
      <c r="J332" s="347">
        <f t="shared" si="75"/>
        <v>857.40000000000009</v>
      </c>
      <c r="K332" s="347">
        <f t="shared" si="75"/>
        <v>50</v>
      </c>
      <c r="L332" s="670">
        <f t="shared" si="75"/>
        <v>3145909</v>
      </c>
      <c r="M332" s="670">
        <f t="shared" si="75"/>
        <v>0</v>
      </c>
      <c r="N332" s="670">
        <f t="shared" si="75"/>
        <v>0</v>
      </c>
      <c r="O332" s="670">
        <f t="shared" si="75"/>
        <v>3145909</v>
      </c>
      <c r="P332" s="670">
        <f t="shared" si="75"/>
        <v>0</v>
      </c>
      <c r="Q332" s="350" t="s">
        <v>40</v>
      </c>
      <c r="R332" s="350" t="s">
        <v>40</v>
      </c>
      <c r="S332" s="316">
        <v>43100</v>
      </c>
    </row>
    <row r="333" spans="1:19" s="1" customFormat="1" ht="31.5">
      <c r="A333" s="308">
        <f>A330+1</f>
        <v>56</v>
      </c>
      <c r="B333" s="582" t="s">
        <v>770</v>
      </c>
      <c r="C333" s="666">
        <v>1963</v>
      </c>
      <c r="D333" s="666"/>
      <c r="E333" s="311" t="s">
        <v>218</v>
      </c>
      <c r="F333" s="666">
        <v>2</v>
      </c>
      <c r="G333" s="666">
        <v>2</v>
      </c>
      <c r="H333" s="667">
        <v>560.6</v>
      </c>
      <c r="I333" s="668">
        <v>474.4</v>
      </c>
      <c r="J333" s="668">
        <v>398.1</v>
      </c>
      <c r="K333" s="669">
        <v>25</v>
      </c>
      <c r="L333" s="314">
        <v>1590271</v>
      </c>
      <c r="M333" s="314">
        <v>0</v>
      </c>
      <c r="N333" s="314">
        <v>0</v>
      </c>
      <c r="O333" s="314">
        <f>L333</f>
        <v>1590271</v>
      </c>
      <c r="P333" s="314">
        <v>0</v>
      </c>
      <c r="Q333" s="350">
        <f>L333/I333</f>
        <v>3352.1732715008434</v>
      </c>
      <c r="R333" s="315">
        <v>7822</v>
      </c>
      <c r="S333" s="316">
        <v>43100</v>
      </c>
    </row>
    <row r="334" spans="1:19" s="28" customFormat="1" ht="31.5">
      <c r="A334" s="308">
        <f t="shared" si="60"/>
        <v>57</v>
      </c>
      <c r="B334" s="582" t="s">
        <v>771</v>
      </c>
      <c r="C334" s="346">
        <v>1966</v>
      </c>
      <c r="D334" s="346"/>
      <c r="E334" s="311" t="s">
        <v>218</v>
      </c>
      <c r="F334" s="346">
        <v>2</v>
      </c>
      <c r="G334" s="346">
        <v>2</v>
      </c>
      <c r="H334" s="347">
        <v>522.70000000000005</v>
      </c>
      <c r="I334" s="350">
        <v>459.3</v>
      </c>
      <c r="J334" s="350">
        <v>459.3</v>
      </c>
      <c r="K334" s="349">
        <v>25</v>
      </c>
      <c r="L334" s="314">
        <v>1555638</v>
      </c>
      <c r="M334" s="314">
        <v>0</v>
      </c>
      <c r="N334" s="314">
        <v>0</v>
      </c>
      <c r="O334" s="314">
        <f>L334</f>
        <v>1555638</v>
      </c>
      <c r="P334" s="314">
        <v>0</v>
      </c>
      <c r="Q334" s="350">
        <f>L334/I334</f>
        <v>3386.9758327890268</v>
      </c>
      <c r="R334" s="315">
        <v>7822</v>
      </c>
      <c r="S334" s="316">
        <v>43100</v>
      </c>
    </row>
    <row r="335" spans="1:19" s="28" customFormat="1" ht="15.75">
      <c r="A335" s="308"/>
      <c r="B335" s="665"/>
      <c r="C335" s="666"/>
      <c r="D335" s="666"/>
      <c r="E335" s="311"/>
      <c r="F335" s="666"/>
      <c r="G335" s="666"/>
      <c r="H335" s="667"/>
      <c r="I335" s="668"/>
      <c r="J335" s="668"/>
      <c r="K335" s="669"/>
      <c r="L335" s="314"/>
      <c r="M335" s="314"/>
      <c r="N335" s="314"/>
      <c r="O335" s="314"/>
      <c r="P335" s="314"/>
      <c r="Q335" s="350"/>
      <c r="R335" s="315"/>
      <c r="S335" s="316"/>
    </row>
    <row r="336" spans="1:19" s="1" customFormat="1" ht="15.75" customHeight="1">
      <c r="A336" s="107"/>
      <c r="B336" s="1329" t="s">
        <v>104</v>
      </c>
      <c r="C336" s="1329"/>
      <c r="D336" s="1329"/>
      <c r="E336" s="1329"/>
      <c r="F336" s="1329"/>
      <c r="G336" s="1329"/>
      <c r="H336" s="128">
        <f>H337</f>
        <v>265.5</v>
      </c>
      <c r="I336" s="106">
        <f t="shared" ref="I336:P336" si="76">I337</f>
        <v>242.9</v>
      </c>
      <c r="J336" s="106">
        <f t="shared" si="76"/>
        <v>242.9</v>
      </c>
      <c r="K336" s="119">
        <f t="shared" si="76"/>
        <v>2</v>
      </c>
      <c r="L336" s="113">
        <f t="shared" si="76"/>
        <v>553839</v>
      </c>
      <c r="M336" s="113">
        <f t="shared" si="76"/>
        <v>0</v>
      </c>
      <c r="N336" s="113">
        <f t="shared" si="76"/>
        <v>414501.02</v>
      </c>
      <c r="O336" s="113">
        <f t="shared" si="76"/>
        <v>139337.98000000001</v>
      </c>
      <c r="P336" s="113">
        <f t="shared" si="76"/>
        <v>0</v>
      </c>
      <c r="Q336" s="106" t="s">
        <v>40</v>
      </c>
      <c r="R336" s="114" t="s">
        <v>40</v>
      </c>
      <c r="S336" s="316">
        <v>43100</v>
      </c>
    </row>
    <row r="337" spans="1:19" s="1" customFormat="1" ht="31.5">
      <c r="A337" s="107"/>
      <c r="B337" s="262" t="s">
        <v>458</v>
      </c>
      <c r="C337" s="110">
        <v>1953</v>
      </c>
      <c r="D337" s="108"/>
      <c r="E337" s="109" t="s">
        <v>218</v>
      </c>
      <c r="F337" s="108">
        <v>2</v>
      </c>
      <c r="G337" s="108">
        <v>1</v>
      </c>
      <c r="H337" s="111">
        <v>265.5</v>
      </c>
      <c r="I337" s="108">
        <v>242.9</v>
      </c>
      <c r="J337" s="108">
        <v>242.9</v>
      </c>
      <c r="K337" s="112">
        <v>2</v>
      </c>
      <c r="L337" s="113">
        <f>N337+O337</f>
        <v>553839</v>
      </c>
      <c r="M337" s="113">
        <v>0</v>
      </c>
      <c r="N337" s="113">
        <v>414501.02</v>
      </c>
      <c r="O337" s="113">
        <v>139337.98000000001</v>
      </c>
      <c r="P337" s="113">
        <v>0</v>
      </c>
      <c r="Q337" s="114">
        <f>L337/I337</f>
        <v>2280.1111568546726</v>
      </c>
      <c r="R337" s="114">
        <v>6774</v>
      </c>
      <c r="S337" s="316">
        <v>43100</v>
      </c>
    </row>
    <row r="338" spans="1:19" s="1" customFormat="1" ht="22.9" customHeight="1">
      <c r="A338" s="107"/>
      <c r="B338" s="1336" t="s">
        <v>49</v>
      </c>
      <c r="C338" s="1336"/>
      <c r="D338" s="1336"/>
      <c r="E338" s="1336"/>
      <c r="F338" s="1336"/>
      <c r="G338" s="1336"/>
      <c r="H338" s="128">
        <f t="shared" ref="H338:P338" si="77">H339+H344+H347+H349</f>
        <v>8221.4</v>
      </c>
      <c r="I338" s="128">
        <f t="shared" si="77"/>
        <v>7282.6</v>
      </c>
      <c r="J338" s="128">
        <f t="shared" si="77"/>
        <v>7138</v>
      </c>
      <c r="K338" s="162">
        <f t="shared" si="77"/>
        <v>388</v>
      </c>
      <c r="L338" s="113">
        <f t="shared" si="77"/>
        <v>10902471</v>
      </c>
      <c r="M338" s="113">
        <f t="shared" si="77"/>
        <v>0</v>
      </c>
      <c r="N338" s="113">
        <f t="shared" si="77"/>
        <v>494612.75</v>
      </c>
      <c r="O338" s="113">
        <f t="shared" si="77"/>
        <v>10407858.25</v>
      </c>
      <c r="P338" s="113">
        <f t="shared" si="77"/>
        <v>0</v>
      </c>
      <c r="Q338" s="106" t="s">
        <v>40</v>
      </c>
      <c r="R338" s="114" t="s">
        <v>40</v>
      </c>
      <c r="S338" s="316">
        <v>43100</v>
      </c>
    </row>
    <row r="339" spans="1:19" s="1" customFormat="1" ht="15.75">
      <c r="A339" s="107"/>
      <c r="B339" s="1336" t="s">
        <v>105</v>
      </c>
      <c r="C339" s="1336"/>
      <c r="D339" s="1336"/>
      <c r="E339" s="1336"/>
      <c r="F339" s="1336"/>
      <c r="G339" s="1336"/>
      <c r="H339" s="128">
        <f t="shared" ref="H339:P339" si="78">H340+H343</f>
        <v>1542.7</v>
      </c>
      <c r="I339" s="162">
        <f t="shared" si="78"/>
        <v>908</v>
      </c>
      <c r="J339" s="162">
        <f t="shared" si="78"/>
        <v>863.40000000000009</v>
      </c>
      <c r="K339" s="119">
        <f t="shared" si="78"/>
        <v>78</v>
      </c>
      <c r="L339" s="113">
        <f t="shared" si="78"/>
        <v>5287622</v>
      </c>
      <c r="M339" s="113">
        <f t="shared" si="78"/>
        <v>0</v>
      </c>
      <c r="N339" s="113">
        <f t="shared" si="78"/>
        <v>434808.75</v>
      </c>
      <c r="O339" s="113">
        <f t="shared" si="78"/>
        <v>4852813.25</v>
      </c>
      <c r="P339" s="113">
        <f t="shared" si="78"/>
        <v>0</v>
      </c>
      <c r="Q339" s="106" t="s">
        <v>40</v>
      </c>
      <c r="R339" s="106" t="s">
        <v>40</v>
      </c>
      <c r="S339" s="316">
        <v>43100</v>
      </c>
    </row>
    <row r="340" spans="1:19" s="1" customFormat="1" ht="31.5">
      <c r="A340" s="308">
        <v>58</v>
      </c>
      <c r="B340" s="345" t="s">
        <v>481</v>
      </c>
      <c r="C340" s="346">
        <v>1958</v>
      </c>
      <c r="D340" s="346"/>
      <c r="E340" s="311" t="s">
        <v>218</v>
      </c>
      <c r="F340" s="346">
        <v>2</v>
      </c>
      <c r="G340" s="346">
        <v>2</v>
      </c>
      <c r="H340" s="347">
        <v>640.1</v>
      </c>
      <c r="I340" s="348">
        <v>392.3</v>
      </c>
      <c r="J340" s="348">
        <v>347.7</v>
      </c>
      <c r="K340" s="349">
        <v>32</v>
      </c>
      <c r="L340" s="314">
        <v>1505603</v>
      </c>
      <c r="M340" s="314">
        <v>0</v>
      </c>
      <c r="N340" s="314">
        <v>0</v>
      </c>
      <c r="O340" s="314">
        <f>L340</f>
        <v>1505603</v>
      </c>
      <c r="P340" s="314">
        <v>0</v>
      </c>
      <c r="Q340" s="350">
        <f>L340/I340</f>
        <v>3837.8868213102219</v>
      </c>
      <c r="R340" s="315">
        <v>7822</v>
      </c>
      <c r="S340" s="316">
        <v>43100</v>
      </c>
    </row>
    <row r="341" spans="1:19" s="1" customFormat="1" ht="21.6" customHeight="1">
      <c r="A341" s="107"/>
      <c r="B341" s="1329" t="s">
        <v>985</v>
      </c>
      <c r="C341" s="1329"/>
      <c r="D341" s="1329"/>
      <c r="E341" s="1329"/>
      <c r="F341" s="1329"/>
      <c r="G341" s="1329"/>
      <c r="H341" s="128">
        <f>H342+H343</f>
        <v>1774</v>
      </c>
      <c r="I341" s="128">
        <f t="shared" ref="I341:P341" si="79">I342+I343</f>
        <v>1017.9000000000001</v>
      </c>
      <c r="J341" s="128">
        <f t="shared" si="79"/>
        <v>1017.9000000000001</v>
      </c>
      <c r="K341" s="128">
        <f t="shared" si="79"/>
        <v>99</v>
      </c>
      <c r="L341" s="565">
        <f t="shared" si="79"/>
        <v>7561422.5999999996</v>
      </c>
      <c r="M341" s="565">
        <f t="shared" si="79"/>
        <v>0</v>
      </c>
      <c r="N341" s="565">
        <f t="shared" si="79"/>
        <v>879004.05</v>
      </c>
      <c r="O341" s="565">
        <f t="shared" si="79"/>
        <v>6682418.5499999998</v>
      </c>
      <c r="P341" s="565">
        <f t="shared" si="79"/>
        <v>0</v>
      </c>
      <c r="Q341" s="106" t="s">
        <v>40</v>
      </c>
      <c r="R341" s="106" t="s">
        <v>40</v>
      </c>
      <c r="S341" s="316">
        <v>43100</v>
      </c>
    </row>
    <row r="342" spans="1:19" s="1" customFormat="1" ht="37.15" customHeight="1">
      <c r="A342" s="107"/>
      <c r="B342" s="567" t="s">
        <v>986</v>
      </c>
      <c r="C342" s="118">
        <v>1981</v>
      </c>
      <c r="D342" s="118"/>
      <c r="E342" s="99" t="s">
        <v>988</v>
      </c>
      <c r="F342" s="118">
        <v>2</v>
      </c>
      <c r="G342" s="118">
        <v>3</v>
      </c>
      <c r="H342" s="128">
        <v>871.4</v>
      </c>
      <c r="I342" s="162">
        <v>502.2</v>
      </c>
      <c r="J342" s="162">
        <v>502.2</v>
      </c>
      <c r="K342" s="119">
        <v>53</v>
      </c>
      <c r="L342" s="113">
        <v>3779403.6</v>
      </c>
      <c r="M342" s="113">
        <v>0</v>
      </c>
      <c r="N342" s="113">
        <v>444195.3</v>
      </c>
      <c r="O342" s="113">
        <v>3335208.3</v>
      </c>
      <c r="P342" s="113">
        <v>0</v>
      </c>
      <c r="Q342" s="106">
        <f>L342/I342</f>
        <v>7525.6941457586627</v>
      </c>
      <c r="R342" s="114">
        <v>7822</v>
      </c>
      <c r="S342" s="316">
        <v>43100</v>
      </c>
    </row>
    <row r="343" spans="1:19" s="1" customFormat="1" ht="37.15" customHeight="1">
      <c r="A343" s="107"/>
      <c r="B343" s="567" t="s">
        <v>987</v>
      </c>
      <c r="C343" s="118">
        <v>1975</v>
      </c>
      <c r="D343" s="118"/>
      <c r="E343" s="99" t="s">
        <v>988</v>
      </c>
      <c r="F343" s="118">
        <v>2</v>
      </c>
      <c r="G343" s="118">
        <v>3</v>
      </c>
      <c r="H343" s="128">
        <v>902.6</v>
      </c>
      <c r="I343" s="106">
        <v>515.70000000000005</v>
      </c>
      <c r="J343" s="118">
        <v>515.70000000000005</v>
      </c>
      <c r="K343" s="119">
        <v>46</v>
      </c>
      <c r="L343" s="113">
        <v>3782019</v>
      </c>
      <c r="M343" s="113">
        <v>0</v>
      </c>
      <c r="N343" s="113">
        <v>434808.75</v>
      </c>
      <c r="O343" s="113">
        <v>3347210.25</v>
      </c>
      <c r="P343" s="113">
        <v>0</v>
      </c>
      <c r="Q343" s="106">
        <f>L343/I343</f>
        <v>7333.7579988365324</v>
      </c>
      <c r="R343" s="114">
        <v>7822</v>
      </c>
      <c r="S343" s="316">
        <v>43100</v>
      </c>
    </row>
    <row r="344" spans="1:19" s="1" customFormat="1" ht="15.75" customHeight="1">
      <c r="A344" s="107"/>
      <c r="B344" s="1329" t="s">
        <v>188</v>
      </c>
      <c r="C344" s="1329"/>
      <c r="D344" s="1329"/>
      <c r="E344" s="1329"/>
      <c r="F344" s="1329"/>
      <c r="G344" s="1329"/>
      <c r="H344" s="128">
        <f>H345+H346</f>
        <v>1595.1</v>
      </c>
      <c r="I344" s="128">
        <f t="shared" ref="I344:P344" si="80">I345+I346</f>
        <v>1431.3</v>
      </c>
      <c r="J344" s="128">
        <f t="shared" si="80"/>
        <v>1431.3</v>
      </c>
      <c r="K344" s="162">
        <f>K345+K346</f>
        <v>87</v>
      </c>
      <c r="L344" s="113">
        <f t="shared" si="80"/>
        <v>1905804</v>
      </c>
      <c r="M344" s="113">
        <f t="shared" si="80"/>
        <v>0</v>
      </c>
      <c r="N344" s="113">
        <f t="shared" si="80"/>
        <v>59804</v>
      </c>
      <c r="O344" s="113">
        <f t="shared" si="80"/>
        <v>1846000</v>
      </c>
      <c r="P344" s="113">
        <f t="shared" si="80"/>
        <v>0</v>
      </c>
      <c r="Q344" s="106" t="s">
        <v>40</v>
      </c>
      <c r="R344" s="114" t="s">
        <v>40</v>
      </c>
      <c r="S344" s="316">
        <v>43100</v>
      </c>
    </row>
    <row r="345" spans="1:19" s="1" customFormat="1" ht="15.75">
      <c r="A345" s="107"/>
      <c r="B345" s="264" t="s">
        <v>410</v>
      </c>
      <c r="C345" s="269">
        <v>1968</v>
      </c>
      <c r="D345" s="118"/>
      <c r="E345" s="109" t="s">
        <v>219</v>
      </c>
      <c r="F345" s="118">
        <v>2</v>
      </c>
      <c r="G345" s="118">
        <v>3</v>
      </c>
      <c r="H345" s="128">
        <v>798.1</v>
      </c>
      <c r="I345" s="106">
        <v>714.4</v>
      </c>
      <c r="J345" s="118">
        <v>714.4</v>
      </c>
      <c r="K345" s="119">
        <v>42</v>
      </c>
      <c r="L345" s="113">
        <v>958459</v>
      </c>
      <c r="M345" s="113">
        <v>0</v>
      </c>
      <c r="N345" s="113">
        <v>35459</v>
      </c>
      <c r="O345" s="113">
        <v>923000</v>
      </c>
      <c r="P345" s="113">
        <v>0</v>
      </c>
      <c r="Q345" s="106">
        <f>L345/I345</f>
        <v>1341.6279395296754</v>
      </c>
      <c r="R345" s="114">
        <v>6774</v>
      </c>
      <c r="S345" s="316">
        <v>43100</v>
      </c>
    </row>
    <row r="346" spans="1:19" s="1" customFormat="1" ht="15.75">
      <c r="A346" s="107"/>
      <c r="B346" s="263" t="s">
        <v>411</v>
      </c>
      <c r="C346" s="118">
        <v>1970</v>
      </c>
      <c r="D346" s="118"/>
      <c r="E346" s="109" t="s">
        <v>219</v>
      </c>
      <c r="F346" s="118">
        <v>2</v>
      </c>
      <c r="G346" s="118">
        <v>3</v>
      </c>
      <c r="H346" s="128">
        <v>797</v>
      </c>
      <c r="I346" s="106">
        <v>716.9</v>
      </c>
      <c r="J346" s="118">
        <v>716.9</v>
      </c>
      <c r="K346" s="119">
        <v>45</v>
      </c>
      <c r="L346" s="113">
        <v>947345</v>
      </c>
      <c r="M346" s="113">
        <v>0</v>
      </c>
      <c r="N346" s="113">
        <v>24345</v>
      </c>
      <c r="O346" s="113">
        <v>923000</v>
      </c>
      <c r="P346" s="113">
        <v>0</v>
      </c>
      <c r="Q346" s="106">
        <f>L346/I346</f>
        <v>1321.4465057888131</v>
      </c>
      <c r="R346" s="114">
        <v>6774</v>
      </c>
      <c r="S346" s="316">
        <v>43100</v>
      </c>
    </row>
    <row r="347" spans="1:19" s="1" customFormat="1" ht="15.75">
      <c r="A347" s="107"/>
      <c r="B347" s="1336" t="s">
        <v>189</v>
      </c>
      <c r="C347" s="1336"/>
      <c r="D347" s="1336"/>
      <c r="E347" s="1336"/>
      <c r="F347" s="1336"/>
      <c r="G347" s="1336"/>
      <c r="H347" s="128">
        <f>H348</f>
        <v>506.9</v>
      </c>
      <c r="I347" s="128">
        <f t="shared" ref="I347:P347" si="81">I348</f>
        <v>402.3</v>
      </c>
      <c r="J347" s="128">
        <f t="shared" si="81"/>
        <v>402.3</v>
      </c>
      <c r="K347" s="162">
        <f t="shared" si="81"/>
        <v>7</v>
      </c>
      <c r="L347" s="113">
        <f t="shared" si="81"/>
        <v>820660</v>
      </c>
      <c r="M347" s="113">
        <f t="shared" si="81"/>
        <v>0</v>
      </c>
      <c r="N347" s="113">
        <f t="shared" si="81"/>
        <v>0</v>
      </c>
      <c r="O347" s="113">
        <f t="shared" si="81"/>
        <v>820660</v>
      </c>
      <c r="P347" s="113">
        <f t="shared" si="81"/>
        <v>0</v>
      </c>
      <c r="Q347" s="106" t="s">
        <v>40</v>
      </c>
      <c r="R347" s="114" t="s">
        <v>40</v>
      </c>
      <c r="S347" s="316">
        <v>43100</v>
      </c>
    </row>
    <row r="348" spans="1:19" s="1" customFormat="1" ht="31.5">
      <c r="A348" s="107"/>
      <c r="B348" s="263" t="s">
        <v>412</v>
      </c>
      <c r="C348" s="118">
        <v>1958</v>
      </c>
      <c r="D348" s="118"/>
      <c r="E348" s="109" t="s">
        <v>218</v>
      </c>
      <c r="F348" s="118">
        <v>2</v>
      </c>
      <c r="G348" s="118">
        <v>1</v>
      </c>
      <c r="H348" s="128">
        <v>506.9</v>
      </c>
      <c r="I348" s="106">
        <v>402.3</v>
      </c>
      <c r="J348" s="118">
        <v>402.3</v>
      </c>
      <c r="K348" s="119">
        <v>7</v>
      </c>
      <c r="L348" s="113">
        <v>820660</v>
      </c>
      <c r="M348" s="113">
        <v>0</v>
      </c>
      <c r="N348" s="113">
        <v>0</v>
      </c>
      <c r="O348" s="113">
        <f>L348</f>
        <v>820660</v>
      </c>
      <c r="P348" s="113">
        <v>0</v>
      </c>
      <c r="Q348" s="106">
        <f>L348/I348</f>
        <v>2039.9204573701218</v>
      </c>
      <c r="R348" s="114">
        <v>6774</v>
      </c>
      <c r="S348" s="316">
        <v>43100</v>
      </c>
    </row>
    <row r="349" spans="1:19" s="1" customFormat="1" ht="15.75">
      <c r="A349" s="107"/>
      <c r="B349" s="1336" t="s">
        <v>131</v>
      </c>
      <c r="C349" s="1336"/>
      <c r="D349" s="1336"/>
      <c r="E349" s="1336"/>
      <c r="F349" s="1336"/>
      <c r="G349" s="1336"/>
      <c r="H349" s="128">
        <f>H350</f>
        <v>4576.7</v>
      </c>
      <c r="I349" s="128">
        <f t="shared" ref="I349:P349" si="82">I350</f>
        <v>4541</v>
      </c>
      <c r="J349" s="128">
        <f t="shared" si="82"/>
        <v>4441</v>
      </c>
      <c r="K349" s="128">
        <f t="shared" si="82"/>
        <v>216</v>
      </c>
      <c r="L349" s="366">
        <f t="shared" si="82"/>
        <v>2888385</v>
      </c>
      <c r="M349" s="366">
        <f t="shared" si="82"/>
        <v>0</v>
      </c>
      <c r="N349" s="366">
        <f t="shared" si="82"/>
        <v>0</v>
      </c>
      <c r="O349" s="366">
        <f t="shared" si="82"/>
        <v>2888385</v>
      </c>
      <c r="P349" s="366">
        <f t="shared" si="82"/>
        <v>0</v>
      </c>
      <c r="Q349" s="106" t="s">
        <v>40</v>
      </c>
      <c r="R349" s="114" t="s">
        <v>40</v>
      </c>
      <c r="S349" s="316">
        <v>43100</v>
      </c>
    </row>
    <row r="350" spans="1:19" s="61" customFormat="1">
      <c r="A350" s="107">
        <v>59</v>
      </c>
      <c r="B350" s="163" t="s">
        <v>659</v>
      </c>
      <c r="C350" s="131">
        <v>1985</v>
      </c>
      <c r="D350" s="131"/>
      <c r="E350" s="109" t="s">
        <v>219</v>
      </c>
      <c r="F350" s="131">
        <v>5</v>
      </c>
      <c r="G350" s="131">
        <v>6</v>
      </c>
      <c r="H350" s="131">
        <v>4576.7</v>
      </c>
      <c r="I350" s="131">
        <v>4541</v>
      </c>
      <c r="J350" s="131">
        <v>4441</v>
      </c>
      <c r="K350" s="131">
        <v>216</v>
      </c>
      <c r="L350" s="113">
        <v>2888385</v>
      </c>
      <c r="M350" s="113">
        <v>0</v>
      </c>
      <c r="N350" s="113">
        <v>0</v>
      </c>
      <c r="O350" s="113">
        <v>2888385</v>
      </c>
      <c r="P350" s="113">
        <v>0</v>
      </c>
      <c r="Q350" s="124">
        <f>O350/I350</f>
        <v>636.06804668575205</v>
      </c>
      <c r="R350" s="114">
        <v>7822</v>
      </c>
      <c r="S350" s="316">
        <v>43100</v>
      </c>
    </row>
    <row r="351" spans="1:19" s="61" customFormat="1">
      <c r="A351" s="107"/>
      <c r="B351" s="145"/>
      <c r="C351" s="164"/>
      <c r="D351" s="131"/>
      <c r="E351" s="109"/>
      <c r="F351" s="131"/>
      <c r="G351" s="131"/>
      <c r="H351" s="131"/>
      <c r="I351" s="131"/>
      <c r="J351" s="131"/>
      <c r="K351" s="131"/>
      <c r="L351" s="113"/>
      <c r="M351" s="113"/>
      <c r="N351" s="113"/>
      <c r="O351" s="113"/>
      <c r="P351" s="113"/>
      <c r="Q351" s="124"/>
      <c r="R351" s="114"/>
      <c r="S351" s="316"/>
    </row>
    <row r="352" spans="1:19" s="1" customFormat="1" ht="15.75">
      <c r="A352" s="107"/>
      <c r="B352" s="1336" t="s">
        <v>50</v>
      </c>
      <c r="C352" s="1336"/>
      <c r="D352" s="1336"/>
      <c r="E352" s="1336"/>
      <c r="F352" s="1336"/>
      <c r="G352" s="1336"/>
      <c r="H352" s="106">
        <f>H353</f>
        <v>6412.52</v>
      </c>
      <c r="I352" s="106">
        <f t="shared" ref="I352:P352" si="83">I353</f>
        <v>5554.8</v>
      </c>
      <c r="J352" s="106">
        <f t="shared" si="83"/>
        <v>4851.7</v>
      </c>
      <c r="K352" s="119">
        <f t="shared" si="83"/>
        <v>202</v>
      </c>
      <c r="L352" s="113">
        <f t="shared" si="83"/>
        <v>14213854</v>
      </c>
      <c r="M352" s="113">
        <f t="shared" si="83"/>
        <v>0</v>
      </c>
      <c r="N352" s="113">
        <f t="shared" si="83"/>
        <v>0</v>
      </c>
      <c r="O352" s="113">
        <f t="shared" si="83"/>
        <v>14213854</v>
      </c>
      <c r="P352" s="113">
        <f t="shared" si="83"/>
        <v>0</v>
      </c>
      <c r="Q352" s="106" t="s">
        <v>40</v>
      </c>
      <c r="R352" s="114" t="s">
        <v>40</v>
      </c>
      <c r="S352" s="316">
        <v>43100</v>
      </c>
    </row>
    <row r="353" spans="1:34" s="18" customFormat="1" ht="15.75">
      <c r="A353" s="107"/>
      <c r="B353" s="1336" t="s">
        <v>106</v>
      </c>
      <c r="C353" s="1336"/>
      <c r="D353" s="1336"/>
      <c r="E353" s="1336"/>
      <c r="F353" s="1336"/>
      <c r="G353" s="1336"/>
      <c r="H353" s="409">
        <f t="shared" ref="H353:P353" si="84">SUM(H354:H362)</f>
        <v>6412.52</v>
      </c>
      <c r="I353" s="409">
        <f t="shared" si="84"/>
        <v>5554.8</v>
      </c>
      <c r="J353" s="409">
        <f t="shared" si="84"/>
        <v>4851.7</v>
      </c>
      <c r="K353" s="657">
        <f t="shared" si="84"/>
        <v>202</v>
      </c>
      <c r="L353" s="113">
        <f t="shared" si="84"/>
        <v>14213854</v>
      </c>
      <c r="M353" s="113">
        <f t="shared" si="84"/>
        <v>0</v>
      </c>
      <c r="N353" s="113">
        <f t="shared" si="84"/>
        <v>0</v>
      </c>
      <c r="O353" s="113">
        <f t="shared" si="84"/>
        <v>14213854</v>
      </c>
      <c r="P353" s="113">
        <f t="shared" si="84"/>
        <v>0</v>
      </c>
      <c r="Q353" s="106" t="s">
        <v>40</v>
      </c>
      <c r="R353" s="114" t="s">
        <v>40</v>
      </c>
      <c r="S353" s="316">
        <v>43100</v>
      </c>
    </row>
    <row r="354" spans="1:34" s="66" customFormat="1" ht="31.5">
      <c r="A354" s="107"/>
      <c r="B354" s="165" t="s">
        <v>836</v>
      </c>
      <c r="C354" s="166">
        <v>1972</v>
      </c>
      <c r="D354" s="167"/>
      <c r="E354" s="109" t="s">
        <v>218</v>
      </c>
      <c r="F354" s="169">
        <v>2</v>
      </c>
      <c r="G354" s="790">
        <v>2</v>
      </c>
      <c r="H354" s="769">
        <v>577.79999999999995</v>
      </c>
      <c r="I354" s="769">
        <v>530.4</v>
      </c>
      <c r="J354" s="769">
        <v>344.7</v>
      </c>
      <c r="K354" s="769">
        <v>23</v>
      </c>
      <c r="L354" s="655">
        <v>1666855</v>
      </c>
      <c r="M354" s="113">
        <f>SUM(M355:M362)</f>
        <v>0</v>
      </c>
      <c r="N354" s="113">
        <f>SUM(N355:N362)</f>
        <v>0</v>
      </c>
      <c r="O354" s="113">
        <f t="shared" ref="O354:O362" si="85">L354</f>
        <v>1666855</v>
      </c>
      <c r="P354" s="113">
        <f>SUM(P355:P362)</f>
        <v>0</v>
      </c>
      <c r="Q354" s="168">
        <f t="shared" ref="Q354:Q362" si="86">L354/I354</f>
        <v>3142.6376319758674</v>
      </c>
      <c r="R354" s="114">
        <v>7822</v>
      </c>
      <c r="S354" s="316">
        <v>43100</v>
      </c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</row>
    <row r="355" spans="1:34" s="50" customFormat="1" ht="31.5">
      <c r="A355" s="107"/>
      <c r="B355" s="165" t="s">
        <v>837</v>
      </c>
      <c r="C355" s="166">
        <v>1973</v>
      </c>
      <c r="D355" s="167"/>
      <c r="E355" s="109" t="s">
        <v>218</v>
      </c>
      <c r="F355" s="169">
        <v>2</v>
      </c>
      <c r="G355" s="790">
        <v>3</v>
      </c>
      <c r="H355" s="769">
        <v>1040.7</v>
      </c>
      <c r="I355" s="769">
        <v>953.1</v>
      </c>
      <c r="J355" s="769">
        <v>953.1</v>
      </c>
      <c r="K355" s="769">
        <v>18</v>
      </c>
      <c r="L355" s="655">
        <v>2505131</v>
      </c>
      <c r="M355" s="113">
        <f>SUM(M356:M364)</f>
        <v>0</v>
      </c>
      <c r="N355" s="113">
        <f>SUM(N356:N364)</f>
        <v>0</v>
      </c>
      <c r="O355" s="113">
        <f t="shared" si="85"/>
        <v>2505131</v>
      </c>
      <c r="P355" s="113">
        <f>SUM(P356:P364)</f>
        <v>0</v>
      </c>
      <c r="Q355" s="168">
        <f t="shared" si="86"/>
        <v>2628.4031056552303</v>
      </c>
      <c r="R355" s="114">
        <v>7822</v>
      </c>
      <c r="S355" s="316">
        <v>43100</v>
      </c>
    </row>
    <row r="356" spans="1:34" s="50" customFormat="1" ht="31.5">
      <c r="A356" s="107"/>
      <c r="B356" s="165" t="s">
        <v>838</v>
      </c>
      <c r="C356" s="166">
        <v>1940</v>
      </c>
      <c r="D356" s="167"/>
      <c r="E356" s="109" t="s">
        <v>218</v>
      </c>
      <c r="F356" s="169">
        <v>2</v>
      </c>
      <c r="G356" s="790">
        <v>2</v>
      </c>
      <c r="H356" s="769">
        <v>773.9</v>
      </c>
      <c r="I356" s="769">
        <v>715.9</v>
      </c>
      <c r="J356" s="769">
        <v>642.1</v>
      </c>
      <c r="K356" s="769">
        <v>30</v>
      </c>
      <c r="L356" s="655">
        <v>2532008</v>
      </c>
      <c r="M356" s="113">
        <f>SUM(M357:M363)</f>
        <v>0</v>
      </c>
      <c r="N356" s="113">
        <f>SUM(N357:N363)</f>
        <v>0</v>
      </c>
      <c r="O356" s="113">
        <f t="shared" si="85"/>
        <v>2532008</v>
      </c>
      <c r="P356" s="113">
        <f>SUM(P357:P363)</f>
        <v>0</v>
      </c>
      <c r="Q356" s="168">
        <f t="shared" si="86"/>
        <v>3536.8179913395725</v>
      </c>
      <c r="R356" s="114">
        <v>7822</v>
      </c>
      <c r="S356" s="316">
        <v>43100</v>
      </c>
    </row>
    <row r="357" spans="1:34" s="50" customFormat="1" ht="31.5">
      <c r="A357" s="107"/>
      <c r="B357" s="165" t="s">
        <v>839</v>
      </c>
      <c r="C357" s="166">
        <v>1971</v>
      </c>
      <c r="D357" s="167"/>
      <c r="E357" s="109" t="s">
        <v>218</v>
      </c>
      <c r="F357" s="169">
        <v>2</v>
      </c>
      <c r="G357" s="790">
        <v>2</v>
      </c>
      <c r="H357" s="769">
        <v>574</v>
      </c>
      <c r="I357" s="769">
        <v>524.1</v>
      </c>
      <c r="J357" s="769">
        <v>369.7</v>
      </c>
      <c r="K357" s="769">
        <v>22</v>
      </c>
      <c r="L357" s="655">
        <v>1684781</v>
      </c>
      <c r="M357" s="113">
        <f>SUM(M358:M362)</f>
        <v>0</v>
      </c>
      <c r="N357" s="113">
        <f>SUM(N358:N362)</f>
        <v>0</v>
      </c>
      <c r="O357" s="113">
        <f t="shared" si="85"/>
        <v>1684781</v>
      </c>
      <c r="P357" s="113">
        <f>SUM(P358:P362)</f>
        <v>0</v>
      </c>
      <c r="Q357" s="168">
        <f t="shared" si="86"/>
        <v>3214.6174394199579</v>
      </c>
      <c r="R357" s="114">
        <v>7822</v>
      </c>
      <c r="S357" s="316">
        <v>43100</v>
      </c>
    </row>
    <row r="358" spans="1:34" s="50" customFormat="1" ht="31.5">
      <c r="A358" s="107"/>
      <c r="B358" s="165" t="s">
        <v>840</v>
      </c>
      <c r="C358" s="166">
        <v>1965</v>
      </c>
      <c r="D358" s="167"/>
      <c r="E358" s="109" t="s">
        <v>218</v>
      </c>
      <c r="F358" s="169">
        <v>2</v>
      </c>
      <c r="G358" s="790">
        <v>2</v>
      </c>
      <c r="H358" s="769">
        <v>398.92</v>
      </c>
      <c r="I358" s="769">
        <v>365.3</v>
      </c>
      <c r="J358" s="769">
        <v>244.4</v>
      </c>
      <c r="K358" s="769">
        <v>15</v>
      </c>
      <c r="L358" s="655">
        <v>1111881</v>
      </c>
      <c r="M358" s="113">
        <f>SUM(M360:M365)</f>
        <v>0</v>
      </c>
      <c r="N358" s="113">
        <f>SUM(N360:N365)</f>
        <v>0</v>
      </c>
      <c r="O358" s="113">
        <f t="shared" si="85"/>
        <v>1111881</v>
      </c>
      <c r="P358" s="113">
        <f>SUM(P360:P365)</f>
        <v>0</v>
      </c>
      <c r="Q358" s="168">
        <f t="shared" si="86"/>
        <v>3043.7476047084588</v>
      </c>
      <c r="R358" s="114">
        <v>7822</v>
      </c>
      <c r="S358" s="316">
        <v>43100</v>
      </c>
    </row>
    <row r="359" spans="1:34" s="50" customFormat="1" ht="31.5">
      <c r="A359" s="107"/>
      <c r="B359" s="165" t="s">
        <v>841</v>
      </c>
      <c r="C359" s="166">
        <v>1980</v>
      </c>
      <c r="D359" s="167"/>
      <c r="E359" s="109" t="s">
        <v>218</v>
      </c>
      <c r="F359" s="169">
        <v>2</v>
      </c>
      <c r="G359" s="790">
        <v>2</v>
      </c>
      <c r="H359" s="769">
        <v>560.5</v>
      </c>
      <c r="I359" s="769">
        <v>515.1</v>
      </c>
      <c r="J359" s="769">
        <v>434.6</v>
      </c>
      <c r="K359" s="769">
        <v>20</v>
      </c>
      <c r="L359" s="655">
        <v>1500589</v>
      </c>
      <c r="M359" s="113">
        <f>SUM(M360:M366)</f>
        <v>0</v>
      </c>
      <c r="N359" s="113">
        <f>SUM(N360:N366)</f>
        <v>0</v>
      </c>
      <c r="O359" s="113">
        <f t="shared" si="85"/>
        <v>1500589</v>
      </c>
      <c r="P359" s="113">
        <f>SUM(P360:P366)</f>
        <v>0</v>
      </c>
      <c r="Q359" s="168">
        <f t="shared" si="86"/>
        <v>2913.1993787614056</v>
      </c>
      <c r="R359" s="114">
        <v>7822</v>
      </c>
      <c r="S359" s="316">
        <v>43100</v>
      </c>
    </row>
    <row r="360" spans="1:34" s="50" customFormat="1" ht="30.6" customHeight="1">
      <c r="A360" s="107"/>
      <c r="B360" s="165" t="s">
        <v>842</v>
      </c>
      <c r="C360" s="166">
        <v>1974</v>
      </c>
      <c r="D360" s="167"/>
      <c r="E360" s="109" t="s">
        <v>220</v>
      </c>
      <c r="F360" s="169">
        <v>5</v>
      </c>
      <c r="G360" s="790">
        <v>1</v>
      </c>
      <c r="H360" s="792">
        <v>1861.5</v>
      </c>
      <c r="I360" s="769">
        <v>1532.1</v>
      </c>
      <c r="J360" s="769">
        <v>1444.3</v>
      </c>
      <c r="K360" s="769">
        <v>51</v>
      </c>
      <c r="L360" s="655">
        <v>1161775</v>
      </c>
      <c r="M360" s="113">
        <v>0</v>
      </c>
      <c r="N360" s="113">
        <v>0</v>
      </c>
      <c r="O360" s="113">
        <f t="shared" si="85"/>
        <v>1161775</v>
      </c>
      <c r="P360" s="113">
        <v>0</v>
      </c>
      <c r="Q360" s="168">
        <f t="shared" si="86"/>
        <v>758.28927615690884</v>
      </c>
      <c r="R360" s="114">
        <v>7822</v>
      </c>
      <c r="S360" s="316">
        <v>43100</v>
      </c>
    </row>
    <row r="361" spans="1:34" s="50" customFormat="1" ht="31.5">
      <c r="A361" s="107"/>
      <c r="B361" s="165" t="s">
        <v>846</v>
      </c>
      <c r="C361" s="166">
        <v>1917</v>
      </c>
      <c r="D361" s="167"/>
      <c r="E361" s="109" t="s">
        <v>218</v>
      </c>
      <c r="F361" s="169">
        <v>2</v>
      </c>
      <c r="G361" s="790">
        <v>1</v>
      </c>
      <c r="H361" s="769">
        <v>219.6</v>
      </c>
      <c r="I361" s="769">
        <v>184.6</v>
      </c>
      <c r="J361" s="769">
        <v>184.6</v>
      </c>
      <c r="K361" s="769">
        <v>17</v>
      </c>
      <c r="L361" s="655">
        <v>537007</v>
      </c>
      <c r="M361" s="113">
        <f>SUM(M362:M367)</f>
        <v>0</v>
      </c>
      <c r="N361" s="113">
        <f>SUM(N362:N367)</f>
        <v>0</v>
      </c>
      <c r="O361" s="113">
        <f t="shared" si="85"/>
        <v>537007</v>
      </c>
      <c r="P361" s="113">
        <f>SUM(P362:P367)</f>
        <v>0</v>
      </c>
      <c r="Q361" s="168">
        <f t="shared" si="86"/>
        <v>2909.0303358613219</v>
      </c>
      <c r="R361" s="114">
        <v>7822</v>
      </c>
      <c r="S361" s="316">
        <v>43100</v>
      </c>
    </row>
    <row r="362" spans="1:34" s="50" customFormat="1" ht="31.5">
      <c r="A362" s="107"/>
      <c r="B362" s="165" t="s">
        <v>845</v>
      </c>
      <c r="C362" s="166">
        <v>1967</v>
      </c>
      <c r="D362" s="167"/>
      <c r="E362" s="109" t="s">
        <v>218</v>
      </c>
      <c r="F362" s="169">
        <v>2</v>
      </c>
      <c r="G362" s="790">
        <v>1</v>
      </c>
      <c r="H362" s="131">
        <v>405.6</v>
      </c>
      <c r="I362" s="131">
        <v>234.2</v>
      </c>
      <c r="J362" s="131">
        <v>234.2</v>
      </c>
      <c r="K362" s="131">
        <v>6</v>
      </c>
      <c r="L362" s="655">
        <v>1513827</v>
      </c>
      <c r="M362" s="113">
        <f>SUM(M363:M367)</f>
        <v>0</v>
      </c>
      <c r="N362" s="113">
        <f>SUM(N363:N367)</f>
        <v>0</v>
      </c>
      <c r="O362" s="113">
        <f t="shared" si="85"/>
        <v>1513827</v>
      </c>
      <c r="P362" s="113">
        <f>SUM(P363:P367)</f>
        <v>0</v>
      </c>
      <c r="Q362" s="168">
        <f t="shared" si="86"/>
        <v>6463.821520068318</v>
      </c>
      <c r="R362" s="114">
        <v>7822</v>
      </c>
      <c r="S362" s="316">
        <v>43100</v>
      </c>
    </row>
    <row r="363" spans="1:34" s="1" customFormat="1" ht="15.75">
      <c r="A363" s="107"/>
      <c r="B363" s="1336" t="s">
        <v>51</v>
      </c>
      <c r="C363" s="1336"/>
      <c r="D363" s="1336"/>
      <c r="E363" s="1336"/>
      <c r="F363" s="1336"/>
      <c r="G363" s="1336"/>
      <c r="H363" s="765">
        <f>H364</f>
        <v>7394.6</v>
      </c>
      <c r="I363" s="791">
        <f t="shared" ref="I363:P363" si="87">I364</f>
        <v>7394.6</v>
      </c>
      <c r="J363" s="791">
        <f t="shared" si="87"/>
        <v>4847.7</v>
      </c>
      <c r="K363" s="777">
        <f t="shared" si="87"/>
        <v>302</v>
      </c>
      <c r="L363" s="113">
        <f t="shared" si="87"/>
        <v>11379869</v>
      </c>
      <c r="M363" s="113">
        <f t="shared" si="87"/>
        <v>0</v>
      </c>
      <c r="N363" s="113">
        <f t="shared" si="87"/>
        <v>0</v>
      </c>
      <c r="O363" s="113">
        <f t="shared" si="87"/>
        <v>11379869</v>
      </c>
      <c r="P363" s="113">
        <f t="shared" si="87"/>
        <v>0</v>
      </c>
      <c r="Q363" s="106" t="s">
        <v>40</v>
      </c>
      <c r="R363" s="106" t="s">
        <v>40</v>
      </c>
      <c r="S363" s="316">
        <v>43100</v>
      </c>
    </row>
    <row r="364" spans="1:34" s="1" customFormat="1" ht="22.9" customHeight="1">
      <c r="A364" s="107"/>
      <c r="B364" s="1336" t="s">
        <v>108</v>
      </c>
      <c r="C364" s="1336"/>
      <c r="D364" s="1336"/>
      <c r="E364" s="1336"/>
      <c r="F364" s="1343"/>
      <c r="G364" s="1343"/>
      <c r="H364" s="613">
        <f t="shared" ref="H364:P364" si="88">SUM(H365:H372)</f>
        <v>7394.6</v>
      </c>
      <c r="I364" s="952">
        <f t="shared" si="88"/>
        <v>7394.6</v>
      </c>
      <c r="J364" s="952">
        <f t="shared" si="88"/>
        <v>4847.7</v>
      </c>
      <c r="K364" s="657">
        <f t="shared" si="88"/>
        <v>302</v>
      </c>
      <c r="L364" s="113">
        <f t="shared" si="88"/>
        <v>11379869</v>
      </c>
      <c r="M364" s="113">
        <f t="shared" si="88"/>
        <v>0</v>
      </c>
      <c r="N364" s="113">
        <f t="shared" si="88"/>
        <v>0</v>
      </c>
      <c r="O364" s="113">
        <f t="shared" si="88"/>
        <v>11379869</v>
      </c>
      <c r="P364" s="113">
        <f t="shared" si="88"/>
        <v>0</v>
      </c>
      <c r="Q364" s="106" t="s">
        <v>40</v>
      </c>
      <c r="R364" s="106" t="s">
        <v>40</v>
      </c>
      <c r="S364" s="316">
        <v>43100</v>
      </c>
    </row>
    <row r="365" spans="1:34" s="51" customFormat="1" ht="31.5">
      <c r="A365" s="107"/>
      <c r="B365" s="945" t="s">
        <v>998</v>
      </c>
      <c r="C365" s="118" t="s">
        <v>190</v>
      </c>
      <c r="D365" s="118"/>
      <c r="E365" s="611" t="s">
        <v>218</v>
      </c>
      <c r="F365" s="953">
        <v>1</v>
      </c>
      <c r="G365" s="953">
        <v>2</v>
      </c>
      <c r="H365" s="955">
        <v>333.1</v>
      </c>
      <c r="I365" s="956">
        <v>333.1</v>
      </c>
      <c r="J365" s="955">
        <v>231.8</v>
      </c>
      <c r="K365" s="953">
        <v>11</v>
      </c>
      <c r="L365" s="655">
        <f>O365</f>
        <v>957124</v>
      </c>
      <c r="M365" s="113">
        <v>0</v>
      </c>
      <c r="N365" s="113">
        <v>0</v>
      </c>
      <c r="O365" s="113">
        <v>957124</v>
      </c>
      <c r="P365" s="113">
        <v>0</v>
      </c>
      <c r="Q365" s="170">
        <f t="shared" ref="Q365:Q375" si="89">L365/I365</f>
        <v>2873.3833683578505</v>
      </c>
      <c r="R365" s="114">
        <v>7822</v>
      </c>
      <c r="S365" s="316">
        <v>43100</v>
      </c>
    </row>
    <row r="366" spans="1:34" s="51" customFormat="1" ht="31.5">
      <c r="A366" s="107"/>
      <c r="B366" s="945" t="s">
        <v>999</v>
      </c>
      <c r="C366" s="118">
        <v>1965</v>
      </c>
      <c r="D366" s="118"/>
      <c r="E366" s="611" t="s">
        <v>218</v>
      </c>
      <c r="F366" s="953">
        <v>2</v>
      </c>
      <c r="G366" s="953">
        <v>2</v>
      </c>
      <c r="H366" s="955">
        <v>456</v>
      </c>
      <c r="I366" s="956">
        <v>456</v>
      </c>
      <c r="J366" s="955">
        <v>294.7</v>
      </c>
      <c r="K366" s="953">
        <v>23</v>
      </c>
      <c r="L366" s="655">
        <f t="shared" ref="L366:L372" si="90">O366</f>
        <v>1382612</v>
      </c>
      <c r="M366" s="113">
        <v>0</v>
      </c>
      <c r="N366" s="113">
        <v>0</v>
      </c>
      <c r="O366" s="113">
        <v>1382612</v>
      </c>
      <c r="P366" s="113">
        <v>0</v>
      </c>
      <c r="Q366" s="170">
        <f t="shared" si="89"/>
        <v>3032.0438596491226</v>
      </c>
      <c r="R366" s="114">
        <v>7822</v>
      </c>
      <c r="S366" s="316">
        <v>43100</v>
      </c>
    </row>
    <row r="367" spans="1:34" s="51" customFormat="1" ht="31.5">
      <c r="A367" s="107"/>
      <c r="B367" s="945" t="s">
        <v>1000</v>
      </c>
      <c r="C367" s="118">
        <v>1988</v>
      </c>
      <c r="D367" s="118"/>
      <c r="E367" s="611" t="s">
        <v>218</v>
      </c>
      <c r="F367" s="953">
        <v>4</v>
      </c>
      <c r="G367" s="953">
        <v>1</v>
      </c>
      <c r="H367" s="955">
        <v>1590</v>
      </c>
      <c r="I367" s="956">
        <v>1590</v>
      </c>
      <c r="J367" s="955">
        <v>988.8</v>
      </c>
      <c r="K367" s="953">
        <v>99</v>
      </c>
      <c r="L367" s="655">
        <f t="shared" si="90"/>
        <v>2008170</v>
      </c>
      <c r="M367" s="113">
        <v>0</v>
      </c>
      <c r="N367" s="113">
        <v>0</v>
      </c>
      <c r="O367" s="113">
        <v>2008170</v>
      </c>
      <c r="P367" s="113">
        <v>0</v>
      </c>
      <c r="Q367" s="170">
        <f t="shared" si="89"/>
        <v>1263</v>
      </c>
      <c r="R367" s="114">
        <v>7822</v>
      </c>
      <c r="S367" s="316">
        <v>43100</v>
      </c>
    </row>
    <row r="368" spans="1:34" s="1" customFormat="1" ht="31.5">
      <c r="A368" s="107"/>
      <c r="B368" s="171" t="s">
        <v>1001</v>
      </c>
      <c r="C368" s="172">
        <v>1900</v>
      </c>
      <c r="D368" s="171"/>
      <c r="E368" s="611" t="s">
        <v>218</v>
      </c>
      <c r="F368" s="953">
        <v>2</v>
      </c>
      <c r="G368" s="953">
        <v>2</v>
      </c>
      <c r="H368" s="955">
        <v>762.2</v>
      </c>
      <c r="I368" s="956">
        <v>762.2</v>
      </c>
      <c r="J368" s="955">
        <v>511.6</v>
      </c>
      <c r="K368" s="953">
        <v>22</v>
      </c>
      <c r="L368" s="655">
        <f t="shared" si="90"/>
        <v>1551693</v>
      </c>
      <c r="M368" s="113">
        <v>0</v>
      </c>
      <c r="N368" s="113">
        <v>0</v>
      </c>
      <c r="O368" s="113">
        <v>1551693</v>
      </c>
      <c r="P368" s="113">
        <v>0</v>
      </c>
      <c r="Q368" s="170">
        <f t="shared" si="89"/>
        <v>2035.8081868276042</v>
      </c>
      <c r="R368" s="114">
        <v>7822</v>
      </c>
      <c r="S368" s="316">
        <v>43100</v>
      </c>
    </row>
    <row r="369" spans="1:19" s="1" customFormat="1" ht="31.5">
      <c r="A369" s="107"/>
      <c r="B369" s="945" t="s">
        <v>1002</v>
      </c>
      <c r="C369" s="118">
        <v>1975</v>
      </c>
      <c r="D369" s="118"/>
      <c r="E369" s="611" t="s">
        <v>218</v>
      </c>
      <c r="F369" s="953">
        <v>2</v>
      </c>
      <c r="G369" s="953">
        <v>2</v>
      </c>
      <c r="H369" s="955">
        <v>458.7</v>
      </c>
      <c r="I369" s="956">
        <v>458.7</v>
      </c>
      <c r="J369" s="955">
        <v>288.60000000000002</v>
      </c>
      <c r="K369" s="953">
        <v>15</v>
      </c>
      <c r="L369" s="655">
        <f t="shared" si="90"/>
        <v>1404334</v>
      </c>
      <c r="M369" s="113">
        <v>0</v>
      </c>
      <c r="N369" s="113">
        <v>0</v>
      </c>
      <c r="O369" s="113">
        <v>1404334</v>
      </c>
      <c r="P369" s="113">
        <v>0</v>
      </c>
      <c r="Q369" s="170">
        <f t="shared" si="89"/>
        <v>3061.5522127752342</v>
      </c>
      <c r="R369" s="114">
        <v>7822</v>
      </c>
      <c r="S369" s="316">
        <v>43100</v>
      </c>
    </row>
    <row r="370" spans="1:19" s="23" customFormat="1" ht="31.5">
      <c r="A370" s="107"/>
      <c r="B370" s="567" t="s">
        <v>1003</v>
      </c>
      <c r="C370" s="118" t="s">
        <v>190</v>
      </c>
      <c r="D370" s="118"/>
      <c r="E370" s="611" t="s">
        <v>218</v>
      </c>
      <c r="F370" s="954">
        <v>2</v>
      </c>
      <c r="G370" s="954">
        <v>6</v>
      </c>
      <c r="H370" s="957">
        <v>389</v>
      </c>
      <c r="I370" s="957">
        <v>389</v>
      </c>
      <c r="J370" s="957">
        <v>269.39999999999998</v>
      </c>
      <c r="K370" s="954">
        <v>12</v>
      </c>
      <c r="L370" s="655">
        <f t="shared" si="90"/>
        <v>1321007</v>
      </c>
      <c r="M370" s="113">
        <v>0</v>
      </c>
      <c r="N370" s="113">
        <v>0</v>
      </c>
      <c r="O370" s="113">
        <v>1321007</v>
      </c>
      <c r="P370" s="113">
        <v>0</v>
      </c>
      <c r="Q370" s="170">
        <f t="shared" si="89"/>
        <v>3395.9048843187661</v>
      </c>
      <c r="R370" s="114">
        <v>7822</v>
      </c>
      <c r="S370" s="316">
        <v>43100</v>
      </c>
    </row>
    <row r="371" spans="1:19" s="1" customFormat="1" ht="31.5">
      <c r="A371" s="107"/>
      <c r="B371" s="945" t="s">
        <v>1004</v>
      </c>
      <c r="C371" s="118" t="s">
        <v>190</v>
      </c>
      <c r="D371" s="118"/>
      <c r="E371" s="611" t="s">
        <v>218</v>
      </c>
      <c r="F371" s="954">
        <v>2</v>
      </c>
      <c r="G371" s="954">
        <v>2</v>
      </c>
      <c r="H371" s="957">
        <v>276.5</v>
      </c>
      <c r="I371" s="957">
        <v>276.5</v>
      </c>
      <c r="J371" s="957">
        <v>128.69999999999999</v>
      </c>
      <c r="K371" s="954">
        <v>7</v>
      </c>
      <c r="L371" s="655">
        <f t="shared" si="90"/>
        <v>576885</v>
      </c>
      <c r="M371" s="113">
        <v>0</v>
      </c>
      <c r="N371" s="113">
        <v>0</v>
      </c>
      <c r="O371" s="113">
        <v>576885</v>
      </c>
      <c r="P371" s="113">
        <v>0</v>
      </c>
      <c r="Q371" s="170">
        <f t="shared" si="89"/>
        <v>2086.3833634719713</v>
      </c>
      <c r="R371" s="114">
        <v>7822</v>
      </c>
      <c r="S371" s="316">
        <v>43100</v>
      </c>
    </row>
    <row r="372" spans="1:19" s="1" customFormat="1" ht="31.5">
      <c r="A372" s="107"/>
      <c r="B372" s="945" t="s">
        <v>1005</v>
      </c>
      <c r="C372" s="118">
        <v>1975</v>
      </c>
      <c r="D372" s="118"/>
      <c r="E372" s="611" t="s">
        <v>218</v>
      </c>
      <c r="F372" s="954">
        <v>5</v>
      </c>
      <c r="G372" s="954">
        <v>4</v>
      </c>
      <c r="H372" s="957">
        <v>3129.1</v>
      </c>
      <c r="I372" s="957">
        <v>3129.1</v>
      </c>
      <c r="J372" s="957">
        <v>2134.1</v>
      </c>
      <c r="K372" s="954">
        <v>113</v>
      </c>
      <c r="L372" s="655">
        <f t="shared" si="90"/>
        <v>2178044</v>
      </c>
      <c r="M372" s="113">
        <v>0</v>
      </c>
      <c r="N372" s="113">
        <v>0</v>
      </c>
      <c r="O372" s="113">
        <v>2178044</v>
      </c>
      <c r="P372" s="113">
        <v>0</v>
      </c>
      <c r="Q372" s="170">
        <f t="shared" si="89"/>
        <v>696.06084816720465</v>
      </c>
      <c r="R372" s="114">
        <v>7822</v>
      </c>
      <c r="S372" s="316">
        <v>43100</v>
      </c>
    </row>
    <row r="373" spans="1:19" s="1" customFormat="1" ht="15.75">
      <c r="A373" s="308"/>
      <c r="B373" s="1382" t="s">
        <v>882</v>
      </c>
      <c r="C373" s="1382"/>
      <c r="D373" s="1382"/>
      <c r="E373" s="1382"/>
      <c r="F373" s="1383"/>
      <c r="G373" s="1383"/>
      <c r="H373" s="961">
        <f>H374+H375</f>
        <v>1087.7</v>
      </c>
      <c r="I373" s="961">
        <f t="shared" ref="I373:P373" si="91">I374+I375</f>
        <v>1087.7</v>
      </c>
      <c r="J373" s="961">
        <f t="shared" si="91"/>
        <v>838.8</v>
      </c>
      <c r="K373" s="961">
        <f t="shared" si="91"/>
        <v>55</v>
      </c>
      <c r="L373" s="962">
        <f t="shared" si="91"/>
        <v>2903743</v>
      </c>
      <c r="M373" s="962">
        <f t="shared" si="91"/>
        <v>0</v>
      </c>
      <c r="N373" s="962">
        <f t="shared" si="91"/>
        <v>0</v>
      </c>
      <c r="O373" s="962">
        <f t="shared" si="91"/>
        <v>2903743</v>
      </c>
      <c r="P373" s="962">
        <f t="shared" si="91"/>
        <v>0</v>
      </c>
      <c r="Q373" s="350" t="s">
        <v>40</v>
      </c>
      <c r="R373" s="350" t="s">
        <v>40</v>
      </c>
      <c r="S373" s="316">
        <v>43100</v>
      </c>
    </row>
    <row r="374" spans="1:19" s="1" customFormat="1" ht="38.450000000000003" customHeight="1">
      <c r="A374" s="308"/>
      <c r="B374" s="963" t="s">
        <v>883</v>
      </c>
      <c r="C374" s="964">
        <v>1969</v>
      </c>
      <c r="D374" s="963"/>
      <c r="E374" s="311" t="s">
        <v>218</v>
      </c>
      <c r="F374" s="964">
        <v>2</v>
      </c>
      <c r="G374" s="964">
        <v>2</v>
      </c>
      <c r="H374" s="965">
        <v>571.20000000000005</v>
      </c>
      <c r="I374" s="965">
        <v>571.20000000000005</v>
      </c>
      <c r="J374" s="964">
        <v>522.79999999999995</v>
      </c>
      <c r="K374" s="966">
        <v>33</v>
      </c>
      <c r="L374" s="314">
        <v>1605412</v>
      </c>
      <c r="M374" s="314">
        <v>0</v>
      </c>
      <c r="N374" s="314">
        <v>0</v>
      </c>
      <c r="O374" s="314">
        <v>1605412</v>
      </c>
      <c r="P374" s="314">
        <v>0</v>
      </c>
      <c r="Q374" s="967">
        <f t="shared" si="89"/>
        <v>2810.5952380952381</v>
      </c>
      <c r="R374" s="315">
        <v>7822</v>
      </c>
      <c r="S374" s="316">
        <v>43100</v>
      </c>
    </row>
    <row r="375" spans="1:19" s="1" customFormat="1" ht="27" customHeight="1">
      <c r="A375" s="308"/>
      <c r="B375" s="963" t="s">
        <v>884</v>
      </c>
      <c r="C375" s="964">
        <v>1948</v>
      </c>
      <c r="D375" s="963"/>
      <c r="E375" s="311" t="s">
        <v>221</v>
      </c>
      <c r="F375" s="964">
        <v>2</v>
      </c>
      <c r="G375" s="964">
        <v>2</v>
      </c>
      <c r="H375" s="965">
        <v>516.5</v>
      </c>
      <c r="I375" s="965">
        <v>516.5</v>
      </c>
      <c r="J375" s="964">
        <v>316</v>
      </c>
      <c r="K375" s="966">
        <v>22</v>
      </c>
      <c r="L375" s="314">
        <v>1298331</v>
      </c>
      <c r="M375" s="314">
        <v>0</v>
      </c>
      <c r="N375" s="314">
        <v>0</v>
      </c>
      <c r="O375" s="314">
        <v>1298331</v>
      </c>
      <c r="P375" s="314">
        <v>0</v>
      </c>
      <c r="Q375" s="967">
        <f t="shared" si="89"/>
        <v>2513.7095837366892</v>
      </c>
      <c r="R375" s="315">
        <v>7822</v>
      </c>
      <c r="S375" s="316">
        <v>43100</v>
      </c>
    </row>
    <row r="376" spans="1:19" s="1" customFormat="1" ht="15.75">
      <c r="A376" s="107"/>
      <c r="B376" s="1336" t="s">
        <v>52</v>
      </c>
      <c r="C376" s="1336"/>
      <c r="D376" s="1336"/>
      <c r="E376" s="1336"/>
      <c r="F376" s="1336"/>
      <c r="G376" s="1336"/>
      <c r="H376" s="128">
        <f t="shared" ref="H376:P376" si="92">H380+H377+H382</f>
        <v>2360.4</v>
      </c>
      <c r="I376" s="128">
        <f t="shared" si="92"/>
        <v>2297</v>
      </c>
      <c r="J376" s="128">
        <f t="shared" si="92"/>
        <v>1849.6999999999998</v>
      </c>
      <c r="K376" s="162">
        <f t="shared" si="92"/>
        <v>81</v>
      </c>
      <c r="L376" s="113">
        <f t="shared" si="92"/>
        <v>3121077</v>
      </c>
      <c r="M376" s="113">
        <f t="shared" si="92"/>
        <v>0</v>
      </c>
      <c r="N376" s="113">
        <f t="shared" si="92"/>
        <v>92056</v>
      </c>
      <c r="O376" s="113">
        <f t="shared" si="92"/>
        <v>3029021</v>
      </c>
      <c r="P376" s="113">
        <f t="shared" si="92"/>
        <v>0</v>
      </c>
      <c r="Q376" s="106" t="s">
        <v>40</v>
      </c>
      <c r="R376" s="106" t="s">
        <v>40</v>
      </c>
      <c r="S376" s="316">
        <v>43100</v>
      </c>
    </row>
    <row r="377" spans="1:19" s="1" customFormat="1" ht="15.75">
      <c r="A377" s="308"/>
      <c r="B377" s="1382" t="s">
        <v>130</v>
      </c>
      <c r="C377" s="1382"/>
      <c r="D377" s="1382"/>
      <c r="E377" s="1382"/>
      <c r="F377" s="1382"/>
      <c r="G377" s="1382"/>
      <c r="H377" s="347">
        <f>H378</f>
        <v>704.6</v>
      </c>
      <c r="I377" s="347">
        <f t="shared" ref="I377:P377" si="93">I378</f>
        <v>704.6</v>
      </c>
      <c r="J377" s="347">
        <f t="shared" si="93"/>
        <v>655.9</v>
      </c>
      <c r="K377" s="347">
        <f t="shared" si="93"/>
        <v>16</v>
      </c>
      <c r="L377" s="670">
        <f t="shared" si="93"/>
        <v>1828731</v>
      </c>
      <c r="M377" s="670">
        <f t="shared" si="93"/>
        <v>0</v>
      </c>
      <c r="N377" s="670">
        <f t="shared" si="93"/>
        <v>0</v>
      </c>
      <c r="O377" s="670">
        <f t="shared" si="93"/>
        <v>1828731</v>
      </c>
      <c r="P377" s="670">
        <f t="shared" si="93"/>
        <v>0</v>
      </c>
      <c r="Q377" s="350" t="s">
        <v>40</v>
      </c>
      <c r="R377" s="350" t="s">
        <v>40</v>
      </c>
      <c r="S377" s="316">
        <v>43100</v>
      </c>
    </row>
    <row r="378" spans="1:19" s="41" customFormat="1" ht="31.5">
      <c r="A378" s="308">
        <v>60</v>
      </c>
      <c r="B378" s="870" t="s">
        <v>672</v>
      </c>
      <c r="C378" s="387">
        <v>1962</v>
      </c>
      <c r="D378" s="387"/>
      <c r="E378" s="311" t="s">
        <v>218</v>
      </c>
      <c r="F378" s="387">
        <v>2</v>
      </c>
      <c r="G378" s="387">
        <v>2</v>
      </c>
      <c r="H378" s="387">
        <v>704.6</v>
      </c>
      <c r="I378" s="387">
        <v>704.6</v>
      </c>
      <c r="J378" s="387">
        <v>655.9</v>
      </c>
      <c r="K378" s="387">
        <v>16</v>
      </c>
      <c r="L378" s="314">
        <v>1828731</v>
      </c>
      <c r="M378" s="314">
        <v>0</v>
      </c>
      <c r="N378" s="314">
        <v>0</v>
      </c>
      <c r="O378" s="314">
        <f>L378</f>
        <v>1828731</v>
      </c>
      <c r="P378" s="314">
        <v>0</v>
      </c>
      <c r="Q378" s="315">
        <f>L378/I378</f>
        <v>2595.4172580187342</v>
      </c>
      <c r="R378" s="608">
        <v>7822</v>
      </c>
      <c r="S378" s="316">
        <v>43100</v>
      </c>
    </row>
    <row r="379" spans="1:19" s="41" customFormat="1" ht="15.75">
      <c r="A379" s="308"/>
      <c r="B379" s="337"/>
      <c r="C379" s="308"/>
      <c r="D379" s="308"/>
      <c r="E379" s="311"/>
      <c r="F379" s="308"/>
      <c r="G379" s="308"/>
      <c r="H379" s="609"/>
      <c r="I379" s="609"/>
      <c r="J379" s="308"/>
      <c r="K379" s="308"/>
      <c r="L379" s="314"/>
      <c r="M379" s="314"/>
      <c r="N379" s="314"/>
      <c r="O379" s="314"/>
      <c r="P379" s="314"/>
      <c r="Q379" s="315"/>
      <c r="R379" s="608"/>
      <c r="S379" s="316"/>
    </row>
    <row r="380" spans="1:19" s="1" customFormat="1" ht="15.75" customHeight="1">
      <c r="A380" s="107"/>
      <c r="B380" s="1329" t="s">
        <v>109</v>
      </c>
      <c r="C380" s="1329"/>
      <c r="D380" s="1329"/>
      <c r="E380" s="1329"/>
      <c r="F380" s="1329"/>
      <c r="G380" s="1329"/>
      <c r="H380" s="128">
        <f>H381</f>
        <v>799.3</v>
      </c>
      <c r="I380" s="106">
        <f t="shared" ref="I380:P380" si="94">I381</f>
        <v>735.9</v>
      </c>
      <c r="J380" s="106">
        <f t="shared" si="94"/>
        <v>693.8</v>
      </c>
      <c r="K380" s="119">
        <f t="shared" si="94"/>
        <v>32</v>
      </c>
      <c r="L380" s="113">
        <v>201010</v>
      </c>
      <c r="M380" s="113">
        <f t="shared" si="94"/>
        <v>0</v>
      </c>
      <c r="N380" s="113">
        <f t="shared" si="94"/>
        <v>92056</v>
      </c>
      <c r="O380" s="113">
        <f t="shared" si="94"/>
        <v>108954</v>
      </c>
      <c r="P380" s="113">
        <f t="shared" si="94"/>
        <v>0</v>
      </c>
      <c r="Q380" s="106" t="s">
        <v>40</v>
      </c>
      <c r="R380" s="106" t="s">
        <v>40</v>
      </c>
      <c r="S380" s="316">
        <v>43100</v>
      </c>
    </row>
    <row r="381" spans="1:19" s="1" customFormat="1" ht="15.75">
      <c r="A381" s="107"/>
      <c r="B381" s="261" t="s">
        <v>414</v>
      </c>
      <c r="C381" s="269">
        <v>1977</v>
      </c>
      <c r="D381" s="118"/>
      <c r="E381" s="109" t="s">
        <v>219</v>
      </c>
      <c r="F381" s="118">
        <v>2</v>
      </c>
      <c r="G381" s="118">
        <v>2</v>
      </c>
      <c r="H381" s="128">
        <v>799.3</v>
      </c>
      <c r="I381" s="106">
        <v>735.9</v>
      </c>
      <c r="J381" s="106">
        <v>693.8</v>
      </c>
      <c r="K381" s="119">
        <v>32</v>
      </c>
      <c r="L381" s="113">
        <v>201010</v>
      </c>
      <c r="M381" s="113">
        <v>0</v>
      </c>
      <c r="N381" s="113">
        <v>92056</v>
      </c>
      <c r="O381" s="113">
        <v>108954</v>
      </c>
      <c r="P381" s="113">
        <v>0</v>
      </c>
      <c r="Q381" s="106">
        <f>L381/I381</f>
        <v>273.14852561489334</v>
      </c>
      <c r="R381" s="114">
        <v>6774</v>
      </c>
      <c r="S381" s="316">
        <v>43100</v>
      </c>
    </row>
    <row r="382" spans="1:19" s="23" customFormat="1" ht="15.75" customHeight="1">
      <c r="A382" s="107"/>
      <c r="B382" s="1334" t="s">
        <v>198</v>
      </c>
      <c r="C382" s="1334"/>
      <c r="D382" s="1334"/>
      <c r="E382" s="1334"/>
      <c r="F382" s="1334"/>
      <c r="G382" s="1334"/>
      <c r="H382" s="128">
        <f>H383</f>
        <v>856.5</v>
      </c>
      <c r="I382" s="128">
        <f t="shared" ref="I382:P382" si="95">I383</f>
        <v>856.5</v>
      </c>
      <c r="J382" s="128">
        <f t="shared" si="95"/>
        <v>500</v>
      </c>
      <c r="K382" s="175">
        <f t="shared" si="95"/>
        <v>33</v>
      </c>
      <c r="L382" s="113">
        <f t="shared" si="95"/>
        <v>1091336</v>
      </c>
      <c r="M382" s="113">
        <f t="shared" si="95"/>
        <v>0</v>
      </c>
      <c r="N382" s="113">
        <f t="shared" si="95"/>
        <v>0</v>
      </c>
      <c r="O382" s="113">
        <f t="shared" si="95"/>
        <v>1091336</v>
      </c>
      <c r="P382" s="113">
        <f t="shared" si="95"/>
        <v>0</v>
      </c>
      <c r="Q382" s="106" t="s">
        <v>40</v>
      </c>
      <c r="R382" s="114" t="s">
        <v>40</v>
      </c>
      <c r="S382" s="316">
        <v>43100</v>
      </c>
    </row>
    <row r="383" spans="1:19" s="23" customFormat="1" ht="31.5">
      <c r="A383" s="107"/>
      <c r="B383" s="264" t="s">
        <v>415</v>
      </c>
      <c r="C383" s="269">
        <v>1982</v>
      </c>
      <c r="D383" s="118"/>
      <c r="E383" s="109" t="s">
        <v>218</v>
      </c>
      <c r="F383" s="118">
        <v>2</v>
      </c>
      <c r="G383" s="118">
        <v>3</v>
      </c>
      <c r="H383" s="128">
        <v>856.5</v>
      </c>
      <c r="I383" s="106">
        <v>856.5</v>
      </c>
      <c r="J383" s="106">
        <v>500</v>
      </c>
      <c r="K383" s="119">
        <v>33</v>
      </c>
      <c r="L383" s="113">
        <v>1091336</v>
      </c>
      <c r="M383" s="113">
        <v>0</v>
      </c>
      <c r="N383" s="113">
        <v>0</v>
      </c>
      <c r="O383" s="113">
        <f>L383</f>
        <v>1091336</v>
      </c>
      <c r="P383" s="113">
        <v>0</v>
      </c>
      <c r="Q383" s="106">
        <f>L383/I383</f>
        <v>1274.1809690601285</v>
      </c>
      <c r="R383" s="114">
        <v>6774</v>
      </c>
      <c r="S383" s="316">
        <v>43100</v>
      </c>
    </row>
    <row r="384" spans="1:19" s="1" customFormat="1" ht="15.75">
      <c r="A384" s="107"/>
      <c r="B384" s="1336" t="s">
        <v>53</v>
      </c>
      <c r="C384" s="1336"/>
      <c r="D384" s="1336"/>
      <c r="E384" s="1336"/>
      <c r="F384" s="1336"/>
      <c r="G384" s="1336"/>
      <c r="H384" s="106">
        <f>H385+H401+H403+H405+H415+H417+H419+H412</f>
        <v>102181.8</v>
      </c>
      <c r="I384" s="106">
        <f t="shared" ref="I384:P384" si="96">I385+I401+I403+I405+I415+I417+I419+I412</f>
        <v>76056.159999999989</v>
      </c>
      <c r="J384" s="106">
        <f t="shared" si="96"/>
        <v>73347.16</v>
      </c>
      <c r="K384" s="106">
        <f t="shared" si="96"/>
        <v>3020</v>
      </c>
      <c r="L384" s="106">
        <f t="shared" si="96"/>
        <v>55852955.920000002</v>
      </c>
      <c r="M384" s="106">
        <f t="shared" si="96"/>
        <v>0</v>
      </c>
      <c r="N384" s="106">
        <f t="shared" si="96"/>
        <v>371832.54000000004</v>
      </c>
      <c r="O384" s="106">
        <f t="shared" si="96"/>
        <v>55481123.379999995</v>
      </c>
      <c r="P384" s="106">
        <f t="shared" si="96"/>
        <v>0</v>
      </c>
      <c r="Q384" s="106" t="s">
        <v>40</v>
      </c>
      <c r="R384" s="106" t="s">
        <v>40</v>
      </c>
      <c r="S384" s="316">
        <v>43100</v>
      </c>
    </row>
    <row r="385" spans="1:34" s="1" customFormat="1" ht="15.75">
      <c r="A385" s="107"/>
      <c r="B385" s="1336" t="s">
        <v>88</v>
      </c>
      <c r="C385" s="1336"/>
      <c r="D385" s="1336"/>
      <c r="E385" s="1336"/>
      <c r="F385" s="1336"/>
      <c r="G385" s="1336"/>
      <c r="H385" s="613">
        <f>SUM(H386:H395)</f>
        <v>77350</v>
      </c>
      <c r="I385" s="613">
        <f t="shared" ref="I385:P385" si="97">SUM(I386:I395)</f>
        <v>54170</v>
      </c>
      <c r="J385" s="613">
        <f t="shared" si="97"/>
        <v>53000.799999999996</v>
      </c>
      <c r="K385" s="613">
        <f t="shared" si="97"/>
        <v>2037</v>
      </c>
      <c r="L385" s="415">
        <f t="shared" si="97"/>
        <v>31676745</v>
      </c>
      <c r="M385" s="415">
        <f t="shared" si="97"/>
        <v>0</v>
      </c>
      <c r="N385" s="415">
        <f t="shared" si="97"/>
        <v>0</v>
      </c>
      <c r="O385" s="415">
        <f t="shared" si="97"/>
        <v>31676745</v>
      </c>
      <c r="P385" s="415">
        <f t="shared" si="97"/>
        <v>0</v>
      </c>
      <c r="Q385" s="106" t="s">
        <v>40</v>
      </c>
      <c r="R385" s="106" t="s">
        <v>40</v>
      </c>
      <c r="S385" s="316">
        <v>43100</v>
      </c>
    </row>
    <row r="386" spans="1:34" s="21" customFormat="1" ht="18" customHeight="1">
      <c r="A386" s="308">
        <v>61</v>
      </c>
      <c r="B386" s="549" t="s">
        <v>416</v>
      </c>
      <c r="C386" s="403">
        <v>1987</v>
      </c>
      <c r="D386" s="403"/>
      <c r="E386" s="311" t="s">
        <v>219</v>
      </c>
      <c r="F386" s="403">
        <v>9</v>
      </c>
      <c r="G386" s="845">
        <v>3</v>
      </c>
      <c r="H386" s="846">
        <v>7788.1</v>
      </c>
      <c r="I386" s="846">
        <v>5529.2</v>
      </c>
      <c r="J386" s="846">
        <f>I386</f>
        <v>5529.2</v>
      </c>
      <c r="K386" s="846">
        <v>219</v>
      </c>
      <c r="L386" s="847">
        <v>3883714</v>
      </c>
      <c r="M386" s="848">
        <v>0</v>
      </c>
      <c r="N386" s="849">
        <v>0</v>
      </c>
      <c r="O386" s="849">
        <f t="shared" ref="O386:O395" si="98">L386</f>
        <v>3883714</v>
      </c>
      <c r="P386" s="849">
        <v>0</v>
      </c>
      <c r="Q386" s="315">
        <f t="shared" ref="Q386:Q400" si="99">L386/I386</f>
        <v>702.40070896332202</v>
      </c>
      <c r="R386" s="315">
        <v>7822</v>
      </c>
      <c r="S386" s="316">
        <v>43100</v>
      </c>
    </row>
    <row r="387" spans="1:34" s="21" customFormat="1" ht="20.45" customHeight="1">
      <c r="A387" s="308">
        <v>62</v>
      </c>
      <c r="B387" s="549" t="s">
        <v>743</v>
      </c>
      <c r="C387" s="403">
        <v>1988</v>
      </c>
      <c r="D387" s="403"/>
      <c r="E387" s="311" t="s">
        <v>219</v>
      </c>
      <c r="F387" s="403">
        <v>9</v>
      </c>
      <c r="G387" s="845">
        <v>4</v>
      </c>
      <c r="H387" s="846">
        <v>10415.1</v>
      </c>
      <c r="I387" s="846">
        <v>7937.2</v>
      </c>
      <c r="J387" s="846">
        <f>I387-54.8</f>
        <v>7882.4</v>
      </c>
      <c r="K387" s="846">
        <v>144</v>
      </c>
      <c r="L387" s="847">
        <v>3894862</v>
      </c>
      <c r="M387" s="848">
        <v>0</v>
      </c>
      <c r="N387" s="849">
        <v>0</v>
      </c>
      <c r="O387" s="849">
        <f t="shared" si="98"/>
        <v>3894862</v>
      </c>
      <c r="P387" s="849">
        <v>0</v>
      </c>
      <c r="Q387" s="315">
        <f t="shared" si="99"/>
        <v>490.70982210351258</v>
      </c>
      <c r="R387" s="315">
        <v>7822</v>
      </c>
      <c r="S387" s="316">
        <v>43100</v>
      </c>
    </row>
    <row r="388" spans="1:34" s="21" customFormat="1" ht="23.45" customHeight="1">
      <c r="A388" s="308">
        <v>63</v>
      </c>
      <c r="B388" s="549" t="s">
        <v>417</v>
      </c>
      <c r="C388" s="403">
        <v>1990</v>
      </c>
      <c r="D388" s="403"/>
      <c r="E388" s="311" t="s">
        <v>219</v>
      </c>
      <c r="F388" s="403">
        <v>9</v>
      </c>
      <c r="G388" s="845">
        <v>3</v>
      </c>
      <c r="H388" s="846">
        <v>7717.9</v>
      </c>
      <c r="I388" s="846">
        <v>5472.2</v>
      </c>
      <c r="J388" s="846">
        <f>I388-142.7</f>
        <v>5329.5</v>
      </c>
      <c r="K388" s="846">
        <v>236</v>
      </c>
      <c r="L388" s="847">
        <v>3877521</v>
      </c>
      <c r="M388" s="848">
        <v>0</v>
      </c>
      <c r="N388" s="849">
        <v>0</v>
      </c>
      <c r="O388" s="849">
        <f t="shared" si="98"/>
        <v>3877521</v>
      </c>
      <c r="P388" s="849">
        <v>0</v>
      </c>
      <c r="Q388" s="315">
        <f t="shared" si="99"/>
        <v>708.58539527064067</v>
      </c>
      <c r="R388" s="315">
        <v>7822</v>
      </c>
      <c r="S388" s="316">
        <v>43100</v>
      </c>
    </row>
    <row r="389" spans="1:34" s="21" customFormat="1" ht="19.149999999999999" customHeight="1">
      <c r="A389" s="308">
        <v>64</v>
      </c>
      <c r="B389" s="549" t="s">
        <v>418</v>
      </c>
      <c r="C389" s="403">
        <v>1989</v>
      </c>
      <c r="D389" s="403"/>
      <c r="E389" s="311" t="s">
        <v>219</v>
      </c>
      <c r="F389" s="403">
        <v>9</v>
      </c>
      <c r="G389" s="845">
        <v>2</v>
      </c>
      <c r="H389" s="846">
        <v>5173.6000000000004</v>
      </c>
      <c r="I389" s="846">
        <v>3702.9</v>
      </c>
      <c r="J389" s="846">
        <f>I389-159.5</f>
        <v>3543.4</v>
      </c>
      <c r="K389" s="846">
        <v>148</v>
      </c>
      <c r="L389" s="847">
        <v>1943688</v>
      </c>
      <c r="M389" s="848">
        <v>0</v>
      </c>
      <c r="N389" s="849">
        <v>0</v>
      </c>
      <c r="O389" s="849">
        <f t="shared" si="98"/>
        <v>1943688</v>
      </c>
      <c r="P389" s="849">
        <v>0</v>
      </c>
      <c r="Q389" s="315">
        <f t="shared" si="99"/>
        <v>524.90966539739122</v>
      </c>
      <c r="R389" s="315">
        <v>7822</v>
      </c>
      <c r="S389" s="316">
        <v>43100</v>
      </c>
    </row>
    <row r="390" spans="1:34" s="21" customFormat="1" ht="23.45" customHeight="1">
      <c r="A390" s="308">
        <v>65</v>
      </c>
      <c r="B390" s="549" t="s">
        <v>757</v>
      </c>
      <c r="C390" s="403">
        <v>1963</v>
      </c>
      <c r="D390" s="403"/>
      <c r="E390" s="311" t="s">
        <v>220</v>
      </c>
      <c r="F390" s="403">
        <v>4</v>
      </c>
      <c r="G390" s="845">
        <v>4</v>
      </c>
      <c r="H390" s="850">
        <v>4542.7</v>
      </c>
      <c r="I390" s="850">
        <v>2527.8000000000002</v>
      </c>
      <c r="J390" s="850">
        <v>2473.4</v>
      </c>
      <c r="K390" s="850">
        <v>104</v>
      </c>
      <c r="L390" s="847">
        <v>2656189</v>
      </c>
      <c r="M390" s="848">
        <v>0</v>
      </c>
      <c r="N390" s="849">
        <v>0</v>
      </c>
      <c r="O390" s="849">
        <f t="shared" si="98"/>
        <v>2656189</v>
      </c>
      <c r="P390" s="849">
        <v>0</v>
      </c>
      <c r="Q390" s="315">
        <f t="shared" si="99"/>
        <v>1050.7908062346703</v>
      </c>
      <c r="R390" s="315">
        <v>7822</v>
      </c>
      <c r="S390" s="316">
        <v>43100</v>
      </c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</row>
    <row r="391" spans="1:34" s="21" customFormat="1" ht="21.6" customHeight="1">
      <c r="A391" s="308">
        <v>66</v>
      </c>
      <c r="B391" s="549" t="s">
        <v>758</v>
      </c>
      <c r="C391" s="403">
        <v>1964</v>
      </c>
      <c r="D391" s="403"/>
      <c r="E391" s="311" t="s">
        <v>220</v>
      </c>
      <c r="F391" s="403">
        <v>5</v>
      </c>
      <c r="G391" s="845">
        <v>4</v>
      </c>
      <c r="H391" s="850">
        <v>5355</v>
      </c>
      <c r="I391" s="850">
        <v>3440.4</v>
      </c>
      <c r="J391" s="850">
        <v>3242.8</v>
      </c>
      <c r="K391" s="850">
        <v>136</v>
      </c>
      <c r="L391" s="847">
        <v>2621402</v>
      </c>
      <c r="M391" s="848">
        <v>0</v>
      </c>
      <c r="N391" s="849">
        <v>0</v>
      </c>
      <c r="O391" s="849">
        <f t="shared" si="98"/>
        <v>2621402</v>
      </c>
      <c r="P391" s="849">
        <v>0</v>
      </c>
      <c r="Q391" s="315">
        <f t="shared" si="99"/>
        <v>761.9468666434135</v>
      </c>
      <c r="R391" s="315">
        <v>7822</v>
      </c>
      <c r="S391" s="316">
        <v>43100</v>
      </c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</row>
    <row r="392" spans="1:34" s="52" customFormat="1" ht="31.5">
      <c r="A392" s="308">
        <v>67</v>
      </c>
      <c r="B392" s="549" t="s">
        <v>744</v>
      </c>
      <c r="C392" s="403">
        <v>1972</v>
      </c>
      <c r="D392" s="403"/>
      <c r="E392" s="311" t="s">
        <v>218</v>
      </c>
      <c r="F392" s="403">
        <v>9</v>
      </c>
      <c r="G392" s="845">
        <v>4</v>
      </c>
      <c r="H392" s="846">
        <v>8529.7999999999993</v>
      </c>
      <c r="I392" s="846">
        <v>6190.9</v>
      </c>
      <c r="J392" s="846">
        <f>I392-164</f>
        <v>6026.9</v>
      </c>
      <c r="K392" s="846">
        <v>261</v>
      </c>
      <c r="L392" s="847">
        <v>3471287</v>
      </c>
      <c r="M392" s="848">
        <v>0</v>
      </c>
      <c r="N392" s="849">
        <v>0</v>
      </c>
      <c r="O392" s="849">
        <f t="shared" si="98"/>
        <v>3471287</v>
      </c>
      <c r="P392" s="849">
        <v>0</v>
      </c>
      <c r="Q392" s="315">
        <f t="shared" si="99"/>
        <v>560.70797460789231</v>
      </c>
      <c r="R392" s="315">
        <v>7822</v>
      </c>
      <c r="S392" s="316">
        <v>43100</v>
      </c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</row>
    <row r="393" spans="1:34" s="21" customFormat="1" ht="31.5">
      <c r="A393" s="308">
        <v>68</v>
      </c>
      <c r="B393" s="549" t="s">
        <v>745</v>
      </c>
      <c r="C393" s="403">
        <v>1971</v>
      </c>
      <c r="D393" s="403"/>
      <c r="E393" s="311" t="s">
        <v>218</v>
      </c>
      <c r="F393" s="403">
        <v>9</v>
      </c>
      <c r="G393" s="845">
        <v>4</v>
      </c>
      <c r="H393" s="846">
        <v>8409.5</v>
      </c>
      <c r="I393" s="846">
        <v>6117</v>
      </c>
      <c r="J393" s="846">
        <f>I393-301.5</f>
        <v>5815.5</v>
      </c>
      <c r="K393" s="846">
        <v>258</v>
      </c>
      <c r="L393" s="847">
        <v>3471167</v>
      </c>
      <c r="M393" s="848">
        <v>0</v>
      </c>
      <c r="N393" s="849">
        <v>0</v>
      </c>
      <c r="O393" s="849">
        <f t="shared" si="98"/>
        <v>3471167</v>
      </c>
      <c r="P393" s="849">
        <v>0</v>
      </c>
      <c r="Q393" s="315">
        <f t="shared" si="99"/>
        <v>567.46231812980216</v>
      </c>
      <c r="R393" s="315">
        <v>7822</v>
      </c>
      <c r="S393" s="316">
        <v>43100</v>
      </c>
    </row>
    <row r="394" spans="1:34" s="52" customFormat="1" ht="31.5">
      <c r="A394" s="308">
        <v>69</v>
      </c>
      <c r="B394" s="549" t="s">
        <v>746</v>
      </c>
      <c r="C394" s="403">
        <v>1991</v>
      </c>
      <c r="D394" s="403"/>
      <c r="E394" s="311" t="s">
        <v>218</v>
      </c>
      <c r="F394" s="403">
        <v>12</v>
      </c>
      <c r="G394" s="845">
        <v>1</v>
      </c>
      <c r="H394" s="846">
        <v>5703.1</v>
      </c>
      <c r="I394" s="846">
        <v>3976.5</v>
      </c>
      <c r="J394" s="846">
        <f>I394</f>
        <v>3976.5</v>
      </c>
      <c r="K394" s="846">
        <v>152</v>
      </c>
      <c r="L394" s="847">
        <v>3891338</v>
      </c>
      <c r="M394" s="848">
        <v>0</v>
      </c>
      <c r="N394" s="849">
        <v>0</v>
      </c>
      <c r="O394" s="849">
        <f t="shared" si="98"/>
        <v>3891338</v>
      </c>
      <c r="P394" s="849">
        <v>0</v>
      </c>
      <c r="Q394" s="315">
        <f t="shared" si="99"/>
        <v>978.58367911479945</v>
      </c>
      <c r="R394" s="315">
        <v>7822</v>
      </c>
      <c r="S394" s="316">
        <v>43100</v>
      </c>
    </row>
    <row r="395" spans="1:34" s="21" customFormat="1" ht="15.75">
      <c r="A395" s="308">
        <v>70</v>
      </c>
      <c r="B395" s="549" t="s">
        <v>747</v>
      </c>
      <c r="C395" s="403">
        <v>1985</v>
      </c>
      <c r="D395" s="403"/>
      <c r="E395" s="311" t="s">
        <v>219</v>
      </c>
      <c r="F395" s="403">
        <v>9</v>
      </c>
      <c r="G395" s="845">
        <v>5</v>
      </c>
      <c r="H395" s="846">
        <v>13715.2</v>
      </c>
      <c r="I395" s="846">
        <v>9275.9</v>
      </c>
      <c r="J395" s="846">
        <f>I395-94.7</f>
        <v>9181.1999999999989</v>
      </c>
      <c r="K395" s="846">
        <v>379</v>
      </c>
      <c r="L395" s="468">
        <v>1965577</v>
      </c>
      <c r="M395" s="687">
        <v>0</v>
      </c>
      <c r="N395" s="314">
        <v>0</v>
      </c>
      <c r="O395" s="314">
        <f t="shared" si="98"/>
        <v>1965577</v>
      </c>
      <c r="P395" s="314">
        <v>0</v>
      </c>
      <c r="Q395" s="315">
        <f t="shared" si="99"/>
        <v>211.90148664819588</v>
      </c>
      <c r="R395" s="315">
        <v>7822</v>
      </c>
      <c r="S395" s="316">
        <v>43100</v>
      </c>
    </row>
    <row r="396" spans="1:34" s="21" customFormat="1" ht="15.75">
      <c r="A396" s="308"/>
      <c r="B396" s="654"/>
      <c r="C396" s="403"/>
      <c r="D396" s="403"/>
      <c r="E396" s="311"/>
      <c r="F396" s="403"/>
      <c r="G396" s="403"/>
      <c r="H396" s="550"/>
      <c r="I396" s="653"/>
      <c r="J396" s="653"/>
      <c r="K396" s="551"/>
      <c r="L396" s="314"/>
      <c r="M396" s="314"/>
      <c r="N396" s="314"/>
      <c r="O396" s="314"/>
      <c r="P396" s="314"/>
      <c r="Q396" s="315"/>
      <c r="R396" s="315"/>
      <c r="S396" s="316"/>
    </row>
    <row r="397" spans="1:34" s="21" customFormat="1" ht="23.45" customHeight="1">
      <c r="A397" s="107"/>
      <c r="B397" s="1336" t="s">
        <v>132</v>
      </c>
      <c r="C397" s="1336"/>
      <c r="D397" s="1336"/>
      <c r="E397" s="1336"/>
      <c r="F397" s="1336"/>
      <c r="G397" s="1336"/>
      <c r="H397" s="117">
        <f>H398+H399+H400</f>
        <v>2337.4</v>
      </c>
      <c r="I397" s="117">
        <f t="shared" ref="I397:P397" si="100">I398+I399+I400</f>
        <v>2118.9</v>
      </c>
      <c r="J397" s="117">
        <f t="shared" si="100"/>
        <v>1840.3999999999999</v>
      </c>
      <c r="K397" s="117">
        <f t="shared" si="100"/>
        <v>91</v>
      </c>
      <c r="L397" s="604">
        <f t="shared" si="100"/>
        <v>5439639</v>
      </c>
      <c r="M397" s="604">
        <f t="shared" si="100"/>
        <v>0</v>
      </c>
      <c r="N397" s="604">
        <f t="shared" si="100"/>
        <v>325798</v>
      </c>
      <c r="O397" s="604">
        <f t="shared" si="100"/>
        <v>5113841</v>
      </c>
      <c r="P397" s="604">
        <f t="shared" si="100"/>
        <v>0</v>
      </c>
      <c r="Q397" s="114" t="s">
        <v>40</v>
      </c>
      <c r="R397" s="114" t="s">
        <v>40</v>
      </c>
      <c r="S397" s="316">
        <v>43100</v>
      </c>
    </row>
    <row r="398" spans="1:34" s="21" customFormat="1" ht="31.5">
      <c r="A398" s="308">
        <v>71</v>
      </c>
      <c r="B398" s="654" t="s">
        <v>697</v>
      </c>
      <c r="C398" s="403">
        <v>1984</v>
      </c>
      <c r="D398" s="403"/>
      <c r="E398" s="311" t="s">
        <v>218</v>
      </c>
      <c r="F398" s="403">
        <v>3</v>
      </c>
      <c r="G398" s="403">
        <v>2</v>
      </c>
      <c r="H398" s="550">
        <v>1130.0999999999999</v>
      </c>
      <c r="I398" s="653">
        <v>1039.4000000000001</v>
      </c>
      <c r="J398" s="653">
        <v>923.5</v>
      </c>
      <c r="K398" s="551">
        <v>48</v>
      </c>
      <c r="L398" s="314">
        <v>1207837</v>
      </c>
      <c r="M398" s="314">
        <v>0</v>
      </c>
      <c r="N398" s="314">
        <v>0</v>
      </c>
      <c r="O398" s="314">
        <v>1207837</v>
      </c>
      <c r="P398" s="314">
        <v>0</v>
      </c>
      <c r="Q398" s="315">
        <f t="shared" si="99"/>
        <v>1162.0521454685395</v>
      </c>
      <c r="R398" s="315">
        <v>7822</v>
      </c>
      <c r="S398" s="316">
        <v>43100</v>
      </c>
    </row>
    <row r="399" spans="1:34" s="21" customFormat="1" ht="31.5">
      <c r="A399" s="308">
        <v>72</v>
      </c>
      <c r="B399" s="654" t="s">
        <v>698</v>
      </c>
      <c r="C399" s="403">
        <v>1952</v>
      </c>
      <c r="D399" s="403"/>
      <c r="E399" s="311" t="s">
        <v>700</v>
      </c>
      <c r="F399" s="403">
        <v>2</v>
      </c>
      <c r="G399" s="403">
        <v>2</v>
      </c>
      <c r="H399" s="550">
        <v>442.4</v>
      </c>
      <c r="I399" s="653">
        <v>397.7</v>
      </c>
      <c r="J399" s="653">
        <v>299.10000000000002</v>
      </c>
      <c r="K399" s="551">
        <v>13</v>
      </c>
      <c r="L399" s="314">
        <v>1871260</v>
      </c>
      <c r="M399" s="314">
        <v>0</v>
      </c>
      <c r="N399" s="314">
        <v>325798</v>
      </c>
      <c r="O399" s="314">
        <v>1545462</v>
      </c>
      <c r="P399" s="314">
        <v>0</v>
      </c>
      <c r="Q399" s="315">
        <f t="shared" si="99"/>
        <v>4705.2049283379429</v>
      </c>
      <c r="R399" s="315">
        <v>7822</v>
      </c>
      <c r="S399" s="316">
        <v>43100</v>
      </c>
    </row>
    <row r="400" spans="1:34" s="21" customFormat="1" ht="31.5">
      <c r="A400" s="308">
        <v>73</v>
      </c>
      <c r="B400" s="654" t="s">
        <v>699</v>
      </c>
      <c r="C400" s="403">
        <v>1958</v>
      </c>
      <c r="D400" s="403"/>
      <c r="E400" s="311" t="s">
        <v>218</v>
      </c>
      <c r="F400" s="403">
        <v>2</v>
      </c>
      <c r="G400" s="403">
        <v>2</v>
      </c>
      <c r="H400" s="550">
        <v>764.9</v>
      </c>
      <c r="I400" s="653">
        <v>681.8</v>
      </c>
      <c r="J400" s="653">
        <v>617.79999999999995</v>
      </c>
      <c r="K400" s="551">
        <v>30</v>
      </c>
      <c r="L400" s="314">
        <v>2360542</v>
      </c>
      <c r="M400" s="314">
        <v>0</v>
      </c>
      <c r="N400" s="314">
        <v>0</v>
      </c>
      <c r="O400" s="314">
        <v>2360542</v>
      </c>
      <c r="P400" s="314"/>
      <c r="Q400" s="315">
        <f t="shared" si="99"/>
        <v>3462.2205925491348</v>
      </c>
      <c r="R400" s="315">
        <v>7822</v>
      </c>
      <c r="S400" s="316">
        <v>43100</v>
      </c>
    </row>
    <row r="401" spans="1:19" s="21" customFormat="1" ht="15.75" customHeight="1">
      <c r="A401" s="107"/>
      <c r="B401" s="1344" t="s">
        <v>593</v>
      </c>
      <c r="C401" s="1344"/>
      <c r="D401" s="1344"/>
      <c r="E401" s="1344"/>
      <c r="F401" s="1344"/>
      <c r="G401" s="1344"/>
      <c r="H401" s="117">
        <f>H402</f>
        <v>1575.1</v>
      </c>
      <c r="I401" s="117">
        <f t="shared" ref="I401:P401" si="101">I402</f>
        <v>1438.1</v>
      </c>
      <c r="J401" s="117">
        <f t="shared" si="101"/>
        <v>1438.1</v>
      </c>
      <c r="K401" s="155">
        <f t="shared" si="101"/>
        <v>54</v>
      </c>
      <c r="L401" s="113">
        <f t="shared" si="101"/>
        <v>2479354</v>
      </c>
      <c r="M401" s="113">
        <f t="shared" si="101"/>
        <v>0</v>
      </c>
      <c r="N401" s="113">
        <f t="shared" si="101"/>
        <v>0</v>
      </c>
      <c r="O401" s="113">
        <f t="shared" si="101"/>
        <v>2479354</v>
      </c>
      <c r="P401" s="113">
        <f t="shared" si="101"/>
        <v>0</v>
      </c>
      <c r="Q401" s="114" t="s">
        <v>40</v>
      </c>
      <c r="R401" s="114" t="s">
        <v>40</v>
      </c>
      <c r="S401" s="316">
        <v>43100</v>
      </c>
    </row>
    <row r="402" spans="1:19" s="21" customFormat="1" ht="31.5">
      <c r="A402" s="308">
        <v>74</v>
      </c>
      <c r="B402" s="549" t="s">
        <v>594</v>
      </c>
      <c r="C402" s="403">
        <v>1969</v>
      </c>
      <c r="D402" s="403"/>
      <c r="E402" s="311" t="s">
        <v>218</v>
      </c>
      <c r="F402" s="403">
        <v>3</v>
      </c>
      <c r="G402" s="403">
        <v>3</v>
      </c>
      <c r="H402" s="550">
        <v>1575.1</v>
      </c>
      <c r="I402" s="550">
        <v>1438.1</v>
      </c>
      <c r="J402" s="550">
        <v>1438.1</v>
      </c>
      <c r="K402" s="551">
        <v>54</v>
      </c>
      <c r="L402" s="314">
        <v>2479354</v>
      </c>
      <c r="M402" s="314">
        <v>0</v>
      </c>
      <c r="N402" s="314">
        <v>0</v>
      </c>
      <c r="O402" s="314">
        <f>L402</f>
        <v>2479354</v>
      </c>
      <c r="P402" s="314">
        <v>0</v>
      </c>
      <c r="Q402" s="315">
        <f>L402/I402</f>
        <v>1724.0483971907379</v>
      </c>
      <c r="R402" s="315">
        <v>6774</v>
      </c>
      <c r="S402" s="316">
        <v>43100</v>
      </c>
    </row>
    <row r="403" spans="1:19" s="1" customFormat="1" ht="15.75" customHeight="1">
      <c r="A403" s="107"/>
      <c r="B403" s="1329" t="s">
        <v>110</v>
      </c>
      <c r="C403" s="1329"/>
      <c r="D403" s="1329"/>
      <c r="E403" s="1329"/>
      <c r="F403" s="1329"/>
      <c r="G403" s="1329"/>
      <c r="H403" s="128">
        <f t="shared" ref="H403:O403" si="102">SUM(H404:H404)</f>
        <v>1494</v>
      </c>
      <c r="I403" s="106">
        <f t="shared" si="102"/>
        <v>1040.8</v>
      </c>
      <c r="J403" s="106">
        <f t="shared" si="102"/>
        <v>1040.8</v>
      </c>
      <c r="K403" s="119">
        <f t="shared" si="102"/>
        <v>59</v>
      </c>
      <c r="L403" s="113">
        <f t="shared" si="102"/>
        <v>2476043</v>
      </c>
      <c r="M403" s="113">
        <f t="shared" si="102"/>
        <v>0</v>
      </c>
      <c r="N403" s="113">
        <f t="shared" si="102"/>
        <v>0</v>
      </c>
      <c r="O403" s="113">
        <f t="shared" si="102"/>
        <v>2476043</v>
      </c>
      <c r="P403" s="113">
        <v>0</v>
      </c>
      <c r="Q403" s="106" t="s">
        <v>40</v>
      </c>
      <c r="R403" s="106" t="s">
        <v>40</v>
      </c>
      <c r="S403" s="316">
        <v>43100</v>
      </c>
    </row>
    <row r="404" spans="1:19" s="1" customFormat="1" ht="15.75">
      <c r="A404" s="308">
        <f>A402+1</f>
        <v>75</v>
      </c>
      <c r="B404" s="309" t="s">
        <v>472</v>
      </c>
      <c r="C404" s="308">
        <v>1964</v>
      </c>
      <c r="D404" s="310"/>
      <c r="E404" s="311" t="s">
        <v>473</v>
      </c>
      <c r="F404" s="310">
        <v>3</v>
      </c>
      <c r="G404" s="310">
        <v>3</v>
      </c>
      <c r="H404" s="312">
        <v>1494</v>
      </c>
      <c r="I404" s="310">
        <v>1040.8</v>
      </c>
      <c r="J404" s="310">
        <v>1040.8</v>
      </c>
      <c r="K404" s="313">
        <v>59</v>
      </c>
      <c r="L404" s="314">
        <v>2476043</v>
      </c>
      <c r="M404" s="314">
        <v>0</v>
      </c>
      <c r="N404" s="314">
        <v>0</v>
      </c>
      <c r="O404" s="314">
        <v>2476043</v>
      </c>
      <c r="P404" s="314">
        <v>0</v>
      </c>
      <c r="Q404" s="315">
        <f>L404/I404</f>
        <v>2378.9805918524212</v>
      </c>
      <c r="R404" s="315">
        <v>7822</v>
      </c>
      <c r="S404" s="316">
        <v>43100</v>
      </c>
    </row>
    <row r="405" spans="1:19" s="1" customFormat="1" ht="15.6" customHeight="1">
      <c r="A405" s="308"/>
      <c r="B405" s="1380" t="s">
        <v>128</v>
      </c>
      <c r="C405" s="1380"/>
      <c r="D405" s="1380"/>
      <c r="E405" s="1380"/>
      <c r="F405" s="1381"/>
      <c r="G405" s="1381"/>
      <c r="H405" s="796">
        <f>SUM(H406:H409)</f>
        <v>13933</v>
      </c>
      <c r="I405" s="796">
        <f t="shared" ref="I405:P405" si="103">SUM(I406:I409)</f>
        <v>12244</v>
      </c>
      <c r="J405" s="796">
        <f t="shared" si="103"/>
        <v>11051.5</v>
      </c>
      <c r="K405" s="796">
        <f t="shared" si="103"/>
        <v>553</v>
      </c>
      <c r="L405" s="797">
        <f t="shared" si="103"/>
        <v>11027716</v>
      </c>
      <c r="M405" s="797">
        <f t="shared" si="103"/>
        <v>0</v>
      </c>
      <c r="N405" s="797">
        <f t="shared" si="103"/>
        <v>0</v>
      </c>
      <c r="O405" s="797">
        <f t="shared" si="103"/>
        <v>11027716</v>
      </c>
      <c r="P405" s="797">
        <f t="shared" si="103"/>
        <v>0</v>
      </c>
      <c r="Q405" s="796" t="s">
        <v>40</v>
      </c>
      <c r="R405" s="730" t="s">
        <v>40</v>
      </c>
      <c r="S405" s="316">
        <v>43100</v>
      </c>
    </row>
    <row r="406" spans="1:19" s="59" customFormat="1" ht="22.9" customHeight="1">
      <c r="A406" s="308">
        <v>76</v>
      </c>
      <c r="B406" s="337" t="s">
        <v>721</v>
      </c>
      <c r="C406" s="308">
        <v>1977</v>
      </c>
      <c r="D406" s="310"/>
      <c r="E406" s="685" t="s">
        <v>219</v>
      </c>
      <c r="F406" s="798">
        <v>5</v>
      </c>
      <c r="G406" s="798">
        <v>4</v>
      </c>
      <c r="H406" s="799">
        <v>3299.5</v>
      </c>
      <c r="I406" s="799">
        <v>3053.5</v>
      </c>
      <c r="J406" s="799">
        <v>2987.3</v>
      </c>
      <c r="K406" s="798">
        <v>133</v>
      </c>
      <c r="L406" s="800">
        <v>2009466</v>
      </c>
      <c r="M406" s="800">
        <v>0</v>
      </c>
      <c r="N406" s="800">
        <v>0</v>
      </c>
      <c r="O406" s="800">
        <f>L406</f>
        <v>2009466</v>
      </c>
      <c r="P406" s="800">
        <v>0</v>
      </c>
      <c r="Q406" s="800">
        <f t="shared" ref="Q406:Q409" si="104">L406/I406</f>
        <v>658.08613066972327</v>
      </c>
      <c r="R406" s="800">
        <v>7822</v>
      </c>
      <c r="S406" s="612">
        <v>43100</v>
      </c>
    </row>
    <row r="407" spans="1:19" s="59" customFormat="1" ht="31.5">
      <c r="A407" s="308">
        <v>77</v>
      </c>
      <c r="B407" s="337" t="s">
        <v>722</v>
      </c>
      <c r="C407" s="308">
        <v>1959</v>
      </c>
      <c r="D407" s="310"/>
      <c r="E407" s="685" t="s">
        <v>218</v>
      </c>
      <c r="F407" s="798">
        <v>2</v>
      </c>
      <c r="G407" s="798">
        <v>2</v>
      </c>
      <c r="H407" s="799">
        <v>515</v>
      </c>
      <c r="I407" s="799">
        <v>459.4</v>
      </c>
      <c r="J407" s="799">
        <v>459.4</v>
      </c>
      <c r="K407" s="798">
        <v>15</v>
      </c>
      <c r="L407" s="800">
        <v>1709729</v>
      </c>
      <c r="M407" s="800">
        <v>0</v>
      </c>
      <c r="N407" s="800">
        <v>0</v>
      </c>
      <c r="O407" s="800">
        <f t="shared" ref="O407:O409" si="105">L407</f>
        <v>1709729</v>
      </c>
      <c r="P407" s="800">
        <v>0</v>
      </c>
      <c r="Q407" s="800">
        <f t="shared" si="104"/>
        <v>3721.6565084893341</v>
      </c>
      <c r="R407" s="800">
        <v>7822</v>
      </c>
      <c r="S407" s="612">
        <v>43100</v>
      </c>
    </row>
    <row r="408" spans="1:19" s="59" customFormat="1" ht="31.9" customHeight="1">
      <c r="A408" s="308">
        <v>78</v>
      </c>
      <c r="B408" s="337" t="s">
        <v>723</v>
      </c>
      <c r="C408" s="308">
        <v>1989</v>
      </c>
      <c r="D408" s="310"/>
      <c r="E408" s="685" t="s">
        <v>219</v>
      </c>
      <c r="F408" s="798">
        <v>5</v>
      </c>
      <c r="G408" s="798">
        <v>7</v>
      </c>
      <c r="H408" s="799">
        <v>5924.3</v>
      </c>
      <c r="I408" s="799">
        <v>5373.7</v>
      </c>
      <c r="J408" s="799">
        <v>4875.2</v>
      </c>
      <c r="K408" s="798">
        <v>217</v>
      </c>
      <c r="L408" s="800">
        <v>4267870</v>
      </c>
      <c r="M408" s="800">
        <v>0</v>
      </c>
      <c r="N408" s="800">
        <v>0</v>
      </c>
      <c r="O408" s="800">
        <f t="shared" si="105"/>
        <v>4267870</v>
      </c>
      <c r="P408" s="800">
        <v>0</v>
      </c>
      <c r="Q408" s="800">
        <f t="shared" si="104"/>
        <v>794.21441464912448</v>
      </c>
      <c r="R408" s="800">
        <v>7822</v>
      </c>
      <c r="S408" s="612">
        <v>43100</v>
      </c>
    </row>
    <row r="409" spans="1:19" s="59" customFormat="1" ht="31.5">
      <c r="A409" s="308">
        <v>79</v>
      </c>
      <c r="B409" s="337" t="s">
        <v>724</v>
      </c>
      <c r="C409" s="308">
        <v>1980</v>
      </c>
      <c r="D409" s="310"/>
      <c r="E409" s="685" t="s">
        <v>218</v>
      </c>
      <c r="F409" s="798">
        <v>5</v>
      </c>
      <c r="G409" s="798">
        <v>2</v>
      </c>
      <c r="H409" s="799">
        <v>4194.2</v>
      </c>
      <c r="I409" s="799">
        <v>3357.4</v>
      </c>
      <c r="J409" s="799">
        <v>2729.6</v>
      </c>
      <c r="K409" s="798">
        <v>188</v>
      </c>
      <c r="L409" s="800">
        <v>3040651</v>
      </c>
      <c r="M409" s="800">
        <v>0</v>
      </c>
      <c r="N409" s="800">
        <v>0</v>
      </c>
      <c r="O409" s="800">
        <f t="shared" si="105"/>
        <v>3040651</v>
      </c>
      <c r="P409" s="800">
        <v>0</v>
      </c>
      <c r="Q409" s="800">
        <f t="shared" si="104"/>
        <v>905.65646035622797</v>
      </c>
      <c r="R409" s="800">
        <v>7822</v>
      </c>
      <c r="S409" s="612">
        <v>43100</v>
      </c>
    </row>
    <row r="410" spans="1:19" s="59" customFormat="1" ht="15.75">
      <c r="A410" s="308"/>
      <c r="B410" s="337"/>
      <c r="C410" s="308"/>
      <c r="D410" s="310"/>
      <c r="E410" s="311"/>
      <c r="F410" s="629"/>
      <c r="G410" s="629"/>
      <c r="H410" s="629"/>
      <c r="I410" s="630"/>
      <c r="J410" s="629"/>
      <c r="K410" s="629"/>
      <c r="L410" s="614"/>
      <c r="M410" s="614"/>
      <c r="N410" s="614"/>
      <c r="O410" s="614"/>
      <c r="P410" s="614"/>
      <c r="Q410" s="615"/>
      <c r="R410" s="615"/>
      <c r="S410" s="316"/>
    </row>
    <row r="411" spans="1:19" s="59" customFormat="1" ht="15.75">
      <c r="A411" s="308"/>
      <c r="B411" s="337"/>
      <c r="C411" s="308"/>
      <c r="D411" s="310"/>
      <c r="E411" s="311"/>
      <c r="F411" s="310"/>
      <c r="G411" s="310"/>
      <c r="H411" s="310"/>
      <c r="I411" s="346"/>
      <c r="J411" s="310"/>
      <c r="K411" s="310"/>
      <c r="L411" s="314"/>
      <c r="M411" s="314"/>
      <c r="N411" s="314"/>
      <c r="O411" s="314"/>
      <c r="P411" s="314"/>
      <c r="Q411" s="315"/>
      <c r="R411" s="315"/>
      <c r="S411" s="316"/>
    </row>
    <row r="412" spans="1:19" s="59" customFormat="1" ht="24" customHeight="1">
      <c r="A412" s="308"/>
      <c r="B412" s="1377" t="s">
        <v>668</v>
      </c>
      <c r="C412" s="1378"/>
      <c r="D412" s="1378"/>
      <c r="E412" s="1378"/>
      <c r="F412" s="1378"/>
      <c r="G412" s="1379"/>
      <c r="H412" s="310">
        <f>H413+H414</f>
        <v>5520.2</v>
      </c>
      <c r="I412" s="310">
        <f t="shared" ref="I412:P412" si="106">I413+I414</f>
        <v>4958.3599999999997</v>
      </c>
      <c r="J412" s="310">
        <f t="shared" si="106"/>
        <v>4941.46</v>
      </c>
      <c r="K412" s="310">
        <f t="shared" si="106"/>
        <v>173</v>
      </c>
      <c r="L412" s="709">
        <f t="shared" si="106"/>
        <v>4521219</v>
      </c>
      <c r="M412" s="709">
        <f t="shared" si="106"/>
        <v>0</v>
      </c>
      <c r="N412" s="709">
        <f t="shared" si="106"/>
        <v>0</v>
      </c>
      <c r="O412" s="709">
        <f t="shared" si="106"/>
        <v>4521219</v>
      </c>
      <c r="P412" s="709">
        <f t="shared" si="106"/>
        <v>0</v>
      </c>
      <c r="Q412" s="350" t="s">
        <v>40</v>
      </c>
      <c r="R412" s="315" t="s">
        <v>40</v>
      </c>
      <c r="S412" s="316">
        <v>43100</v>
      </c>
    </row>
    <row r="413" spans="1:19" s="59" customFormat="1" ht="24" customHeight="1">
      <c r="A413" s="308">
        <v>80</v>
      </c>
      <c r="B413" s="710" t="s">
        <v>669</v>
      </c>
      <c r="C413" s="308">
        <v>1974</v>
      </c>
      <c r="D413" s="308"/>
      <c r="E413" s="308" t="s">
        <v>219</v>
      </c>
      <c r="F413" s="308">
        <v>5</v>
      </c>
      <c r="G413" s="308">
        <v>6</v>
      </c>
      <c r="H413" s="310">
        <v>4829</v>
      </c>
      <c r="I413" s="346">
        <v>4323.96</v>
      </c>
      <c r="J413" s="310">
        <v>4307.0600000000004</v>
      </c>
      <c r="K413" s="310">
        <v>141</v>
      </c>
      <c r="L413" s="314">
        <v>2857112</v>
      </c>
      <c r="M413" s="314">
        <v>0</v>
      </c>
      <c r="N413" s="314">
        <v>0</v>
      </c>
      <c r="O413" s="314">
        <v>2857112</v>
      </c>
      <c r="P413" s="314">
        <v>0</v>
      </c>
      <c r="Q413" s="315">
        <f t="shared" ref="Q413:Q414" si="107">L413/I413</f>
        <v>660.76281926752324</v>
      </c>
      <c r="R413" s="315">
        <v>7822</v>
      </c>
      <c r="S413" s="316">
        <v>43100</v>
      </c>
    </row>
    <row r="414" spans="1:19" s="59" customFormat="1" ht="31.5">
      <c r="A414" s="308">
        <v>81</v>
      </c>
      <c r="B414" s="337" t="s">
        <v>670</v>
      </c>
      <c r="C414" s="308">
        <v>1961</v>
      </c>
      <c r="D414" s="310"/>
      <c r="E414" s="311" t="s">
        <v>218</v>
      </c>
      <c r="F414" s="310">
        <v>2</v>
      </c>
      <c r="G414" s="310">
        <v>2</v>
      </c>
      <c r="H414" s="310">
        <v>691.2</v>
      </c>
      <c r="I414" s="346">
        <v>634.4</v>
      </c>
      <c r="J414" s="310">
        <v>634.4</v>
      </c>
      <c r="K414" s="310">
        <v>32</v>
      </c>
      <c r="L414" s="314">
        <v>1664107</v>
      </c>
      <c r="M414" s="314">
        <v>0</v>
      </c>
      <c r="N414" s="314">
        <v>0</v>
      </c>
      <c r="O414" s="314">
        <v>1664107</v>
      </c>
      <c r="P414" s="314">
        <v>0</v>
      </c>
      <c r="Q414" s="315">
        <f t="shared" si="107"/>
        <v>2623.1194829760407</v>
      </c>
      <c r="R414" s="315">
        <v>7822</v>
      </c>
      <c r="S414" s="316">
        <v>43100</v>
      </c>
    </row>
    <row r="415" spans="1:19" s="1" customFormat="1" ht="15.75">
      <c r="A415" s="107"/>
      <c r="B415" s="1336" t="s">
        <v>994</v>
      </c>
      <c r="C415" s="1336"/>
      <c r="D415" s="1336"/>
      <c r="E415" s="1336"/>
      <c r="F415" s="1336"/>
      <c r="G415" s="1336"/>
      <c r="H415" s="128">
        <f>H416</f>
        <v>625.9</v>
      </c>
      <c r="I415" s="106">
        <f t="shared" ref="I415:N415" si="108">I416</f>
        <v>625.9</v>
      </c>
      <c r="J415" s="106">
        <f t="shared" si="108"/>
        <v>526.9</v>
      </c>
      <c r="K415" s="119">
        <f t="shared" si="108"/>
        <v>32</v>
      </c>
      <c r="L415" s="113">
        <f t="shared" si="108"/>
        <v>1540610</v>
      </c>
      <c r="M415" s="113">
        <f t="shared" si="108"/>
        <v>0</v>
      </c>
      <c r="N415" s="113">
        <f t="shared" si="108"/>
        <v>225510.7</v>
      </c>
      <c r="O415" s="113">
        <f>O416</f>
        <v>1315099.3</v>
      </c>
      <c r="P415" s="113">
        <v>0</v>
      </c>
      <c r="Q415" s="106" t="s">
        <v>40</v>
      </c>
      <c r="R415" s="114" t="s">
        <v>40</v>
      </c>
      <c r="S415" s="316">
        <v>43100</v>
      </c>
    </row>
    <row r="416" spans="1:19" s="1" customFormat="1" ht="31.5">
      <c r="A416" s="107"/>
      <c r="B416" s="943" t="s">
        <v>995</v>
      </c>
      <c r="C416" s="118">
        <v>1963</v>
      </c>
      <c r="D416" s="260"/>
      <c r="E416" s="109" t="s">
        <v>218</v>
      </c>
      <c r="F416" s="118">
        <v>2</v>
      </c>
      <c r="G416" s="118">
        <v>2</v>
      </c>
      <c r="H416" s="128">
        <v>625.9</v>
      </c>
      <c r="I416" s="106">
        <v>625.9</v>
      </c>
      <c r="J416" s="106">
        <v>526.9</v>
      </c>
      <c r="K416" s="119">
        <v>32</v>
      </c>
      <c r="L416" s="113">
        <v>1540610</v>
      </c>
      <c r="M416" s="113">
        <v>0</v>
      </c>
      <c r="N416" s="113">
        <v>225510.7</v>
      </c>
      <c r="O416" s="113">
        <v>1315099.3</v>
      </c>
      <c r="P416" s="113">
        <v>0</v>
      </c>
      <c r="Q416" s="106">
        <f>L416/I416</f>
        <v>2461.4315385844384</v>
      </c>
      <c r="R416" s="114">
        <v>7822</v>
      </c>
      <c r="S416" s="316">
        <v>43100</v>
      </c>
    </row>
    <row r="417" spans="1:19" s="1" customFormat="1" ht="15.75" customHeight="1">
      <c r="A417" s="107"/>
      <c r="B417" s="1329" t="s">
        <v>111</v>
      </c>
      <c r="C417" s="1329"/>
      <c r="D417" s="1329"/>
      <c r="E417" s="1329"/>
      <c r="F417" s="1329"/>
      <c r="G417" s="1329"/>
      <c r="H417" s="128">
        <f>H418</f>
        <v>533.5</v>
      </c>
      <c r="I417" s="128">
        <f t="shared" ref="I417:J417" si="109">I418</f>
        <v>525.5</v>
      </c>
      <c r="J417" s="128">
        <f t="shared" si="109"/>
        <v>294.10000000000002</v>
      </c>
      <c r="K417" s="119">
        <f>K418</f>
        <v>54</v>
      </c>
      <c r="L417" s="113">
        <f>L418</f>
        <v>657835.92000000004</v>
      </c>
      <c r="M417" s="113">
        <f t="shared" ref="M417:N417" si="110">M418</f>
        <v>0</v>
      </c>
      <c r="N417" s="113">
        <f t="shared" si="110"/>
        <v>146321.84</v>
      </c>
      <c r="O417" s="113">
        <f t="shared" ref="O417" si="111">O418</f>
        <v>511514.08</v>
      </c>
      <c r="P417" s="113">
        <f t="shared" ref="P417" si="112">P418</f>
        <v>0</v>
      </c>
      <c r="Q417" s="106" t="s">
        <v>40</v>
      </c>
      <c r="R417" s="106" t="s">
        <v>40</v>
      </c>
      <c r="S417" s="316">
        <v>43100</v>
      </c>
    </row>
    <row r="418" spans="1:19" s="1" customFormat="1" ht="31.5">
      <c r="A418" s="107"/>
      <c r="B418" s="261" t="s">
        <v>420</v>
      </c>
      <c r="C418" s="269">
        <v>1967</v>
      </c>
      <c r="D418" s="260"/>
      <c r="E418" s="109" t="s">
        <v>218</v>
      </c>
      <c r="F418" s="118">
        <v>2</v>
      </c>
      <c r="G418" s="118">
        <v>2</v>
      </c>
      <c r="H418" s="128">
        <v>533.5</v>
      </c>
      <c r="I418" s="106">
        <v>525.5</v>
      </c>
      <c r="J418" s="106">
        <v>294.10000000000002</v>
      </c>
      <c r="K418" s="119">
        <v>54</v>
      </c>
      <c r="L418" s="113">
        <v>657835.92000000004</v>
      </c>
      <c r="M418" s="113">
        <v>0</v>
      </c>
      <c r="N418" s="113">
        <v>146321.84</v>
      </c>
      <c r="O418" s="113">
        <v>511514.08</v>
      </c>
      <c r="P418" s="113">
        <v>0</v>
      </c>
      <c r="Q418" s="106">
        <f>L417/I418</f>
        <v>1251.828582302569</v>
      </c>
      <c r="R418" s="114">
        <v>6774</v>
      </c>
      <c r="S418" s="316">
        <v>43100</v>
      </c>
    </row>
    <row r="419" spans="1:19" s="1" customFormat="1" ht="15.75">
      <c r="A419" s="308"/>
      <c r="B419" s="1382" t="s">
        <v>129</v>
      </c>
      <c r="C419" s="1382"/>
      <c r="D419" s="1382"/>
      <c r="E419" s="1382"/>
      <c r="F419" s="1382"/>
      <c r="G419" s="1382"/>
      <c r="H419" s="347">
        <f>SUM(H420:H421)</f>
        <v>1150.0999999999999</v>
      </c>
      <c r="I419" s="347">
        <f t="shared" ref="I419:P419" si="113">SUM(I420:I421)</f>
        <v>1053.5</v>
      </c>
      <c r="J419" s="347">
        <f t="shared" si="113"/>
        <v>1053.5</v>
      </c>
      <c r="K419" s="347">
        <f t="shared" si="113"/>
        <v>58</v>
      </c>
      <c r="L419" s="670">
        <f t="shared" si="113"/>
        <v>1473433</v>
      </c>
      <c r="M419" s="670">
        <f t="shared" si="113"/>
        <v>0</v>
      </c>
      <c r="N419" s="670">
        <f t="shared" si="113"/>
        <v>0</v>
      </c>
      <c r="O419" s="670">
        <f t="shared" si="113"/>
        <v>1473433</v>
      </c>
      <c r="P419" s="670">
        <f t="shared" si="113"/>
        <v>0</v>
      </c>
      <c r="Q419" s="350" t="s">
        <v>40</v>
      </c>
      <c r="R419" s="315" t="s">
        <v>40</v>
      </c>
      <c r="S419" s="316">
        <v>43100</v>
      </c>
    </row>
    <row r="420" spans="1:19" s="59" customFormat="1" ht="31.5">
      <c r="A420" s="308">
        <v>82</v>
      </c>
      <c r="B420" s="337" t="s">
        <v>680</v>
      </c>
      <c r="C420" s="310">
        <v>1964</v>
      </c>
      <c r="D420" s="310"/>
      <c r="E420" s="311" t="s">
        <v>218</v>
      </c>
      <c r="F420" s="310">
        <v>2</v>
      </c>
      <c r="G420" s="310">
        <v>2</v>
      </c>
      <c r="H420" s="308">
        <v>571.29999999999995</v>
      </c>
      <c r="I420" s="310">
        <v>522.9</v>
      </c>
      <c r="J420" s="310">
        <v>522.9</v>
      </c>
      <c r="K420" s="310">
        <v>29</v>
      </c>
      <c r="L420" s="314">
        <v>734707</v>
      </c>
      <c r="M420" s="314">
        <v>0</v>
      </c>
      <c r="N420" s="314">
        <v>0</v>
      </c>
      <c r="O420" s="314">
        <v>734707</v>
      </c>
      <c r="P420" s="314">
        <v>0</v>
      </c>
      <c r="Q420" s="315">
        <f>L420/I420</f>
        <v>1405.0621533754065</v>
      </c>
      <c r="R420" s="315">
        <v>7822</v>
      </c>
      <c r="S420" s="316">
        <v>43100</v>
      </c>
    </row>
    <row r="421" spans="1:19" s="59" customFormat="1" ht="31.5">
      <c r="A421" s="308">
        <v>83</v>
      </c>
      <c r="B421" s="337" t="s">
        <v>681</v>
      </c>
      <c r="C421" s="310">
        <v>1964</v>
      </c>
      <c r="D421" s="310"/>
      <c r="E421" s="311" t="s">
        <v>218</v>
      </c>
      <c r="F421" s="310">
        <v>2</v>
      </c>
      <c r="G421" s="310">
        <v>2</v>
      </c>
      <c r="H421" s="310">
        <v>578.79999999999995</v>
      </c>
      <c r="I421" s="310">
        <v>530.6</v>
      </c>
      <c r="J421" s="310">
        <v>530.6</v>
      </c>
      <c r="K421" s="310">
        <v>29</v>
      </c>
      <c r="L421" s="314">
        <v>738726</v>
      </c>
      <c r="M421" s="314">
        <v>0</v>
      </c>
      <c r="N421" s="314">
        <v>0</v>
      </c>
      <c r="O421" s="314">
        <v>738726</v>
      </c>
      <c r="P421" s="314">
        <v>0</v>
      </c>
      <c r="Q421" s="315">
        <f t="shared" ref="Q421" si="114">L421/I421</f>
        <v>1392.2465133810779</v>
      </c>
      <c r="R421" s="315">
        <v>7822</v>
      </c>
      <c r="S421" s="316">
        <v>43100</v>
      </c>
    </row>
    <row r="422" spans="1:19" s="59" customFormat="1" ht="15.75">
      <c r="A422" s="308"/>
      <c r="B422" s="337"/>
      <c r="C422" s="310"/>
      <c r="D422" s="310"/>
      <c r="E422" s="311"/>
      <c r="F422" s="310"/>
      <c r="G422" s="310"/>
      <c r="H422" s="310"/>
      <c r="I422" s="310"/>
      <c r="J422" s="310"/>
      <c r="K422" s="310"/>
      <c r="L422" s="314"/>
      <c r="M422" s="314"/>
      <c r="N422" s="314"/>
      <c r="O422" s="314"/>
      <c r="P422" s="314"/>
      <c r="Q422" s="315"/>
      <c r="R422" s="315"/>
      <c r="S422" s="316"/>
    </row>
    <row r="423" spans="1:19" s="59" customFormat="1" ht="15.75">
      <c r="A423" s="308"/>
      <c r="B423" s="337"/>
      <c r="C423" s="310"/>
      <c r="D423" s="310"/>
      <c r="E423" s="311"/>
      <c r="F423" s="310"/>
      <c r="G423" s="310"/>
      <c r="H423" s="310"/>
      <c r="I423" s="310"/>
      <c r="J423" s="310"/>
      <c r="K423" s="310"/>
      <c r="L423" s="314"/>
      <c r="M423" s="314"/>
      <c r="N423" s="314"/>
      <c r="O423" s="314"/>
      <c r="P423" s="314"/>
      <c r="Q423" s="315"/>
      <c r="R423" s="315"/>
      <c r="S423" s="316"/>
    </row>
    <row r="424" spans="1:19" s="1" customFormat="1" ht="15.75">
      <c r="A424" s="107"/>
      <c r="B424" s="1336" t="s">
        <v>54</v>
      </c>
      <c r="C424" s="1336"/>
      <c r="D424" s="1336"/>
      <c r="E424" s="1336"/>
      <c r="F424" s="1336"/>
      <c r="G424" s="1336"/>
      <c r="H424" s="128">
        <f>H425</f>
        <v>1983</v>
      </c>
      <c r="I424" s="106">
        <f t="shared" ref="I424:P424" si="115">I425</f>
        <v>1780.1</v>
      </c>
      <c r="J424" s="106">
        <f t="shared" si="115"/>
        <v>1780.1</v>
      </c>
      <c r="K424" s="119">
        <f t="shared" si="115"/>
        <v>80</v>
      </c>
      <c r="L424" s="113">
        <f t="shared" si="115"/>
        <v>2222747</v>
      </c>
      <c r="M424" s="113">
        <f t="shared" si="115"/>
        <v>0</v>
      </c>
      <c r="N424" s="113">
        <f t="shared" si="115"/>
        <v>0</v>
      </c>
      <c r="O424" s="113">
        <f t="shared" si="115"/>
        <v>2222747</v>
      </c>
      <c r="P424" s="113">
        <f t="shared" si="115"/>
        <v>0</v>
      </c>
      <c r="Q424" s="106" t="s">
        <v>40</v>
      </c>
      <c r="R424" s="106" t="s">
        <v>40</v>
      </c>
      <c r="S424" s="316">
        <v>43100</v>
      </c>
    </row>
    <row r="425" spans="1:19" s="1" customFormat="1" ht="15.75" customHeight="1">
      <c r="A425" s="107"/>
      <c r="B425" s="1329" t="s">
        <v>112</v>
      </c>
      <c r="C425" s="1329"/>
      <c r="D425" s="1329"/>
      <c r="E425" s="1329"/>
      <c r="F425" s="1329"/>
      <c r="G425" s="1329"/>
      <c r="H425" s="128">
        <f>SUM(H426:H428)</f>
        <v>1983</v>
      </c>
      <c r="I425" s="106">
        <f t="shared" ref="I425:P425" si="116">SUM(I426:I428)</f>
        <v>1780.1</v>
      </c>
      <c r="J425" s="106">
        <f t="shared" si="116"/>
        <v>1780.1</v>
      </c>
      <c r="K425" s="119">
        <f t="shared" si="116"/>
        <v>80</v>
      </c>
      <c r="L425" s="113">
        <f t="shared" si="116"/>
        <v>2222747</v>
      </c>
      <c r="M425" s="113">
        <f t="shared" si="116"/>
        <v>0</v>
      </c>
      <c r="N425" s="113">
        <f t="shared" si="116"/>
        <v>0</v>
      </c>
      <c r="O425" s="113">
        <f t="shared" si="116"/>
        <v>2222747</v>
      </c>
      <c r="P425" s="113">
        <f t="shared" si="116"/>
        <v>0</v>
      </c>
      <c r="Q425" s="106" t="s">
        <v>40</v>
      </c>
      <c r="R425" s="106" t="s">
        <v>40</v>
      </c>
      <c r="S425" s="316">
        <v>43100</v>
      </c>
    </row>
    <row r="426" spans="1:19" s="35" customFormat="1" ht="31.5">
      <c r="A426" s="107"/>
      <c r="B426" s="262" t="s">
        <v>422</v>
      </c>
      <c r="C426" s="107">
        <v>1972</v>
      </c>
      <c r="D426" s="173"/>
      <c r="E426" s="109" t="s">
        <v>218</v>
      </c>
      <c r="F426" s="108">
        <v>2</v>
      </c>
      <c r="G426" s="108">
        <v>2</v>
      </c>
      <c r="H426" s="111">
        <v>778.9</v>
      </c>
      <c r="I426" s="126">
        <v>719.8</v>
      </c>
      <c r="J426" s="126">
        <v>719.8</v>
      </c>
      <c r="K426" s="112">
        <v>27</v>
      </c>
      <c r="L426" s="113">
        <v>1003542</v>
      </c>
      <c r="M426" s="113">
        <v>0</v>
      </c>
      <c r="N426" s="113">
        <v>0</v>
      </c>
      <c r="O426" s="113">
        <f>L426</f>
        <v>1003542</v>
      </c>
      <c r="P426" s="113">
        <v>0</v>
      </c>
      <c r="Q426" s="114">
        <f>L426/I426</f>
        <v>1394.1956098916366</v>
      </c>
      <c r="R426" s="114">
        <v>6774</v>
      </c>
      <c r="S426" s="316">
        <v>43100</v>
      </c>
    </row>
    <row r="427" spans="1:19" s="35" customFormat="1" ht="31.5">
      <c r="A427" s="107"/>
      <c r="B427" s="262" t="s">
        <v>421</v>
      </c>
      <c r="C427" s="177">
        <v>1980</v>
      </c>
      <c r="D427" s="178"/>
      <c r="E427" s="109" t="s">
        <v>218</v>
      </c>
      <c r="F427" s="108">
        <v>3</v>
      </c>
      <c r="G427" s="108">
        <v>2</v>
      </c>
      <c r="H427" s="111">
        <v>928.6</v>
      </c>
      <c r="I427" s="126">
        <v>843.2</v>
      </c>
      <c r="J427" s="126">
        <v>843.2</v>
      </c>
      <c r="K427" s="112">
        <v>39</v>
      </c>
      <c r="L427" s="113">
        <v>740146</v>
      </c>
      <c r="M427" s="113">
        <v>0</v>
      </c>
      <c r="N427" s="113">
        <v>0</v>
      </c>
      <c r="O427" s="113">
        <f>L427</f>
        <v>740146</v>
      </c>
      <c r="P427" s="113">
        <v>0</v>
      </c>
      <c r="Q427" s="114">
        <f>L427/I427</f>
        <v>877.7822580645161</v>
      </c>
      <c r="R427" s="114">
        <v>6774</v>
      </c>
      <c r="S427" s="316">
        <v>43100</v>
      </c>
    </row>
    <row r="428" spans="1:19" s="35" customFormat="1" ht="15.75">
      <c r="A428" s="107"/>
      <c r="B428" s="262" t="s">
        <v>423</v>
      </c>
      <c r="C428" s="108">
        <v>1965</v>
      </c>
      <c r="D428" s="173"/>
      <c r="E428" s="109" t="s">
        <v>221</v>
      </c>
      <c r="F428" s="108">
        <v>2</v>
      </c>
      <c r="G428" s="108">
        <v>2</v>
      </c>
      <c r="H428" s="111">
        <v>275.5</v>
      </c>
      <c r="I428" s="126">
        <v>217.1</v>
      </c>
      <c r="J428" s="126">
        <v>217.1</v>
      </c>
      <c r="K428" s="112">
        <v>14</v>
      </c>
      <c r="L428" s="113">
        <v>479059</v>
      </c>
      <c r="M428" s="113">
        <v>0</v>
      </c>
      <c r="N428" s="113">
        <v>0</v>
      </c>
      <c r="O428" s="113">
        <f>L428</f>
        <v>479059</v>
      </c>
      <c r="P428" s="113">
        <v>0</v>
      </c>
      <c r="Q428" s="114">
        <f>L428/I428</f>
        <v>2206.6282818977429</v>
      </c>
      <c r="R428" s="114">
        <v>6774</v>
      </c>
      <c r="S428" s="316">
        <v>43100</v>
      </c>
    </row>
    <row r="429" spans="1:19" s="1" customFormat="1" ht="15.75">
      <c r="A429" s="107"/>
      <c r="B429" s="1336" t="s">
        <v>55</v>
      </c>
      <c r="C429" s="1336"/>
      <c r="D429" s="1336"/>
      <c r="E429" s="1336"/>
      <c r="F429" s="1336"/>
      <c r="G429" s="1336"/>
      <c r="H429" s="128">
        <f>H430</f>
        <v>912.1</v>
      </c>
      <c r="I429" s="106">
        <f t="shared" ref="I429:R429" si="117">I430</f>
        <v>794.9</v>
      </c>
      <c r="J429" s="106">
        <f t="shared" si="117"/>
        <v>679.2</v>
      </c>
      <c r="K429" s="119">
        <f t="shared" si="117"/>
        <v>39</v>
      </c>
      <c r="L429" s="113">
        <f t="shared" si="117"/>
        <v>2809430</v>
      </c>
      <c r="M429" s="113">
        <f t="shared" si="117"/>
        <v>0</v>
      </c>
      <c r="N429" s="113">
        <f t="shared" si="117"/>
        <v>0</v>
      </c>
      <c r="O429" s="113">
        <f t="shared" si="117"/>
        <v>2809430</v>
      </c>
      <c r="P429" s="113">
        <f t="shared" si="117"/>
        <v>0</v>
      </c>
      <c r="Q429" s="106" t="str">
        <f t="shared" si="117"/>
        <v>Х</v>
      </c>
      <c r="R429" s="106" t="str">
        <f t="shared" si="117"/>
        <v>Х</v>
      </c>
      <c r="S429" s="316">
        <v>43100</v>
      </c>
    </row>
    <row r="430" spans="1:19" s="1" customFormat="1" ht="15.75">
      <c r="A430" s="107"/>
      <c r="B430" s="1336" t="s">
        <v>122</v>
      </c>
      <c r="C430" s="1336"/>
      <c r="D430" s="1336"/>
      <c r="E430" s="1336"/>
      <c r="F430" s="1336"/>
      <c r="G430" s="1336"/>
      <c r="H430" s="128">
        <f>SUM(H431:H432)</f>
        <v>912.1</v>
      </c>
      <c r="I430" s="128">
        <f t="shared" ref="I430:P430" si="118">SUM(I431:I432)</f>
        <v>794.9</v>
      </c>
      <c r="J430" s="128">
        <f t="shared" si="118"/>
        <v>679.2</v>
      </c>
      <c r="K430" s="128">
        <f t="shared" si="118"/>
        <v>39</v>
      </c>
      <c r="L430" s="366">
        <f t="shared" si="118"/>
        <v>2809430</v>
      </c>
      <c r="M430" s="366">
        <f t="shared" si="118"/>
        <v>0</v>
      </c>
      <c r="N430" s="366">
        <f t="shared" si="118"/>
        <v>0</v>
      </c>
      <c r="O430" s="366">
        <f t="shared" si="118"/>
        <v>2809430</v>
      </c>
      <c r="P430" s="366">
        <f t="shared" si="118"/>
        <v>0</v>
      </c>
      <c r="Q430" s="106" t="s">
        <v>40</v>
      </c>
      <c r="R430" s="114" t="s">
        <v>40</v>
      </c>
      <c r="S430" s="316">
        <v>43100</v>
      </c>
    </row>
    <row r="431" spans="1:19" s="1" customFormat="1" ht="31.5">
      <c r="A431" s="308">
        <v>84</v>
      </c>
      <c r="B431" s="337" t="s">
        <v>598</v>
      </c>
      <c r="C431" s="553" t="s">
        <v>600</v>
      </c>
      <c r="D431" s="310"/>
      <c r="E431" s="311" t="s">
        <v>218</v>
      </c>
      <c r="F431" s="310">
        <v>2</v>
      </c>
      <c r="G431" s="310">
        <v>2</v>
      </c>
      <c r="H431" s="312">
        <v>542.5</v>
      </c>
      <c r="I431" s="315">
        <v>490.5</v>
      </c>
      <c r="J431" s="315">
        <v>460.2</v>
      </c>
      <c r="K431" s="313">
        <v>16</v>
      </c>
      <c r="L431" s="314">
        <v>1550741</v>
      </c>
      <c r="M431" s="314">
        <v>0</v>
      </c>
      <c r="N431" s="314">
        <v>0</v>
      </c>
      <c r="O431" s="314">
        <v>1550741</v>
      </c>
      <c r="P431" s="314">
        <v>0</v>
      </c>
      <c r="Q431" s="315">
        <f>L431/I431</f>
        <v>3161.5514780835883</v>
      </c>
      <c r="R431" s="315">
        <v>7822</v>
      </c>
      <c r="S431" s="316">
        <v>43100</v>
      </c>
    </row>
    <row r="432" spans="1:19" s="1" customFormat="1" ht="31.5">
      <c r="A432" s="308">
        <v>85</v>
      </c>
      <c r="B432" s="337" t="s">
        <v>599</v>
      </c>
      <c r="C432" s="553" t="s">
        <v>601</v>
      </c>
      <c r="D432" s="310"/>
      <c r="E432" s="311" t="s">
        <v>218</v>
      </c>
      <c r="F432" s="310">
        <v>2</v>
      </c>
      <c r="G432" s="310">
        <v>1</v>
      </c>
      <c r="H432" s="312">
        <v>369.6</v>
      </c>
      <c r="I432" s="315">
        <v>304.39999999999998</v>
      </c>
      <c r="J432" s="315">
        <v>219</v>
      </c>
      <c r="K432" s="313">
        <v>23</v>
      </c>
      <c r="L432" s="314">
        <v>1258689</v>
      </c>
      <c r="M432" s="314">
        <v>0</v>
      </c>
      <c r="N432" s="314">
        <v>0</v>
      </c>
      <c r="O432" s="314">
        <f>L432</f>
        <v>1258689</v>
      </c>
      <c r="P432" s="314">
        <v>0</v>
      </c>
      <c r="Q432" s="315">
        <f>L432/I432</f>
        <v>4134.9835742444156</v>
      </c>
      <c r="R432" s="315">
        <v>7822</v>
      </c>
      <c r="S432" s="316">
        <v>43100</v>
      </c>
    </row>
    <row r="433" spans="1:19" s="1" customFormat="1" ht="15.75">
      <c r="A433" s="308"/>
      <c r="B433" s="337"/>
      <c r="C433" s="553"/>
      <c r="D433" s="310"/>
      <c r="E433" s="311"/>
      <c r="F433" s="310"/>
      <c r="G433" s="310"/>
      <c r="H433" s="312"/>
      <c r="I433" s="315"/>
      <c r="J433" s="315"/>
      <c r="K433" s="313"/>
      <c r="L433" s="314"/>
      <c r="M433" s="314"/>
      <c r="N433" s="314"/>
      <c r="O433" s="314"/>
      <c r="P433" s="314"/>
      <c r="Q433" s="315"/>
      <c r="R433" s="315"/>
      <c r="S433" s="316"/>
    </row>
    <row r="434" spans="1:19" s="1" customFormat="1" ht="15.75">
      <c r="A434" s="107"/>
      <c r="B434" s="1336" t="s">
        <v>56</v>
      </c>
      <c r="C434" s="1336"/>
      <c r="D434" s="1336"/>
      <c r="E434" s="1336"/>
      <c r="F434" s="1336"/>
      <c r="G434" s="1336"/>
      <c r="H434" s="128">
        <f t="shared" ref="H434:P434" si="119">H441+H435+H443</f>
        <v>10396</v>
      </c>
      <c r="I434" s="106">
        <f t="shared" si="119"/>
        <v>8219.3000000000011</v>
      </c>
      <c r="J434" s="106">
        <f t="shared" si="119"/>
        <v>7766.0999999999995</v>
      </c>
      <c r="K434" s="119">
        <f t="shared" si="119"/>
        <v>320</v>
      </c>
      <c r="L434" s="113">
        <f t="shared" si="119"/>
        <v>10789271</v>
      </c>
      <c r="M434" s="113">
        <f t="shared" si="119"/>
        <v>0</v>
      </c>
      <c r="N434" s="113">
        <f t="shared" si="119"/>
        <v>0</v>
      </c>
      <c r="O434" s="113">
        <f t="shared" si="119"/>
        <v>10533352</v>
      </c>
      <c r="P434" s="113">
        <f t="shared" si="119"/>
        <v>255919</v>
      </c>
      <c r="Q434" s="106" t="str">
        <f t="shared" ref="Q434:R434" si="120">Q435</f>
        <v>Х</v>
      </c>
      <c r="R434" s="106" t="str">
        <f t="shared" si="120"/>
        <v>Х</v>
      </c>
      <c r="S434" s="316">
        <v>43100</v>
      </c>
    </row>
    <row r="435" spans="1:19" s="18" customFormat="1" ht="19.149999999999999" customHeight="1">
      <c r="A435" s="308"/>
      <c r="B435" s="1403" t="s">
        <v>424</v>
      </c>
      <c r="C435" s="1403"/>
      <c r="D435" s="1403"/>
      <c r="E435" s="1403"/>
      <c r="F435" s="1405"/>
      <c r="G435" s="1405"/>
      <c r="H435" s="727">
        <f t="shared" ref="H435:P435" si="121">SUM(H436:H440)</f>
        <v>4140.7</v>
      </c>
      <c r="I435" s="727">
        <f t="shared" si="121"/>
        <v>3087.8</v>
      </c>
      <c r="J435" s="727">
        <f t="shared" si="121"/>
        <v>2634.6</v>
      </c>
      <c r="K435" s="727">
        <f t="shared" si="121"/>
        <v>125</v>
      </c>
      <c r="L435" s="728">
        <f t="shared" si="121"/>
        <v>6762929</v>
      </c>
      <c r="M435" s="728">
        <f t="shared" si="121"/>
        <v>0</v>
      </c>
      <c r="N435" s="728">
        <f t="shared" si="121"/>
        <v>0</v>
      </c>
      <c r="O435" s="728">
        <f t="shared" si="121"/>
        <v>6762929</v>
      </c>
      <c r="P435" s="728">
        <f t="shared" si="121"/>
        <v>0</v>
      </c>
      <c r="Q435" s="729" t="s">
        <v>40</v>
      </c>
      <c r="R435" s="730" t="s">
        <v>40</v>
      </c>
      <c r="S435" s="316">
        <v>43100</v>
      </c>
    </row>
    <row r="436" spans="1:19" s="62" customFormat="1" ht="31.5">
      <c r="A436" s="308">
        <v>86</v>
      </c>
      <c r="B436" s="610" t="s">
        <v>703</v>
      </c>
      <c r="C436" s="308">
        <v>1918</v>
      </c>
      <c r="D436" s="308"/>
      <c r="E436" s="685" t="s">
        <v>218</v>
      </c>
      <c r="F436" s="308">
        <v>2</v>
      </c>
      <c r="G436" s="308">
        <v>1</v>
      </c>
      <c r="H436" s="609">
        <v>386.4</v>
      </c>
      <c r="I436" s="609">
        <v>279.39999999999998</v>
      </c>
      <c r="J436" s="609">
        <v>219</v>
      </c>
      <c r="K436" s="308">
        <v>9</v>
      </c>
      <c r="L436" s="731">
        <v>749745</v>
      </c>
      <c r="M436" s="731">
        <v>0</v>
      </c>
      <c r="N436" s="731">
        <v>0</v>
      </c>
      <c r="O436" s="731">
        <v>749745</v>
      </c>
      <c r="P436" s="731">
        <v>0</v>
      </c>
      <c r="Q436" s="731">
        <f>L436/I436</f>
        <v>2683.4108804581247</v>
      </c>
      <c r="R436" s="608">
        <v>7822</v>
      </c>
      <c r="S436" s="612">
        <v>43100</v>
      </c>
    </row>
    <row r="437" spans="1:19" s="62" customFormat="1" ht="31.5">
      <c r="A437" s="308">
        <v>87</v>
      </c>
      <c r="B437" s="732" t="s">
        <v>704</v>
      </c>
      <c r="C437" s="308">
        <v>1963</v>
      </c>
      <c r="D437" s="308"/>
      <c r="E437" s="685" t="s">
        <v>218</v>
      </c>
      <c r="F437" s="308">
        <v>3</v>
      </c>
      <c r="G437" s="308">
        <v>3</v>
      </c>
      <c r="H437" s="609">
        <v>2235.5</v>
      </c>
      <c r="I437" s="609">
        <v>1556</v>
      </c>
      <c r="J437" s="609">
        <v>1556</v>
      </c>
      <c r="K437" s="308">
        <v>50</v>
      </c>
      <c r="L437" s="731">
        <v>2218282</v>
      </c>
      <c r="M437" s="731">
        <v>0</v>
      </c>
      <c r="N437" s="731">
        <v>0</v>
      </c>
      <c r="O437" s="731">
        <v>2218282</v>
      </c>
      <c r="P437" s="731">
        <v>0</v>
      </c>
      <c r="Q437" s="731">
        <f t="shared" ref="Q437:Q440" si="122">L437/I437</f>
        <v>1425.6311053984575</v>
      </c>
      <c r="R437" s="608">
        <v>7822</v>
      </c>
      <c r="S437" s="612">
        <v>43100</v>
      </c>
    </row>
    <row r="438" spans="1:19" s="62" customFormat="1" ht="36" customHeight="1">
      <c r="A438" s="308">
        <v>88</v>
      </c>
      <c r="B438" s="610" t="s">
        <v>705</v>
      </c>
      <c r="C438" s="308">
        <v>1962</v>
      </c>
      <c r="D438" s="308"/>
      <c r="E438" s="685" t="s">
        <v>218</v>
      </c>
      <c r="F438" s="308">
        <v>2</v>
      </c>
      <c r="G438" s="308">
        <v>2</v>
      </c>
      <c r="H438" s="609">
        <v>522.5</v>
      </c>
      <c r="I438" s="609">
        <v>458.9</v>
      </c>
      <c r="J438" s="609">
        <v>381</v>
      </c>
      <c r="K438" s="308">
        <v>21</v>
      </c>
      <c r="L438" s="731">
        <v>1808957</v>
      </c>
      <c r="M438" s="731">
        <v>0</v>
      </c>
      <c r="N438" s="731">
        <v>0</v>
      </c>
      <c r="O438" s="731">
        <v>1808957</v>
      </c>
      <c r="P438" s="731">
        <v>0</v>
      </c>
      <c r="Q438" s="731">
        <f t="shared" si="122"/>
        <v>3941.9415994770106</v>
      </c>
      <c r="R438" s="608">
        <v>7822</v>
      </c>
      <c r="S438" s="612">
        <v>43100</v>
      </c>
    </row>
    <row r="439" spans="1:19" s="62" customFormat="1" ht="15.75">
      <c r="A439" s="308">
        <v>89</v>
      </c>
      <c r="B439" s="610" t="s">
        <v>706</v>
      </c>
      <c r="C439" s="308">
        <v>1891</v>
      </c>
      <c r="D439" s="308"/>
      <c r="E439" s="685" t="s">
        <v>221</v>
      </c>
      <c r="F439" s="308">
        <v>2</v>
      </c>
      <c r="G439" s="308">
        <v>3</v>
      </c>
      <c r="H439" s="609">
        <v>571.9</v>
      </c>
      <c r="I439" s="609">
        <v>403.1</v>
      </c>
      <c r="J439" s="609">
        <v>208.6</v>
      </c>
      <c r="K439" s="308">
        <v>20</v>
      </c>
      <c r="L439" s="731">
        <v>275807</v>
      </c>
      <c r="M439" s="731">
        <v>0</v>
      </c>
      <c r="N439" s="731">
        <v>0</v>
      </c>
      <c r="O439" s="731">
        <v>275807</v>
      </c>
      <c r="P439" s="731">
        <v>0</v>
      </c>
      <c r="Q439" s="731">
        <f t="shared" si="122"/>
        <v>684.21483502852891</v>
      </c>
      <c r="R439" s="608">
        <v>7822</v>
      </c>
      <c r="S439" s="612">
        <v>43100</v>
      </c>
    </row>
    <row r="440" spans="1:19" s="62" customFormat="1" ht="31.5">
      <c r="A440" s="308">
        <v>91</v>
      </c>
      <c r="B440" s="607" t="s">
        <v>707</v>
      </c>
      <c r="C440" s="308">
        <v>1956</v>
      </c>
      <c r="D440" s="308"/>
      <c r="E440" s="685" t="s">
        <v>218</v>
      </c>
      <c r="F440" s="308">
        <v>2</v>
      </c>
      <c r="G440" s="308">
        <v>1</v>
      </c>
      <c r="H440" s="609">
        <v>424.4</v>
      </c>
      <c r="I440" s="609">
        <v>390.4</v>
      </c>
      <c r="J440" s="609">
        <v>270</v>
      </c>
      <c r="K440" s="308">
        <v>25</v>
      </c>
      <c r="L440" s="731">
        <v>1710138</v>
      </c>
      <c r="M440" s="731">
        <v>0</v>
      </c>
      <c r="N440" s="731">
        <v>0</v>
      </c>
      <c r="O440" s="731">
        <v>1710138</v>
      </c>
      <c r="P440" s="731">
        <v>0</v>
      </c>
      <c r="Q440" s="731">
        <f t="shared" si="122"/>
        <v>4380.4764344262294</v>
      </c>
      <c r="R440" s="608">
        <v>7822</v>
      </c>
      <c r="S440" s="612">
        <v>43100</v>
      </c>
    </row>
    <row r="441" spans="1:19" s="1" customFormat="1" ht="15.75" customHeight="1">
      <c r="A441" s="107"/>
      <c r="B441" s="1329" t="s">
        <v>121</v>
      </c>
      <c r="C441" s="1329"/>
      <c r="D441" s="1329"/>
      <c r="E441" s="1329"/>
      <c r="F441" s="1329"/>
      <c r="G441" s="1329"/>
      <c r="H441" s="128">
        <f>H442</f>
        <v>4874.1000000000004</v>
      </c>
      <c r="I441" s="106">
        <f t="shared" ref="I441:P441" si="123">I442</f>
        <v>3750.3</v>
      </c>
      <c r="J441" s="106">
        <f t="shared" si="123"/>
        <v>3750.3</v>
      </c>
      <c r="K441" s="119">
        <f t="shared" si="123"/>
        <v>127</v>
      </c>
      <c r="L441" s="113">
        <f t="shared" si="123"/>
        <v>2515554</v>
      </c>
      <c r="M441" s="113">
        <f t="shared" si="123"/>
        <v>0</v>
      </c>
      <c r="N441" s="113">
        <f t="shared" si="123"/>
        <v>0</v>
      </c>
      <c r="O441" s="113">
        <f t="shared" si="123"/>
        <v>2515554</v>
      </c>
      <c r="P441" s="113">
        <f t="shared" si="123"/>
        <v>0</v>
      </c>
      <c r="Q441" s="106" t="s">
        <v>40</v>
      </c>
      <c r="R441" s="106" t="s">
        <v>40</v>
      </c>
      <c r="S441" s="316">
        <v>43100</v>
      </c>
    </row>
    <row r="442" spans="1:19" s="1" customFormat="1" ht="36.6" customHeight="1">
      <c r="A442" s="107"/>
      <c r="B442" s="934" t="s">
        <v>989</v>
      </c>
      <c r="C442" s="269">
        <v>1981</v>
      </c>
      <c r="D442" s="118"/>
      <c r="E442" s="109" t="s">
        <v>219</v>
      </c>
      <c r="F442" s="118">
        <v>5</v>
      </c>
      <c r="G442" s="118">
        <v>5</v>
      </c>
      <c r="H442" s="128">
        <v>4874.1000000000004</v>
      </c>
      <c r="I442" s="106">
        <v>3750.3</v>
      </c>
      <c r="J442" s="106">
        <v>3750.3</v>
      </c>
      <c r="K442" s="119">
        <v>127</v>
      </c>
      <c r="L442" s="113">
        <v>2515554</v>
      </c>
      <c r="M442" s="113">
        <v>0</v>
      </c>
      <c r="N442" s="113">
        <v>0</v>
      </c>
      <c r="O442" s="113">
        <f>L442</f>
        <v>2515554</v>
      </c>
      <c r="P442" s="113">
        <v>0</v>
      </c>
      <c r="Q442" s="106">
        <f>L442/I442</f>
        <v>670.76073914086874</v>
      </c>
      <c r="R442" s="114">
        <v>7822</v>
      </c>
      <c r="S442" s="316">
        <v>43100</v>
      </c>
    </row>
    <row r="443" spans="1:19" s="1" customFormat="1" ht="15.75" customHeight="1">
      <c r="A443" s="107"/>
      <c r="B443" s="1329" t="s">
        <v>807</v>
      </c>
      <c r="C443" s="1329"/>
      <c r="D443" s="1329"/>
      <c r="E443" s="1329"/>
      <c r="F443" s="1329"/>
      <c r="G443" s="1329"/>
      <c r="H443" s="128">
        <f>H444</f>
        <v>1381.2</v>
      </c>
      <c r="I443" s="106">
        <f t="shared" ref="I443:P443" si="124">I444</f>
        <v>1381.2</v>
      </c>
      <c r="J443" s="106">
        <f t="shared" si="124"/>
        <v>1381.2</v>
      </c>
      <c r="K443" s="119">
        <f t="shared" si="124"/>
        <v>68</v>
      </c>
      <c r="L443" s="113">
        <f t="shared" si="124"/>
        <v>1510788</v>
      </c>
      <c r="M443" s="113">
        <f t="shared" si="124"/>
        <v>0</v>
      </c>
      <c r="N443" s="113">
        <f t="shared" si="124"/>
        <v>0</v>
      </c>
      <c r="O443" s="113">
        <f t="shared" si="124"/>
        <v>1254869</v>
      </c>
      <c r="P443" s="113">
        <f t="shared" si="124"/>
        <v>255919</v>
      </c>
      <c r="Q443" s="106" t="s">
        <v>40</v>
      </c>
      <c r="R443" s="106" t="s">
        <v>40</v>
      </c>
      <c r="S443" s="316">
        <v>43100</v>
      </c>
    </row>
    <row r="444" spans="1:19" s="1" customFormat="1" ht="15.75">
      <c r="A444" s="107"/>
      <c r="B444" s="751" t="s">
        <v>808</v>
      </c>
      <c r="C444" s="269">
        <v>1979</v>
      </c>
      <c r="D444" s="118"/>
      <c r="E444" s="109" t="s">
        <v>219</v>
      </c>
      <c r="F444" s="118">
        <v>3</v>
      </c>
      <c r="G444" s="118">
        <v>3</v>
      </c>
      <c r="H444" s="128">
        <v>1381.2</v>
      </c>
      <c r="I444" s="106">
        <v>1381.2</v>
      </c>
      <c r="J444" s="106">
        <v>1381.2</v>
      </c>
      <c r="K444" s="119">
        <v>68</v>
      </c>
      <c r="L444" s="113">
        <v>1510788</v>
      </c>
      <c r="M444" s="113">
        <v>0</v>
      </c>
      <c r="N444" s="113">
        <v>0</v>
      </c>
      <c r="O444" s="113">
        <v>1254869</v>
      </c>
      <c r="P444" s="113">
        <v>255919</v>
      </c>
      <c r="Q444" s="106">
        <f>L444/I444</f>
        <v>1093.8227628149434</v>
      </c>
      <c r="R444" s="114">
        <v>7822</v>
      </c>
      <c r="S444" s="316">
        <v>43100</v>
      </c>
    </row>
    <row r="445" spans="1:19" s="1" customFormat="1" ht="15.75">
      <c r="A445" s="107"/>
      <c r="B445" s="1336" t="s">
        <v>57</v>
      </c>
      <c r="C445" s="1336"/>
      <c r="D445" s="1336"/>
      <c r="E445" s="1336"/>
      <c r="F445" s="1336"/>
      <c r="G445" s="1336"/>
      <c r="H445" s="128">
        <f>H446</f>
        <v>8010.4</v>
      </c>
      <c r="I445" s="128">
        <f t="shared" ref="I445:P445" si="125">I446</f>
        <v>7196.9</v>
      </c>
      <c r="J445" s="128">
        <f t="shared" si="125"/>
        <v>7104.4</v>
      </c>
      <c r="K445" s="119">
        <f t="shared" si="125"/>
        <v>199</v>
      </c>
      <c r="L445" s="113">
        <f t="shared" si="125"/>
        <v>2579247</v>
      </c>
      <c r="M445" s="113">
        <f t="shared" si="125"/>
        <v>0</v>
      </c>
      <c r="N445" s="113">
        <f t="shared" si="125"/>
        <v>0</v>
      </c>
      <c r="O445" s="113">
        <f t="shared" si="125"/>
        <v>2579247</v>
      </c>
      <c r="P445" s="113">
        <f t="shared" si="125"/>
        <v>0</v>
      </c>
      <c r="Q445" s="106" t="s">
        <v>40</v>
      </c>
      <c r="R445" s="114" t="s">
        <v>40</v>
      </c>
      <c r="S445" s="316">
        <v>43100</v>
      </c>
    </row>
    <row r="446" spans="1:19" s="1" customFormat="1" ht="15.75" customHeight="1">
      <c r="A446" s="107"/>
      <c r="B446" s="1329" t="s">
        <v>119</v>
      </c>
      <c r="C446" s="1329"/>
      <c r="D446" s="1329"/>
      <c r="E446" s="1329"/>
      <c r="F446" s="1329"/>
      <c r="G446" s="1329"/>
      <c r="H446" s="128">
        <f t="shared" ref="H446:P446" si="126">H447+H448</f>
        <v>8010.4</v>
      </c>
      <c r="I446" s="128">
        <f t="shared" si="126"/>
        <v>7196.9</v>
      </c>
      <c r="J446" s="128">
        <f t="shared" si="126"/>
        <v>7104.4</v>
      </c>
      <c r="K446" s="119">
        <f t="shared" si="126"/>
        <v>199</v>
      </c>
      <c r="L446" s="113">
        <f t="shared" si="126"/>
        <v>2579247</v>
      </c>
      <c r="M446" s="113">
        <f t="shared" si="126"/>
        <v>0</v>
      </c>
      <c r="N446" s="113">
        <f t="shared" si="126"/>
        <v>0</v>
      </c>
      <c r="O446" s="113">
        <f t="shared" si="126"/>
        <v>2579247</v>
      </c>
      <c r="P446" s="113">
        <f t="shared" si="126"/>
        <v>0</v>
      </c>
      <c r="Q446" s="106" t="s">
        <v>40</v>
      </c>
      <c r="R446" s="106" t="s">
        <v>40</v>
      </c>
      <c r="S446" s="316">
        <v>43100</v>
      </c>
    </row>
    <row r="447" spans="1:19" s="1" customFormat="1" ht="15.75">
      <c r="A447" s="107"/>
      <c r="B447" s="907" t="s">
        <v>980</v>
      </c>
      <c r="C447" s="269">
        <v>1985</v>
      </c>
      <c r="D447" s="118"/>
      <c r="E447" s="109" t="s">
        <v>219</v>
      </c>
      <c r="F447" s="118">
        <v>5</v>
      </c>
      <c r="G447" s="118">
        <v>8</v>
      </c>
      <c r="H447" s="128">
        <v>6272.4</v>
      </c>
      <c r="I447" s="128">
        <v>5594.8</v>
      </c>
      <c r="J447" s="128">
        <v>5502.3</v>
      </c>
      <c r="K447" s="119">
        <v>157</v>
      </c>
      <c r="L447" s="113">
        <v>1384480</v>
      </c>
      <c r="M447" s="113">
        <v>0</v>
      </c>
      <c r="N447" s="113">
        <v>0</v>
      </c>
      <c r="O447" s="113">
        <f>L447</f>
        <v>1384480</v>
      </c>
      <c r="P447" s="113">
        <v>0</v>
      </c>
      <c r="Q447" s="106">
        <f>L447/I447</f>
        <v>247.45835418602988</v>
      </c>
      <c r="R447" s="114">
        <v>7822</v>
      </c>
      <c r="S447" s="316">
        <v>43100</v>
      </c>
    </row>
    <row r="448" spans="1:19" s="23" customFormat="1" ht="31.5">
      <c r="A448" s="107"/>
      <c r="B448" s="908" t="s">
        <v>981</v>
      </c>
      <c r="C448" s="269">
        <v>1988</v>
      </c>
      <c r="D448" s="118"/>
      <c r="E448" s="109" t="s">
        <v>218</v>
      </c>
      <c r="F448" s="118">
        <v>3</v>
      </c>
      <c r="G448" s="118">
        <v>3</v>
      </c>
      <c r="H448" s="128">
        <v>1738</v>
      </c>
      <c r="I448" s="128">
        <v>1602.1</v>
      </c>
      <c r="J448" s="128">
        <v>1602.1</v>
      </c>
      <c r="K448" s="119">
        <v>42</v>
      </c>
      <c r="L448" s="113">
        <v>1194767</v>
      </c>
      <c r="M448" s="113">
        <v>0</v>
      </c>
      <c r="N448" s="113">
        <v>0</v>
      </c>
      <c r="O448" s="113">
        <f>L448</f>
        <v>1194767</v>
      </c>
      <c r="P448" s="113">
        <v>0</v>
      </c>
      <c r="Q448" s="106">
        <f>L448/I448</f>
        <v>745.75057736720555</v>
      </c>
      <c r="R448" s="114">
        <v>7822</v>
      </c>
      <c r="S448" s="316">
        <v>43100</v>
      </c>
    </row>
    <row r="449" spans="1:19" s="1" customFormat="1" ht="15.75">
      <c r="A449" s="107"/>
      <c r="B449" s="1336" t="s">
        <v>58</v>
      </c>
      <c r="C449" s="1336"/>
      <c r="D449" s="1336"/>
      <c r="E449" s="1336"/>
      <c r="F449" s="1336"/>
      <c r="G449" s="1336"/>
      <c r="H449" s="128">
        <f>H450</f>
        <v>15250.300000000001</v>
      </c>
      <c r="I449" s="128">
        <f t="shared" ref="I449:P449" si="127">I450</f>
        <v>13418.4</v>
      </c>
      <c r="J449" s="128">
        <f t="shared" si="127"/>
        <v>12151.1</v>
      </c>
      <c r="K449" s="119">
        <f t="shared" si="127"/>
        <v>490</v>
      </c>
      <c r="L449" s="113">
        <f t="shared" si="127"/>
        <v>12013200</v>
      </c>
      <c r="M449" s="113">
        <f t="shared" si="127"/>
        <v>0</v>
      </c>
      <c r="N449" s="113">
        <f t="shared" si="127"/>
        <v>0</v>
      </c>
      <c r="O449" s="113">
        <f t="shared" si="127"/>
        <v>12013200</v>
      </c>
      <c r="P449" s="113">
        <f t="shared" si="127"/>
        <v>0</v>
      </c>
      <c r="Q449" s="106" t="s">
        <v>40</v>
      </c>
      <c r="R449" s="106" t="s">
        <v>40</v>
      </c>
      <c r="S449" s="316">
        <v>43100</v>
      </c>
    </row>
    <row r="450" spans="1:19" s="1" customFormat="1" ht="15.75" customHeight="1">
      <c r="A450" s="107"/>
      <c r="B450" s="1329" t="s">
        <v>87</v>
      </c>
      <c r="C450" s="1329"/>
      <c r="D450" s="1329"/>
      <c r="E450" s="1329"/>
      <c r="F450" s="1329"/>
      <c r="G450" s="1329"/>
      <c r="H450" s="128">
        <f>SUM(H451:H459)</f>
        <v>15250.300000000001</v>
      </c>
      <c r="I450" s="106">
        <f t="shared" ref="I450:N450" si="128">SUM(I451:I459)</f>
        <v>13418.4</v>
      </c>
      <c r="J450" s="106">
        <f t="shared" si="128"/>
        <v>12151.1</v>
      </c>
      <c r="K450" s="119">
        <f t="shared" si="128"/>
        <v>490</v>
      </c>
      <c r="L450" s="113">
        <f t="shared" si="128"/>
        <v>12013200</v>
      </c>
      <c r="M450" s="113">
        <f t="shared" si="128"/>
        <v>0</v>
      </c>
      <c r="N450" s="113">
        <f t="shared" si="128"/>
        <v>0</v>
      </c>
      <c r="O450" s="113">
        <f>SUM(O451:O459)</f>
        <v>12013200</v>
      </c>
      <c r="P450" s="113">
        <v>0</v>
      </c>
      <c r="Q450" s="106" t="s">
        <v>40</v>
      </c>
      <c r="R450" s="106" t="s">
        <v>40</v>
      </c>
      <c r="S450" s="316">
        <v>43100</v>
      </c>
    </row>
    <row r="451" spans="1:19" s="30" customFormat="1" ht="31.5">
      <c r="A451" s="107"/>
      <c r="B451" s="264" t="s">
        <v>425</v>
      </c>
      <c r="C451" s="179">
        <v>1962</v>
      </c>
      <c r="D451" s="99"/>
      <c r="E451" s="109" t="s">
        <v>218</v>
      </c>
      <c r="F451" s="99">
        <v>5</v>
      </c>
      <c r="G451" s="99">
        <v>4</v>
      </c>
      <c r="H451" s="180">
        <v>3382</v>
      </c>
      <c r="I451" s="115">
        <v>3164.5</v>
      </c>
      <c r="J451" s="115">
        <v>2546.4</v>
      </c>
      <c r="K451" s="154">
        <v>88</v>
      </c>
      <c r="L451" s="113">
        <f t="shared" ref="L451:L459" si="129">O451</f>
        <v>2239107</v>
      </c>
      <c r="M451" s="113">
        <v>0</v>
      </c>
      <c r="N451" s="113">
        <v>0</v>
      </c>
      <c r="O451" s="113">
        <v>2239107</v>
      </c>
      <c r="P451" s="113">
        <v>0</v>
      </c>
      <c r="Q451" s="100">
        <f t="shared" ref="Q451:Q459" si="130">L451/I451</f>
        <v>707.57054826986882</v>
      </c>
      <c r="R451" s="114">
        <v>6774</v>
      </c>
      <c r="S451" s="316">
        <v>43100</v>
      </c>
    </row>
    <row r="452" spans="1:19" s="30" customFormat="1" ht="15.75">
      <c r="A452" s="107"/>
      <c r="B452" s="264" t="s">
        <v>79</v>
      </c>
      <c r="C452" s="99">
        <v>1949</v>
      </c>
      <c r="D452" s="99"/>
      <c r="E452" s="109" t="s">
        <v>222</v>
      </c>
      <c r="F452" s="99">
        <v>2</v>
      </c>
      <c r="G452" s="99">
        <v>2</v>
      </c>
      <c r="H452" s="180">
        <v>448.3</v>
      </c>
      <c r="I452" s="100">
        <v>402.5</v>
      </c>
      <c r="J452" s="100">
        <v>346.7</v>
      </c>
      <c r="K452" s="101">
        <v>16</v>
      </c>
      <c r="L452" s="113">
        <f t="shared" si="129"/>
        <v>706234</v>
      </c>
      <c r="M452" s="113">
        <v>0</v>
      </c>
      <c r="N452" s="113">
        <v>0</v>
      </c>
      <c r="O452" s="113">
        <v>706234</v>
      </c>
      <c r="P452" s="113">
        <v>0</v>
      </c>
      <c r="Q452" s="100">
        <f t="shared" si="130"/>
        <v>1754.6186335403727</v>
      </c>
      <c r="R452" s="114">
        <v>6774</v>
      </c>
      <c r="S452" s="316">
        <v>43100</v>
      </c>
    </row>
    <row r="453" spans="1:19" s="30" customFormat="1" ht="15.75">
      <c r="A453" s="107"/>
      <c r="B453" s="264" t="s">
        <v>78</v>
      </c>
      <c r="C453" s="99">
        <v>1949</v>
      </c>
      <c r="D453" s="99"/>
      <c r="E453" s="109" t="s">
        <v>221</v>
      </c>
      <c r="F453" s="99">
        <v>2</v>
      </c>
      <c r="G453" s="99">
        <v>2</v>
      </c>
      <c r="H453" s="180">
        <v>438.3</v>
      </c>
      <c r="I453" s="100">
        <v>393.5</v>
      </c>
      <c r="J453" s="100">
        <f>I453-49.9</f>
        <v>343.6</v>
      </c>
      <c r="K453" s="101">
        <v>16</v>
      </c>
      <c r="L453" s="113">
        <f t="shared" si="129"/>
        <v>651603</v>
      </c>
      <c r="M453" s="113">
        <v>0</v>
      </c>
      <c r="N453" s="113">
        <v>0</v>
      </c>
      <c r="O453" s="113">
        <v>651603</v>
      </c>
      <c r="P453" s="113">
        <v>0</v>
      </c>
      <c r="Q453" s="100">
        <f t="shared" si="130"/>
        <v>1655.9161372299873</v>
      </c>
      <c r="R453" s="114">
        <v>6774</v>
      </c>
      <c r="S453" s="316">
        <v>43100</v>
      </c>
    </row>
    <row r="454" spans="1:19" s="30" customFormat="1" ht="31.5">
      <c r="A454" s="107"/>
      <c r="B454" s="264" t="s">
        <v>426</v>
      </c>
      <c r="C454" s="179">
        <v>1990</v>
      </c>
      <c r="D454" s="99"/>
      <c r="E454" s="109" t="s">
        <v>218</v>
      </c>
      <c r="F454" s="99">
        <v>3</v>
      </c>
      <c r="G454" s="99">
        <v>1</v>
      </c>
      <c r="H454" s="180">
        <v>700.1</v>
      </c>
      <c r="I454" s="115">
        <v>650.70000000000005</v>
      </c>
      <c r="J454" s="115">
        <v>650.70000000000005</v>
      </c>
      <c r="K454" s="154">
        <v>18</v>
      </c>
      <c r="L454" s="113">
        <f t="shared" si="129"/>
        <v>698701</v>
      </c>
      <c r="M454" s="113">
        <v>0</v>
      </c>
      <c r="N454" s="113">
        <v>0</v>
      </c>
      <c r="O454" s="113">
        <v>698701</v>
      </c>
      <c r="P454" s="113">
        <v>0</v>
      </c>
      <c r="Q454" s="100">
        <f t="shared" si="130"/>
        <v>1073.7682495773781</v>
      </c>
      <c r="R454" s="114">
        <v>6774</v>
      </c>
      <c r="S454" s="316">
        <v>43100</v>
      </c>
    </row>
    <row r="455" spans="1:19" s="30" customFormat="1" ht="31.5">
      <c r="A455" s="107"/>
      <c r="B455" s="264" t="s">
        <v>80</v>
      </c>
      <c r="C455" s="179">
        <v>1982</v>
      </c>
      <c r="D455" s="99"/>
      <c r="E455" s="109" t="s">
        <v>218</v>
      </c>
      <c r="F455" s="99">
        <v>5</v>
      </c>
      <c r="G455" s="99">
        <v>4</v>
      </c>
      <c r="H455" s="181">
        <v>3159.2</v>
      </c>
      <c r="I455" s="115">
        <v>2600.8000000000002</v>
      </c>
      <c r="J455" s="115">
        <v>2455.5</v>
      </c>
      <c r="K455" s="154">
        <v>106</v>
      </c>
      <c r="L455" s="113">
        <f t="shared" si="129"/>
        <v>1512903</v>
      </c>
      <c r="M455" s="113">
        <v>0</v>
      </c>
      <c r="N455" s="113">
        <v>0</v>
      </c>
      <c r="O455" s="113">
        <v>1512903</v>
      </c>
      <c r="P455" s="113">
        <v>0</v>
      </c>
      <c r="Q455" s="100">
        <f t="shared" si="130"/>
        <v>581.70678252845278</v>
      </c>
      <c r="R455" s="114">
        <v>6774</v>
      </c>
      <c r="S455" s="316">
        <v>43100</v>
      </c>
    </row>
    <row r="456" spans="1:19" s="30" customFormat="1" ht="15.75">
      <c r="A456" s="107"/>
      <c r="B456" s="264" t="s">
        <v>84</v>
      </c>
      <c r="C456" s="179">
        <v>1953</v>
      </c>
      <c r="D456" s="99"/>
      <c r="E456" s="109" t="s">
        <v>220</v>
      </c>
      <c r="F456" s="99">
        <v>2</v>
      </c>
      <c r="G456" s="99">
        <v>2</v>
      </c>
      <c r="H456" s="181">
        <v>664.5</v>
      </c>
      <c r="I456" s="115">
        <v>609.4</v>
      </c>
      <c r="J456" s="115">
        <f>450.2-48.3</f>
        <v>401.9</v>
      </c>
      <c r="K456" s="154">
        <v>15</v>
      </c>
      <c r="L456" s="113">
        <f t="shared" si="129"/>
        <v>1668544</v>
      </c>
      <c r="M456" s="113">
        <v>0</v>
      </c>
      <c r="N456" s="113">
        <v>0</v>
      </c>
      <c r="O456" s="113">
        <v>1668544</v>
      </c>
      <c r="P456" s="113">
        <v>0</v>
      </c>
      <c r="Q456" s="100">
        <f t="shared" si="130"/>
        <v>2738.0111585165737</v>
      </c>
      <c r="R456" s="114">
        <v>6774</v>
      </c>
      <c r="S456" s="316">
        <v>43100</v>
      </c>
    </row>
    <row r="457" spans="1:19" s="30" customFormat="1" ht="31.5">
      <c r="A457" s="107"/>
      <c r="B457" s="264" t="s">
        <v>81</v>
      </c>
      <c r="C457" s="179">
        <v>1988</v>
      </c>
      <c r="D457" s="99"/>
      <c r="E457" s="109" t="s">
        <v>218</v>
      </c>
      <c r="F457" s="99">
        <v>5</v>
      </c>
      <c r="G457" s="99">
        <v>6</v>
      </c>
      <c r="H457" s="181">
        <v>4806.3999999999996</v>
      </c>
      <c r="I457" s="115">
        <v>4087.2</v>
      </c>
      <c r="J457" s="115">
        <v>4087.2</v>
      </c>
      <c r="K457" s="154">
        <v>172</v>
      </c>
      <c r="L457" s="113">
        <f t="shared" si="129"/>
        <v>2294873</v>
      </c>
      <c r="M457" s="113">
        <v>0</v>
      </c>
      <c r="N457" s="113">
        <v>0</v>
      </c>
      <c r="O457" s="113">
        <v>2294873</v>
      </c>
      <c r="P457" s="113">
        <v>0</v>
      </c>
      <c r="Q457" s="100">
        <f t="shared" si="130"/>
        <v>561.47802896848702</v>
      </c>
      <c r="R457" s="114">
        <v>6774</v>
      </c>
      <c r="S457" s="316">
        <v>43100</v>
      </c>
    </row>
    <row r="458" spans="1:19" s="30" customFormat="1" ht="15.75">
      <c r="A458" s="107"/>
      <c r="B458" s="264" t="s">
        <v>82</v>
      </c>
      <c r="C458" s="179">
        <v>1948</v>
      </c>
      <c r="D458" s="99"/>
      <c r="E458" s="109" t="s">
        <v>221</v>
      </c>
      <c r="F458" s="99">
        <v>2</v>
      </c>
      <c r="G458" s="99">
        <v>1</v>
      </c>
      <c r="H458" s="181">
        <v>559.9</v>
      </c>
      <c r="I458" s="115">
        <v>503.7</v>
      </c>
      <c r="J458" s="115">
        <f>I458-190.7</f>
        <v>313</v>
      </c>
      <c r="K458" s="154">
        <v>26</v>
      </c>
      <c r="L458" s="113">
        <f t="shared" si="129"/>
        <v>879987</v>
      </c>
      <c r="M458" s="113">
        <v>0</v>
      </c>
      <c r="N458" s="113">
        <v>0</v>
      </c>
      <c r="O458" s="113">
        <v>879987</v>
      </c>
      <c r="P458" s="113">
        <v>0</v>
      </c>
      <c r="Q458" s="100">
        <f t="shared" si="130"/>
        <v>1747.0458606313282</v>
      </c>
      <c r="R458" s="114">
        <v>6774</v>
      </c>
      <c r="S458" s="316">
        <v>43100</v>
      </c>
    </row>
    <row r="459" spans="1:19" s="30" customFormat="1" ht="31.5">
      <c r="A459" s="107"/>
      <c r="B459" s="264" t="s">
        <v>83</v>
      </c>
      <c r="C459" s="179">
        <v>1958</v>
      </c>
      <c r="D459" s="99"/>
      <c r="E459" s="109" t="s">
        <v>218</v>
      </c>
      <c r="F459" s="99">
        <v>2</v>
      </c>
      <c r="G459" s="99">
        <v>3</v>
      </c>
      <c r="H459" s="181">
        <v>1091.5999999999999</v>
      </c>
      <c r="I459" s="115">
        <v>1006.1</v>
      </c>
      <c r="J459" s="115">
        <v>1006.1</v>
      </c>
      <c r="K459" s="154">
        <v>33</v>
      </c>
      <c r="L459" s="113">
        <f t="shared" si="129"/>
        <v>1361248</v>
      </c>
      <c r="M459" s="113">
        <v>0</v>
      </c>
      <c r="N459" s="113">
        <v>0</v>
      </c>
      <c r="O459" s="113">
        <v>1361248</v>
      </c>
      <c r="P459" s="113">
        <v>0</v>
      </c>
      <c r="Q459" s="100">
        <f t="shared" si="130"/>
        <v>1352.9947321339828</v>
      </c>
      <c r="R459" s="114">
        <v>6774</v>
      </c>
      <c r="S459" s="316">
        <v>43100</v>
      </c>
    </row>
    <row r="460" spans="1:19" s="1" customFormat="1" ht="15.75">
      <c r="A460" s="107"/>
      <c r="B460" s="1336" t="s">
        <v>60</v>
      </c>
      <c r="C460" s="1336"/>
      <c r="D460" s="1336"/>
      <c r="E460" s="1336"/>
      <c r="F460" s="1336"/>
      <c r="G460" s="1336"/>
      <c r="H460" s="128">
        <f>H461</f>
        <v>8449.7999999999993</v>
      </c>
      <c r="I460" s="106">
        <f t="shared" ref="I460:P460" si="131">I461</f>
        <v>4991.1999999999989</v>
      </c>
      <c r="J460" s="106">
        <f t="shared" si="131"/>
        <v>4257.5</v>
      </c>
      <c r="K460" s="119">
        <f t="shared" si="131"/>
        <v>357</v>
      </c>
      <c r="L460" s="113">
        <f t="shared" si="131"/>
        <v>6800353</v>
      </c>
      <c r="M460" s="113">
        <f t="shared" si="131"/>
        <v>0</v>
      </c>
      <c r="N460" s="113">
        <f t="shared" si="131"/>
        <v>0</v>
      </c>
      <c r="O460" s="113">
        <f t="shared" si="131"/>
        <v>6800353</v>
      </c>
      <c r="P460" s="113">
        <f t="shared" si="131"/>
        <v>0</v>
      </c>
      <c r="Q460" s="106" t="s">
        <v>40</v>
      </c>
      <c r="R460" s="106" t="s">
        <v>40</v>
      </c>
      <c r="S460" s="316">
        <v>43100</v>
      </c>
    </row>
    <row r="461" spans="1:19" s="1" customFormat="1" ht="15.75">
      <c r="A461" s="107"/>
      <c r="B461" s="1336" t="s">
        <v>113</v>
      </c>
      <c r="C461" s="1336"/>
      <c r="D461" s="1336"/>
      <c r="E461" s="1336"/>
      <c r="F461" s="1336"/>
      <c r="G461" s="1336"/>
      <c r="H461" s="128">
        <f>SUM(H462:H465)</f>
        <v>8449.7999999999993</v>
      </c>
      <c r="I461" s="106">
        <f t="shared" ref="I461:P461" si="132">SUM(I462:I465)</f>
        <v>4991.1999999999989</v>
      </c>
      <c r="J461" s="106">
        <f t="shared" si="132"/>
        <v>4257.5</v>
      </c>
      <c r="K461" s="119">
        <f t="shared" si="132"/>
        <v>357</v>
      </c>
      <c r="L461" s="113">
        <f t="shared" si="132"/>
        <v>6800353</v>
      </c>
      <c r="M461" s="113">
        <f t="shared" si="132"/>
        <v>0</v>
      </c>
      <c r="N461" s="113">
        <f t="shared" si="132"/>
        <v>0</v>
      </c>
      <c r="O461" s="113">
        <f t="shared" si="132"/>
        <v>6800353</v>
      </c>
      <c r="P461" s="113">
        <f t="shared" si="132"/>
        <v>0</v>
      </c>
      <c r="Q461" s="106" t="s">
        <v>40</v>
      </c>
      <c r="R461" s="106" t="s">
        <v>40</v>
      </c>
      <c r="S461" s="316">
        <v>43100</v>
      </c>
    </row>
    <row r="462" spans="1:19" s="53" customFormat="1" ht="15.75">
      <c r="A462" s="107"/>
      <c r="B462" s="871" t="s">
        <v>887</v>
      </c>
      <c r="C462" s="108">
        <v>1993</v>
      </c>
      <c r="D462" s="108"/>
      <c r="E462" s="109" t="s">
        <v>219</v>
      </c>
      <c r="F462" s="108">
        <v>5</v>
      </c>
      <c r="G462" s="108">
        <v>5</v>
      </c>
      <c r="H462" s="111">
        <v>3796.1</v>
      </c>
      <c r="I462" s="108">
        <v>2311.6999999999998</v>
      </c>
      <c r="J462" s="108">
        <v>2864.9</v>
      </c>
      <c r="K462" s="112">
        <v>145</v>
      </c>
      <c r="L462" s="113">
        <v>3626543</v>
      </c>
      <c r="M462" s="113">
        <v>0</v>
      </c>
      <c r="N462" s="113">
        <v>0</v>
      </c>
      <c r="O462" s="113">
        <f>L462</f>
        <v>3626543</v>
      </c>
      <c r="P462" s="113">
        <v>0</v>
      </c>
      <c r="Q462" s="114">
        <f>L462/I462</f>
        <v>1568.777523034996</v>
      </c>
      <c r="R462" s="114">
        <v>6774</v>
      </c>
      <c r="S462" s="316">
        <v>43100</v>
      </c>
    </row>
    <row r="463" spans="1:19" s="53" customFormat="1" ht="31.5">
      <c r="A463" s="107"/>
      <c r="B463" s="871" t="s">
        <v>888</v>
      </c>
      <c r="C463" s="108">
        <v>1978</v>
      </c>
      <c r="D463" s="108"/>
      <c r="E463" s="109" t="s">
        <v>218</v>
      </c>
      <c r="F463" s="108">
        <v>5</v>
      </c>
      <c r="G463" s="108">
        <v>1</v>
      </c>
      <c r="H463" s="111">
        <v>4056.6</v>
      </c>
      <c r="I463" s="108">
        <v>2191.6</v>
      </c>
      <c r="J463" s="108">
        <v>937</v>
      </c>
      <c r="K463" s="112">
        <v>196</v>
      </c>
      <c r="L463" s="113">
        <v>2160246</v>
      </c>
      <c r="M463" s="113">
        <v>0</v>
      </c>
      <c r="N463" s="113">
        <v>0</v>
      </c>
      <c r="O463" s="113">
        <f>L463</f>
        <v>2160246</v>
      </c>
      <c r="P463" s="113">
        <v>0</v>
      </c>
      <c r="Q463" s="114">
        <f>L463/I463</f>
        <v>985.69355721847057</v>
      </c>
      <c r="R463" s="114">
        <v>6774</v>
      </c>
      <c r="S463" s="316">
        <v>43100</v>
      </c>
    </row>
    <row r="464" spans="1:19" s="53" customFormat="1" ht="31.5">
      <c r="A464" s="107"/>
      <c r="B464" s="871" t="s">
        <v>889</v>
      </c>
      <c r="C464" s="108">
        <v>1925</v>
      </c>
      <c r="D464" s="108"/>
      <c r="E464" s="109" t="s">
        <v>218</v>
      </c>
      <c r="F464" s="108">
        <v>2</v>
      </c>
      <c r="G464" s="108">
        <v>2</v>
      </c>
      <c r="H464" s="111">
        <v>597.1</v>
      </c>
      <c r="I464" s="108">
        <v>487.9</v>
      </c>
      <c r="J464" s="108">
        <v>455.6</v>
      </c>
      <c r="K464" s="112">
        <v>16</v>
      </c>
      <c r="L464" s="113">
        <v>1013564</v>
      </c>
      <c r="M464" s="113">
        <v>0</v>
      </c>
      <c r="N464" s="113">
        <v>0</v>
      </c>
      <c r="O464" s="113">
        <f>L464</f>
        <v>1013564</v>
      </c>
      <c r="P464" s="113">
        <v>0</v>
      </c>
      <c r="Q464" s="114">
        <f>L464/I464</f>
        <v>2077.401106784177</v>
      </c>
      <c r="R464" s="114">
        <v>6774</v>
      </c>
      <c r="S464" s="316">
        <v>43100</v>
      </c>
    </row>
    <row r="465" spans="1:19" s="53" customFormat="1" ht="15.75">
      <c r="A465" s="107"/>
      <c r="B465" s="262"/>
      <c r="C465" s="108"/>
      <c r="D465" s="108"/>
      <c r="E465" s="109"/>
      <c r="F465" s="108"/>
      <c r="G465" s="108"/>
      <c r="H465" s="111"/>
      <c r="I465" s="108"/>
      <c r="J465" s="108"/>
      <c r="K465" s="112"/>
      <c r="L465" s="113"/>
      <c r="M465" s="113"/>
      <c r="N465" s="113"/>
      <c r="O465" s="113"/>
      <c r="P465" s="113"/>
      <c r="Q465" s="114"/>
      <c r="R465" s="114"/>
      <c r="S465" s="316"/>
    </row>
    <row r="466" spans="1:19" s="53" customFormat="1" ht="15.75" customHeight="1">
      <c r="A466" s="107"/>
      <c r="B466" s="1333" t="s">
        <v>208</v>
      </c>
      <c r="C466" s="1333"/>
      <c r="D466" s="1333"/>
      <c r="E466" s="1333"/>
      <c r="F466" s="1333"/>
      <c r="G466" s="1333"/>
      <c r="H466" s="114">
        <f t="shared" ref="H466:O467" si="133">H467</f>
        <v>318.7</v>
      </c>
      <c r="I466" s="114">
        <f t="shared" si="133"/>
        <v>297.60000000000002</v>
      </c>
      <c r="J466" s="114">
        <f t="shared" si="133"/>
        <v>297.60000000000002</v>
      </c>
      <c r="K466" s="112">
        <f t="shared" si="133"/>
        <v>14</v>
      </c>
      <c r="L466" s="113">
        <f t="shared" si="133"/>
        <v>1167102</v>
      </c>
      <c r="M466" s="113">
        <f t="shared" si="133"/>
        <v>0</v>
      </c>
      <c r="N466" s="113">
        <f t="shared" si="133"/>
        <v>202967.46</v>
      </c>
      <c r="O466" s="113">
        <f t="shared" si="133"/>
        <v>964134.54</v>
      </c>
      <c r="P466" s="113">
        <f>P467</f>
        <v>0</v>
      </c>
      <c r="Q466" s="106" t="s">
        <v>40</v>
      </c>
      <c r="R466" s="114" t="s">
        <v>40</v>
      </c>
      <c r="S466" s="316">
        <v>43100</v>
      </c>
    </row>
    <row r="467" spans="1:19" s="53" customFormat="1" ht="15.75">
      <c r="A467" s="107"/>
      <c r="B467" s="1336" t="s">
        <v>209</v>
      </c>
      <c r="C467" s="1336"/>
      <c r="D467" s="1336"/>
      <c r="E467" s="1336"/>
      <c r="F467" s="1336"/>
      <c r="G467" s="1336"/>
      <c r="H467" s="114">
        <f t="shared" si="133"/>
        <v>318.7</v>
      </c>
      <c r="I467" s="114">
        <f t="shared" si="133"/>
        <v>297.60000000000002</v>
      </c>
      <c r="J467" s="114">
        <f t="shared" si="133"/>
        <v>297.60000000000002</v>
      </c>
      <c r="K467" s="112">
        <f t="shared" si="133"/>
        <v>14</v>
      </c>
      <c r="L467" s="113">
        <f t="shared" si="133"/>
        <v>1167102</v>
      </c>
      <c r="M467" s="113">
        <f t="shared" si="133"/>
        <v>0</v>
      </c>
      <c r="N467" s="113">
        <f t="shared" si="133"/>
        <v>202967.46</v>
      </c>
      <c r="O467" s="113">
        <f t="shared" si="133"/>
        <v>964134.54</v>
      </c>
      <c r="P467" s="113">
        <f>P468</f>
        <v>0</v>
      </c>
      <c r="Q467" s="106" t="s">
        <v>40</v>
      </c>
      <c r="R467" s="106" t="s">
        <v>40</v>
      </c>
      <c r="S467" s="316">
        <v>43100</v>
      </c>
    </row>
    <row r="468" spans="1:19" s="53" customFormat="1" ht="31.5">
      <c r="A468" s="308">
        <v>92</v>
      </c>
      <c r="B468" s="337" t="s">
        <v>478</v>
      </c>
      <c r="C468" s="310">
        <v>1962</v>
      </c>
      <c r="D468" s="310"/>
      <c r="E468" s="311" t="s">
        <v>218</v>
      </c>
      <c r="F468" s="310">
        <v>2</v>
      </c>
      <c r="G468" s="310">
        <v>1</v>
      </c>
      <c r="H468" s="312">
        <v>318.7</v>
      </c>
      <c r="I468" s="310">
        <v>297.60000000000002</v>
      </c>
      <c r="J468" s="310">
        <v>297.60000000000002</v>
      </c>
      <c r="K468" s="313">
        <v>14</v>
      </c>
      <c r="L468" s="314">
        <v>1167102</v>
      </c>
      <c r="M468" s="314">
        <v>0</v>
      </c>
      <c r="N468" s="314">
        <v>202967.46</v>
      </c>
      <c r="O468" s="314">
        <v>964134.54</v>
      </c>
      <c r="P468" s="314">
        <v>0</v>
      </c>
      <c r="Q468" s="315">
        <f>L468/I468</f>
        <v>3921.713709677419</v>
      </c>
      <c r="R468" s="315">
        <v>7822</v>
      </c>
      <c r="S468" s="316">
        <v>43100</v>
      </c>
    </row>
    <row r="469" spans="1:19" s="1" customFormat="1" ht="15.75">
      <c r="A469" s="107"/>
      <c r="B469" s="1336" t="s">
        <v>61</v>
      </c>
      <c r="C469" s="1336"/>
      <c r="D469" s="1336"/>
      <c r="E469" s="1336"/>
      <c r="F469" s="1336"/>
      <c r="G469" s="1336"/>
      <c r="H469" s="128">
        <f>H470</f>
        <v>4625.8</v>
      </c>
      <c r="I469" s="106">
        <f t="shared" ref="I469:P469" si="134">I470</f>
        <v>4269</v>
      </c>
      <c r="J469" s="106">
        <f t="shared" si="134"/>
        <v>4126.6000000000004</v>
      </c>
      <c r="K469" s="119">
        <f t="shared" si="134"/>
        <v>154</v>
      </c>
      <c r="L469" s="113">
        <f t="shared" si="134"/>
        <v>3666180</v>
      </c>
      <c r="M469" s="113">
        <f t="shared" si="134"/>
        <v>0</v>
      </c>
      <c r="N469" s="113">
        <f t="shared" si="134"/>
        <v>0</v>
      </c>
      <c r="O469" s="113">
        <f t="shared" si="134"/>
        <v>3666180</v>
      </c>
      <c r="P469" s="113">
        <f t="shared" si="134"/>
        <v>0</v>
      </c>
      <c r="Q469" s="114" t="s">
        <v>40</v>
      </c>
      <c r="R469" s="114" t="s">
        <v>40</v>
      </c>
      <c r="S469" s="316">
        <v>43100</v>
      </c>
    </row>
    <row r="470" spans="1:19" s="1" customFormat="1" ht="15.75">
      <c r="A470" s="107"/>
      <c r="B470" s="1336" t="s">
        <v>118</v>
      </c>
      <c r="C470" s="1336"/>
      <c r="D470" s="1336"/>
      <c r="E470" s="1336"/>
      <c r="F470" s="1336"/>
      <c r="G470" s="1336"/>
      <c r="H470" s="128">
        <f>H471+H472</f>
        <v>4625.8</v>
      </c>
      <c r="I470" s="128">
        <f t="shared" ref="I470:P470" si="135">I471+I472</f>
        <v>4269</v>
      </c>
      <c r="J470" s="128">
        <f t="shared" si="135"/>
        <v>4126.6000000000004</v>
      </c>
      <c r="K470" s="119">
        <f t="shared" si="135"/>
        <v>154</v>
      </c>
      <c r="L470" s="366">
        <f t="shared" si="135"/>
        <v>3666180</v>
      </c>
      <c r="M470" s="366">
        <f t="shared" si="135"/>
        <v>0</v>
      </c>
      <c r="N470" s="366">
        <f t="shared" si="135"/>
        <v>0</v>
      </c>
      <c r="O470" s="366">
        <f t="shared" si="135"/>
        <v>3666180</v>
      </c>
      <c r="P470" s="366">
        <f t="shared" si="135"/>
        <v>0</v>
      </c>
      <c r="Q470" s="114" t="s">
        <v>40</v>
      </c>
      <c r="R470" s="106" t="s">
        <v>40</v>
      </c>
      <c r="S470" s="316">
        <v>43100</v>
      </c>
    </row>
    <row r="471" spans="1:19" s="1" customFormat="1" ht="15.75">
      <c r="A471" s="308">
        <v>93</v>
      </c>
      <c r="B471" s="363" t="s">
        <v>495</v>
      </c>
      <c r="C471" s="346">
        <v>1981</v>
      </c>
      <c r="D471" s="363"/>
      <c r="E471" s="311" t="s">
        <v>219</v>
      </c>
      <c r="F471" s="346">
        <v>5</v>
      </c>
      <c r="G471" s="346">
        <v>4</v>
      </c>
      <c r="H471" s="347">
        <v>3720</v>
      </c>
      <c r="I471" s="350">
        <v>3423.2</v>
      </c>
      <c r="J471" s="350">
        <v>3280.8</v>
      </c>
      <c r="K471" s="349">
        <v>123</v>
      </c>
      <c r="L471" s="314">
        <v>2553216</v>
      </c>
      <c r="M471" s="314">
        <v>0</v>
      </c>
      <c r="N471" s="314">
        <v>0</v>
      </c>
      <c r="O471" s="314">
        <v>2553216</v>
      </c>
      <c r="P471" s="113">
        <f t="shared" ref="P471" si="136">P476</f>
        <v>0</v>
      </c>
      <c r="Q471" s="315">
        <f t="shared" ref="Q471" si="137">L471/I471</f>
        <v>745.8565085300304</v>
      </c>
      <c r="R471" s="350">
        <v>7822</v>
      </c>
      <c r="S471" s="316">
        <v>43100</v>
      </c>
    </row>
    <row r="472" spans="1:19" s="1" customFormat="1" ht="15.75">
      <c r="A472" s="308">
        <v>94</v>
      </c>
      <c r="B472" s="345" t="s">
        <v>496</v>
      </c>
      <c r="C472" s="310">
        <v>1980</v>
      </c>
      <c r="D472" s="310"/>
      <c r="E472" s="311" t="s">
        <v>219</v>
      </c>
      <c r="F472" s="310">
        <v>2</v>
      </c>
      <c r="G472" s="310">
        <v>2</v>
      </c>
      <c r="H472" s="312">
        <v>905.8</v>
      </c>
      <c r="I472" s="315">
        <v>845.8</v>
      </c>
      <c r="J472" s="315">
        <v>845.8</v>
      </c>
      <c r="K472" s="313">
        <v>31</v>
      </c>
      <c r="L472" s="314">
        <v>1112964</v>
      </c>
      <c r="M472" s="314">
        <v>0</v>
      </c>
      <c r="N472" s="314">
        <v>0</v>
      </c>
      <c r="O472" s="314">
        <v>1112964</v>
      </c>
      <c r="P472" s="314">
        <v>0</v>
      </c>
      <c r="Q472" s="350">
        <f>L472/I472</f>
        <v>1315.8713643887445</v>
      </c>
      <c r="R472" s="315">
        <v>7822</v>
      </c>
      <c r="S472" s="316">
        <v>43100</v>
      </c>
    </row>
    <row r="473" spans="1:19" s="1" customFormat="1" ht="15.75">
      <c r="A473" s="107"/>
      <c r="B473" s="1409" t="s">
        <v>649</v>
      </c>
      <c r="C473" s="1410"/>
      <c r="D473" s="1410"/>
      <c r="E473" s="1410"/>
      <c r="F473" s="1410"/>
      <c r="G473" s="1411"/>
      <c r="H473" s="111">
        <f>H474</f>
        <v>478</v>
      </c>
      <c r="I473" s="111">
        <f t="shared" ref="I473:P473" si="138">I474</f>
        <v>438.4</v>
      </c>
      <c r="J473" s="111">
        <f t="shared" si="138"/>
        <v>0</v>
      </c>
      <c r="K473" s="111">
        <f t="shared" si="138"/>
        <v>15</v>
      </c>
      <c r="L473" s="566">
        <f t="shared" si="138"/>
        <v>204131</v>
      </c>
      <c r="M473" s="566">
        <f t="shared" si="138"/>
        <v>0</v>
      </c>
      <c r="N473" s="566">
        <f t="shared" si="138"/>
        <v>0</v>
      </c>
      <c r="O473" s="566">
        <f t="shared" si="138"/>
        <v>204131</v>
      </c>
      <c r="P473" s="566">
        <f t="shared" si="138"/>
        <v>0</v>
      </c>
      <c r="Q473" s="106" t="s">
        <v>40</v>
      </c>
      <c r="R473" s="106" t="s">
        <v>40</v>
      </c>
      <c r="S473" s="316">
        <v>43100</v>
      </c>
    </row>
    <row r="474" spans="1:19" s="1" customFormat="1" ht="20.45" customHeight="1">
      <c r="A474" s="308"/>
      <c r="B474" s="1406" t="s">
        <v>650</v>
      </c>
      <c r="C474" s="1407"/>
      <c r="D474" s="1407"/>
      <c r="E474" s="1407"/>
      <c r="F474" s="1407"/>
      <c r="G474" s="1408"/>
      <c r="H474" s="312">
        <f>H475</f>
        <v>478</v>
      </c>
      <c r="I474" s="312">
        <f t="shared" ref="I474:P474" si="139">I475</f>
        <v>438.4</v>
      </c>
      <c r="J474" s="312">
        <f t="shared" si="139"/>
        <v>0</v>
      </c>
      <c r="K474" s="312">
        <f t="shared" si="139"/>
        <v>15</v>
      </c>
      <c r="L474" s="714">
        <f t="shared" si="139"/>
        <v>204131</v>
      </c>
      <c r="M474" s="714">
        <f t="shared" si="139"/>
        <v>0</v>
      </c>
      <c r="N474" s="714">
        <f t="shared" si="139"/>
        <v>0</v>
      </c>
      <c r="O474" s="714">
        <f t="shared" si="139"/>
        <v>204131</v>
      </c>
      <c r="P474" s="714">
        <f t="shared" si="139"/>
        <v>0</v>
      </c>
      <c r="Q474" s="350" t="s">
        <v>40</v>
      </c>
      <c r="R474" s="350" t="s">
        <v>40</v>
      </c>
      <c r="S474" s="316">
        <v>43100</v>
      </c>
    </row>
    <row r="475" spans="1:19" s="1" customFormat="1" ht="31.5">
      <c r="A475" s="308">
        <v>95</v>
      </c>
      <c r="B475" s="345" t="s">
        <v>651</v>
      </c>
      <c r="C475" s="310">
        <v>1966</v>
      </c>
      <c r="D475" s="310"/>
      <c r="E475" s="311" t="s">
        <v>218</v>
      </c>
      <c r="F475" s="310">
        <v>2</v>
      </c>
      <c r="G475" s="310">
        <v>3</v>
      </c>
      <c r="H475" s="312">
        <v>478</v>
      </c>
      <c r="I475" s="315">
        <v>438.4</v>
      </c>
      <c r="J475" s="315">
        <v>0</v>
      </c>
      <c r="K475" s="313">
        <v>15</v>
      </c>
      <c r="L475" s="314">
        <v>204131</v>
      </c>
      <c r="M475" s="314">
        <v>0</v>
      </c>
      <c r="N475" s="314">
        <v>0</v>
      </c>
      <c r="O475" s="314">
        <v>204131</v>
      </c>
      <c r="P475" s="314">
        <v>0</v>
      </c>
      <c r="Q475" s="350">
        <f t="shared" ref="Q475" si="140">L475/I475</f>
        <v>465.62728102189783</v>
      </c>
      <c r="R475" s="315">
        <v>7822</v>
      </c>
      <c r="S475" s="316">
        <v>43100</v>
      </c>
    </row>
    <row r="476" spans="1:19" s="1" customFormat="1" ht="15.75">
      <c r="A476" s="107"/>
      <c r="B476" s="1336" t="s">
        <v>62</v>
      </c>
      <c r="C476" s="1336"/>
      <c r="D476" s="1336"/>
      <c r="E476" s="1336"/>
      <c r="F476" s="1336"/>
      <c r="G476" s="1336"/>
      <c r="H476" s="128">
        <f>H477</f>
        <v>508.92</v>
      </c>
      <c r="I476" s="106">
        <f t="shared" ref="I476:P476" si="141">I477</f>
        <v>442.92</v>
      </c>
      <c r="J476" s="106">
        <f t="shared" si="141"/>
        <v>442.92</v>
      </c>
      <c r="K476" s="119">
        <f t="shared" si="141"/>
        <v>16</v>
      </c>
      <c r="L476" s="113">
        <f t="shared" si="141"/>
        <v>1214790</v>
      </c>
      <c r="M476" s="113">
        <f t="shared" si="141"/>
        <v>0</v>
      </c>
      <c r="N476" s="113">
        <f t="shared" si="141"/>
        <v>0</v>
      </c>
      <c r="O476" s="113">
        <f t="shared" si="141"/>
        <v>1214790</v>
      </c>
      <c r="P476" s="113">
        <f t="shared" si="141"/>
        <v>0</v>
      </c>
      <c r="Q476" s="106" t="s">
        <v>40</v>
      </c>
      <c r="R476" s="106" t="s">
        <v>40</v>
      </c>
      <c r="S476" s="316">
        <v>43100</v>
      </c>
    </row>
    <row r="477" spans="1:19" s="1" customFormat="1" ht="15.75">
      <c r="A477" s="107"/>
      <c r="B477" s="1336" t="s">
        <v>117</v>
      </c>
      <c r="C477" s="1336"/>
      <c r="D477" s="1336"/>
      <c r="E477" s="1336"/>
      <c r="F477" s="1336"/>
      <c r="G477" s="1336"/>
      <c r="H477" s="128">
        <f>H478</f>
        <v>508.92</v>
      </c>
      <c r="I477" s="106">
        <f t="shared" ref="I477:P477" si="142">I478</f>
        <v>442.92</v>
      </c>
      <c r="J477" s="106">
        <f t="shared" si="142"/>
        <v>442.92</v>
      </c>
      <c r="K477" s="119">
        <f t="shared" si="142"/>
        <v>16</v>
      </c>
      <c r="L477" s="113">
        <f t="shared" si="142"/>
        <v>1214790</v>
      </c>
      <c r="M477" s="113">
        <f t="shared" si="142"/>
        <v>0</v>
      </c>
      <c r="N477" s="113">
        <f t="shared" si="142"/>
        <v>0</v>
      </c>
      <c r="O477" s="113">
        <f t="shared" si="142"/>
        <v>1214790</v>
      </c>
      <c r="P477" s="113">
        <f t="shared" si="142"/>
        <v>0</v>
      </c>
      <c r="Q477" s="106" t="s">
        <v>40</v>
      </c>
      <c r="R477" s="106" t="s">
        <v>40</v>
      </c>
      <c r="S477" s="316">
        <v>43100</v>
      </c>
    </row>
    <row r="478" spans="1:19" s="1" customFormat="1" ht="15.75">
      <c r="A478" s="308">
        <v>96</v>
      </c>
      <c r="B478" s="363" t="s">
        <v>486</v>
      </c>
      <c r="C478" s="346">
        <v>1973</v>
      </c>
      <c r="D478" s="346"/>
      <c r="E478" s="311" t="s">
        <v>220</v>
      </c>
      <c r="F478" s="346">
        <v>2</v>
      </c>
      <c r="G478" s="346">
        <v>2</v>
      </c>
      <c r="H478" s="347">
        <v>508.92</v>
      </c>
      <c r="I478" s="350">
        <v>442.92</v>
      </c>
      <c r="J478" s="350">
        <v>442.92</v>
      </c>
      <c r="K478" s="349">
        <v>16</v>
      </c>
      <c r="L478" s="314">
        <v>1214790</v>
      </c>
      <c r="M478" s="314">
        <v>0</v>
      </c>
      <c r="N478" s="314">
        <v>0</v>
      </c>
      <c r="O478" s="314">
        <f>L478</f>
        <v>1214790</v>
      </c>
      <c r="P478" s="314">
        <v>0</v>
      </c>
      <c r="Q478" s="350">
        <f>L478/I478</f>
        <v>2742.6849092386888</v>
      </c>
      <c r="R478" s="315">
        <v>7822</v>
      </c>
      <c r="S478" s="316">
        <v>43100</v>
      </c>
    </row>
    <row r="479" spans="1:19" s="1" customFormat="1" ht="15.75">
      <c r="A479" s="107"/>
      <c r="B479" s="1336" t="s">
        <v>63</v>
      </c>
      <c r="C479" s="1336"/>
      <c r="D479" s="1336"/>
      <c r="E479" s="1336"/>
      <c r="F479" s="1336"/>
      <c r="G479" s="1336"/>
      <c r="H479" s="128">
        <f>H480</f>
        <v>4999.2</v>
      </c>
      <c r="I479" s="106">
        <f t="shared" ref="I479:P479" si="143">I480</f>
        <v>4566.3</v>
      </c>
      <c r="J479" s="106">
        <f t="shared" si="143"/>
        <v>4512.6000000000004</v>
      </c>
      <c r="K479" s="119">
        <f t="shared" si="143"/>
        <v>190</v>
      </c>
      <c r="L479" s="113">
        <f t="shared" si="143"/>
        <v>3037109</v>
      </c>
      <c r="M479" s="113">
        <f t="shared" si="143"/>
        <v>0</v>
      </c>
      <c r="N479" s="113">
        <f t="shared" si="143"/>
        <v>214483.68</v>
      </c>
      <c r="O479" s="113">
        <f t="shared" si="143"/>
        <v>2822625.3200000003</v>
      </c>
      <c r="P479" s="113">
        <f t="shared" si="143"/>
        <v>0</v>
      </c>
      <c r="Q479" s="106" t="s">
        <v>40</v>
      </c>
      <c r="R479" s="106" t="s">
        <v>40</v>
      </c>
      <c r="S479" s="316">
        <v>43100</v>
      </c>
    </row>
    <row r="480" spans="1:19" s="1" customFormat="1" ht="15.75" customHeight="1">
      <c r="A480" s="308"/>
      <c r="B480" s="1403" t="s">
        <v>116</v>
      </c>
      <c r="C480" s="1403"/>
      <c r="D480" s="1403"/>
      <c r="E480" s="1403"/>
      <c r="F480" s="1403"/>
      <c r="G480" s="1403"/>
      <c r="H480" s="347">
        <f>H481+H482</f>
        <v>4999.2</v>
      </c>
      <c r="I480" s="350">
        <f t="shared" ref="I480:P480" si="144">I481+I482</f>
        <v>4566.3</v>
      </c>
      <c r="J480" s="350">
        <f t="shared" si="144"/>
        <v>4512.6000000000004</v>
      </c>
      <c r="K480" s="349">
        <f t="shared" si="144"/>
        <v>190</v>
      </c>
      <c r="L480" s="314">
        <f>L481+L482</f>
        <v>3037109</v>
      </c>
      <c r="M480" s="314">
        <f t="shared" si="144"/>
        <v>0</v>
      </c>
      <c r="N480" s="314">
        <f t="shared" si="144"/>
        <v>214483.68</v>
      </c>
      <c r="O480" s="314">
        <f t="shared" si="144"/>
        <v>2822625.3200000003</v>
      </c>
      <c r="P480" s="314">
        <f t="shared" si="144"/>
        <v>0</v>
      </c>
      <c r="Q480" s="350" t="s">
        <v>40</v>
      </c>
      <c r="R480" s="350" t="s">
        <v>40</v>
      </c>
      <c r="S480" s="316">
        <v>43100</v>
      </c>
    </row>
    <row r="481" spans="1:19" s="1" customFormat="1" ht="15.75">
      <c r="A481" s="308">
        <v>97</v>
      </c>
      <c r="B481" s="715" t="s">
        <v>675</v>
      </c>
      <c r="C481" s="716">
        <v>1992</v>
      </c>
      <c r="D481" s="717"/>
      <c r="E481" s="311" t="s">
        <v>219</v>
      </c>
      <c r="F481" s="716">
        <v>5</v>
      </c>
      <c r="G481" s="716">
        <v>4</v>
      </c>
      <c r="H481" s="388">
        <v>3349.7</v>
      </c>
      <c r="I481" s="389">
        <v>3054.1</v>
      </c>
      <c r="J481" s="389">
        <v>3000.4</v>
      </c>
      <c r="K481" s="390">
        <v>125</v>
      </c>
      <c r="L481" s="314">
        <v>2012761</v>
      </c>
      <c r="M481" s="314">
        <v>0</v>
      </c>
      <c r="N481" s="314">
        <v>142143.20000000001</v>
      </c>
      <c r="O481" s="314">
        <v>1870617.8</v>
      </c>
      <c r="P481" s="314">
        <v>0</v>
      </c>
      <c r="Q481" s="391">
        <f>L481/I481</f>
        <v>659.03572247143188</v>
      </c>
      <c r="R481" s="315">
        <v>7822</v>
      </c>
      <c r="S481" s="316">
        <v>43100</v>
      </c>
    </row>
    <row r="482" spans="1:19" s="1" customFormat="1" ht="15.75">
      <c r="A482" s="308">
        <v>98</v>
      </c>
      <c r="B482" s="715" t="s">
        <v>676</v>
      </c>
      <c r="C482" s="717">
        <v>1983</v>
      </c>
      <c r="D482" s="718"/>
      <c r="E482" s="311" t="s">
        <v>219</v>
      </c>
      <c r="F482" s="716">
        <v>5</v>
      </c>
      <c r="G482" s="716">
        <v>2</v>
      </c>
      <c r="H482" s="388">
        <v>1649.5</v>
      </c>
      <c r="I482" s="389">
        <v>1512.2</v>
      </c>
      <c r="J482" s="389">
        <v>1512.2</v>
      </c>
      <c r="K482" s="390">
        <v>65</v>
      </c>
      <c r="L482" s="314">
        <v>1024348</v>
      </c>
      <c r="M482" s="314">
        <v>0</v>
      </c>
      <c r="N482" s="314">
        <v>72340.479999999996</v>
      </c>
      <c r="O482" s="314">
        <v>952007.52</v>
      </c>
      <c r="P482" s="314">
        <v>0</v>
      </c>
      <c r="Q482" s="391">
        <f>L482/I482</f>
        <v>677.38923422827668</v>
      </c>
      <c r="R482" s="315">
        <v>7822</v>
      </c>
      <c r="S482" s="316">
        <v>43100</v>
      </c>
    </row>
    <row r="483" spans="1:19" s="1" customFormat="1" ht="15.75">
      <c r="A483" s="308"/>
      <c r="B483" s="1412" t="s">
        <v>663</v>
      </c>
      <c r="C483" s="1413"/>
      <c r="D483" s="1413"/>
      <c r="E483" s="1413"/>
      <c r="F483" s="1413"/>
      <c r="G483" s="1414"/>
      <c r="H483" s="388">
        <f>H484</f>
        <v>555</v>
      </c>
      <c r="I483" s="388">
        <f t="shared" ref="I483:P483" si="145">I484</f>
        <v>513.20000000000005</v>
      </c>
      <c r="J483" s="388">
        <f t="shared" si="145"/>
        <v>437.9</v>
      </c>
      <c r="K483" s="388">
        <f t="shared" si="145"/>
        <v>16</v>
      </c>
      <c r="L483" s="789">
        <f t="shared" si="145"/>
        <v>1402598</v>
      </c>
      <c r="M483" s="789">
        <f t="shared" si="145"/>
        <v>0</v>
      </c>
      <c r="N483" s="789">
        <f t="shared" si="145"/>
        <v>0</v>
      </c>
      <c r="O483" s="789">
        <f t="shared" si="145"/>
        <v>1402598</v>
      </c>
      <c r="P483" s="789">
        <f t="shared" si="145"/>
        <v>0</v>
      </c>
      <c r="Q483" s="391"/>
      <c r="R483" s="315"/>
      <c r="S483" s="316">
        <v>43100</v>
      </c>
    </row>
    <row r="484" spans="1:19" s="1" customFormat="1" ht="31.5">
      <c r="A484" s="308">
        <v>99</v>
      </c>
      <c r="B484" s="715" t="s">
        <v>664</v>
      </c>
      <c r="C484" s="717">
        <v>1972</v>
      </c>
      <c r="D484" s="718"/>
      <c r="E484" s="569" t="s">
        <v>665</v>
      </c>
      <c r="F484" s="716">
        <v>2</v>
      </c>
      <c r="G484" s="716">
        <v>2</v>
      </c>
      <c r="H484" s="388">
        <v>555</v>
      </c>
      <c r="I484" s="389">
        <v>513.20000000000005</v>
      </c>
      <c r="J484" s="389">
        <v>437.9</v>
      </c>
      <c r="K484" s="390">
        <v>16</v>
      </c>
      <c r="L484" s="314">
        <v>1402598</v>
      </c>
      <c r="M484" s="314">
        <v>0</v>
      </c>
      <c r="N484" s="314">
        <v>0</v>
      </c>
      <c r="O484" s="314">
        <v>1402598</v>
      </c>
      <c r="P484" s="314">
        <v>0</v>
      </c>
      <c r="Q484" s="391">
        <f t="shared" ref="Q484" si="146">L484/I484</f>
        <v>2733.0436477007011</v>
      </c>
      <c r="R484" s="315">
        <v>7822</v>
      </c>
      <c r="S484" s="316">
        <v>43100</v>
      </c>
    </row>
    <row r="485" spans="1:19" s="1" customFormat="1" ht="15.75">
      <c r="A485" s="107"/>
      <c r="B485" s="1336" t="s">
        <v>64</v>
      </c>
      <c r="C485" s="1336"/>
      <c r="D485" s="1336"/>
      <c r="E485" s="1336"/>
      <c r="F485" s="1336"/>
      <c r="G485" s="1336"/>
      <c r="H485" s="128">
        <f>H486</f>
        <v>1306.5</v>
      </c>
      <c r="I485" s="106">
        <f t="shared" ref="I485:P485" si="147">I486</f>
        <v>1229.3</v>
      </c>
      <c r="J485" s="106">
        <f t="shared" si="147"/>
        <v>1229.3</v>
      </c>
      <c r="K485" s="119">
        <f t="shared" si="147"/>
        <v>49</v>
      </c>
      <c r="L485" s="113">
        <f t="shared" si="147"/>
        <v>5743338</v>
      </c>
      <c r="M485" s="113">
        <f t="shared" si="147"/>
        <v>0</v>
      </c>
      <c r="N485" s="113">
        <f t="shared" si="147"/>
        <v>0</v>
      </c>
      <c r="O485" s="113">
        <f t="shared" si="147"/>
        <v>5743338</v>
      </c>
      <c r="P485" s="113">
        <f t="shared" si="147"/>
        <v>0</v>
      </c>
      <c r="Q485" s="106" t="s">
        <v>40</v>
      </c>
      <c r="R485" s="106" t="s">
        <v>40</v>
      </c>
      <c r="S485" s="316">
        <v>43100</v>
      </c>
    </row>
    <row r="486" spans="1:19" s="1" customFormat="1" ht="15.75">
      <c r="A486" s="107"/>
      <c r="B486" s="1336" t="s">
        <v>115</v>
      </c>
      <c r="C486" s="1336"/>
      <c r="D486" s="1336"/>
      <c r="E486" s="1336"/>
      <c r="F486" s="1336"/>
      <c r="G486" s="1336"/>
      <c r="H486" s="128">
        <f>SUM(H487:H490)</f>
        <v>1306.5</v>
      </c>
      <c r="I486" s="106">
        <f t="shared" ref="I486:O486" si="148">SUM(I487:I490)</f>
        <v>1229.3</v>
      </c>
      <c r="J486" s="106">
        <f t="shared" si="148"/>
        <v>1229.3</v>
      </c>
      <c r="K486" s="119">
        <f t="shared" si="148"/>
        <v>49</v>
      </c>
      <c r="L486" s="113">
        <f t="shared" si="148"/>
        <v>5743338</v>
      </c>
      <c r="M486" s="113">
        <f t="shared" si="148"/>
        <v>0</v>
      </c>
      <c r="N486" s="113">
        <f t="shared" si="148"/>
        <v>0</v>
      </c>
      <c r="O486" s="113">
        <f t="shared" si="148"/>
        <v>5743338</v>
      </c>
      <c r="P486" s="113">
        <f t="shared" ref="P486" si="149">SUM(P487:P489)</f>
        <v>0</v>
      </c>
      <c r="Q486" s="106" t="s">
        <v>40</v>
      </c>
      <c r="R486" s="106" t="s">
        <v>40</v>
      </c>
      <c r="S486" s="316">
        <v>43100</v>
      </c>
    </row>
    <row r="487" spans="1:19" s="1" customFormat="1" ht="31.5">
      <c r="A487" s="308">
        <v>100</v>
      </c>
      <c r="B487" s="363" t="s">
        <v>608</v>
      </c>
      <c r="C487" s="346">
        <v>1978</v>
      </c>
      <c r="D487" s="346"/>
      <c r="E487" s="311" t="s">
        <v>218</v>
      </c>
      <c r="F487" s="346">
        <v>2</v>
      </c>
      <c r="G487" s="346">
        <v>1</v>
      </c>
      <c r="H487" s="347">
        <v>291</v>
      </c>
      <c r="I487" s="350">
        <v>291</v>
      </c>
      <c r="J487" s="350">
        <v>291</v>
      </c>
      <c r="K487" s="349">
        <v>10</v>
      </c>
      <c r="L487" s="314">
        <v>2311572</v>
      </c>
      <c r="M487" s="314">
        <v>0</v>
      </c>
      <c r="N487" s="314">
        <v>0</v>
      </c>
      <c r="O487" s="314">
        <f>L487</f>
        <v>2311572</v>
      </c>
      <c r="P487" s="314">
        <v>0</v>
      </c>
      <c r="Q487" s="350">
        <f>L487/I487</f>
        <v>7943.5463917525776</v>
      </c>
      <c r="R487" s="315">
        <v>7822</v>
      </c>
      <c r="S487" s="316">
        <v>43100</v>
      </c>
    </row>
    <row r="488" spans="1:19" s="1" customFormat="1" ht="31.5">
      <c r="A488" s="308">
        <v>101</v>
      </c>
      <c r="B488" s="363" t="s">
        <v>609</v>
      </c>
      <c r="C488" s="346">
        <v>1917</v>
      </c>
      <c r="D488" s="346"/>
      <c r="E488" s="311" t="s">
        <v>218</v>
      </c>
      <c r="F488" s="346">
        <v>1</v>
      </c>
      <c r="G488" s="346">
        <v>1</v>
      </c>
      <c r="H488" s="347">
        <v>120</v>
      </c>
      <c r="I488" s="350">
        <v>120</v>
      </c>
      <c r="J488" s="350">
        <v>120</v>
      </c>
      <c r="K488" s="349">
        <v>5</v>
      </c>
      <c r="L488" s="314">
        <v>968625</v>
      </c>
      <c r="M488" s="314">
        <v>0</v>
      </c>
      <c r="N488" s="314">
        <v>0</v>
      </c>
      <c r="O488" s="314">
        <f>L488</f>
        <v>968625</v>
      </c>
      <c r="P488" s="314">
        <v>0</v>
      </c>
      <c r="Q488" s="350">
        <f>L488/I488</f>
        <v>8071.875</v>
      </c>
      <c r="R488" s="315">
        <v>7822</v>
      </c>
      <c r="S488" s="316">
        <v>43100</v>
      </c>
    </row>
    <row r="489" spans="1:19" s="1" customFormat="1" ht="31.5">
      <c r="A489" s="308">
        <v>102</v>
      </c>
      <c r="B489" s="363" t="s">
        <v>610</v>
      </c>
      <c r="C489" s="346">
        <v>1965</v>
      </c>
      <c r="D489" s="346"/>
      <c r="E489" s="311" t="s">
        <v>218</v>
      </c>
      <c r="F489" s="346">
        <v>2</v>
      </c>
      <c r="G489" s="346">
        <v>1</v>
      </c>
      <c r="H489" s="347">
        <v>407.6</v>
      </c>
      <c r="I489" s="350">
        <v>376.6</v>
      </c>
      <c r="J489" s="350">
        <v>376.6</v>
      </c>
      <c r="K489" s="349">
        <v>17</v>
      </c>
      <c r="L489" s="314">
        <v>1139852</v>
      </c>
      <c r="M489" s="314">
        <v>0</v>
      </c>
      <c r="N489" s="314">
        <v>0</v>
      </c>
      <c r="O489" s="314">
        <f>L489</f>
        <v>1139852</v>
      </c>
      <c r="P489" s="314">
        <v>0</v>
      </c>
      <c r="Q489" s="350">
        <f>L489/I489</f>
        <v>3026.6914498141264</v>
      </c>
      <c r="R489" s="315">
        <v>7822</v>
      </c>
      <c r="S489" s="316">
        <v>43100</v>
      </c>
    </row>
    <row r="490" spans="1:19" s="1" customFormat="1" ht="31.5">
      <c r="A490" s="308">
        <v>103</v>
      </c>
      <c r="B490" s="363" t="s">
        <v>611</v>
      </c>
      <c r="C490" s="346">
        <v>1965</v>
      </c>
      <c r="D490" s="346"/>
      <c r="E490" s="311" t="s">
        <v>218</v>
      </c>
      <c r="F490" s="346">
        <v>2</v>
      </c>
      <c r="G490" s="346">
        <v>1</v>
      </c>
      <c r="H490" s="347">
        <v>487.9</v>
      </c>
      <c r="I490" s="350">
        <v>441.7</v>
      </c>
      <c r="J490" s="350">
        <v>441.7</v>
      </c>
      <c r="K490" s="349">
        <v>17</v>
      </c>
      <c r="L490" s="314">
        <v>1323289</v>
      </c>
      <c r="M490" s="314">
        <v>0</v>
      </c>
      <c r="N490" s="314">
        <v>0</v>
      </c>
      <c r="O490" s="314">
        <f>L490</f>
        <v>1323289</v>
      </c>
      <c r="P490" s="314">
        <v>0</v>
      </c>
      <c r="Q490" s="350">
        <f>L490/I490</f>
        <v>2995.8999320805979</v>
      </c>
      <c r="R490" s="315">
        <v>7822</v>
      </c>
      <c r="S490" s="316">
        <v>43100</v>
      </c>
    </row>
    <row r="491" spans="1:19" s="1" customFormat="1" ht="15.75">
      <c r="A491" s="107"/>
      <c r="B491" s="1336" t="s">
        <v>211</v>
      </c>
      <c r="C491" s="1336"/>
      <c r="D491" s="1336"/>
      <c r="E491" s="1336"/>
      <c r="F491" s="1336"/>
      <c r="G491" s="1336"/>
      <c r="H491" s="128">
        <f t="shared" ref="H491:P491" si="150">H492+H494</f>
        <v>1095.3</v>
      </c>
      <c r="I491" s="128">
        <f t="shared" si="150"/>
        <v>1043.2</v>
      </c>
      <c r="J491" s="128">
        <f t="shared" si="150"/>
        <v>928</v>
      </c>
      <c r="K491" s="119">
        <f t="shared" si="150"/>
        <v>27</v>
      </c>
      <c r="L491" s="113">
        <f t="shared" si="150"/>
        <v>2988909</v>
      </c>
      <c r="M491" s="113">
        <f t="shared" si="150"/>
        <v>0</v>
      </c>
      <c r="N491" s="113">
        <f t="shared" si="150"/>
        <v>0</v>
      </c>
      <c r="O491" s="113">
        <f t="shared" si="150"/>
        <v>2988909</v>
      </c>
      <c r="P491" s="113">
        <f t="shared" si="150"/>
        <v>0</v>
      </c>
      <c r="Q491" s="106" t="s">
        <v>40</v>
      </c>
      <c r="R491" s="106" t="s">
        <v>40</v>
      </c>
      <c r="S491" s="316">
        <v>43100</v>
      </c>
    </row>
    <row r="492" spans="1:19" s="1" customFormat="1" ht="15.75">
      <c r="A492" s="107"/>
      <c r="B492" s="1336" t="s">
        <v>629</v>
      </c>
      <c r="C492" s="1336"/>
      <c r="D492" s="1336"/>
      <c r="E492" s="1336"/>
      <c r="F492" s="1336"/>
      <c r="G492" s="1336"/>
      <c r="H492" s="128">
        <f>H493</f>
        <v>494.8</v>
      </c>
      <c r="I492" s="128">
        <f t="shared" ref="I492:P492" si="151">I493</f>
        <v>494.8</v>
      </c>
      <c r="J492" s="128">
        <f t="shared" si="151"/>
        <v>379.6</v>
      </c>
      <c r="K492" s="119">
        <f t="shared" si="151"/>
        <v>12</v>
      </c>
      <c r="L492" s="113">
        <f t="shared" si="151"/>
        <v>1537679</v>
      </c>
      <c r="M492" s="113">
        <f t="shared" si="151"/>
        <v>0</v>
      </c>
      <c r="N492" s="113">
        <f t="shared" si="151"/>
        <v>0</v>
      </c>
      <c r="O492" s="113">
        <f t="shared" si="151"/>
        <v>1537679</v>
      </c>
      <c r="P492" s="113">
        <f t="shared" si="151"/>
        <v>0</v>
      </c>
      <c r="Q492" s="106" t="s">
        <v>40</v>
      </c>
      <c r="R492" s="114" t="s">
        <v>40</v>
      </c>
      <c r="S492" s="316">
        <v>43100</v>
      </c>
    </row>
    <row r="493" spans="1:19" s="1" customFormat="1" ht="31.5">
      <c r="A493" s="107"/>
      <c r="B493" s="559" t="s">
        <v>630</v>
      </c>
      <c r="C493" s="118">
        <v>1917</v>
      </c>
      <c r="D493" s="118"/>
      <c r="E493" s="109" t="s">
        <v>218</v>
      </c>
      <c r="F493" s="118">
        <v>2</v>
      </c>
      <c r="G493" s="118">
        <v>1</v>
      </c>
      <c r="H493" s="128">
        <v>494.8</v>
      </c>
      <c r="I493" s="106">
        <v>494.8</v>
      </c>
      <c r="J493" s="106">
        <v>379.6</v>
      </c>
      <c r="K493" s="119">
        <v>12</v>
      </c>
      <c r="L493" s="113">
        <v>1537679</v>
      </c>
      <c r="M493" s="113">
        <v>0</v>
      </c>
      <c r="N493" s="113">
        <v>0</v>
      </c>
      <c r="O493" s="113">
        <v>1537679</v>
      </c>
      <c r="P493" s="113">
        <v>0</v>
      </c>
      <c r="Q493" s="106">
        <f>L493/I493</f>
        <v>3107.6778496362167</v>
      </c>
      <c r="R493" s="114">
        <v>7822</v>
      </c>
      <c r="S493" s="316">
        <v>43100</v>
      </c>
    </row>
    <row r="494" spans="1:19" s="1" customFormat="1" ht="15.75">
      <c r="A494" s="107"/>
      <c r="B494" s="1336" t="s">
        <v>631</v>
      </c>
      <c r="C494" s="1336"/>
      <c r="D494" s="1336"/>
      <c r="E494" s="1336"/>
      <c r="F494" s="1336"/>
      <c r="G494" s="1336"/>
      <c r="H494" s="128">
        <f>H495</f>
        <v>600.5</v>
      </c>
      <c r="I494" s="128">
        <f t="shared" ref="I494:P494" si="152">I495</f>
        <v>548.4</v>
      </c>
      <c r="J494" s="128">
        <f t="shared" si="152"/>
        <v>548.4</v>
      </c>
      <c r="K494" s="119">
        <f t="shared" si="152"/>
        <v>15</v>
      </c>
      <c r="L494" s="113">
        <f t="shared" si="152"/>
        <v>1451230</v>
      </c>
      <c r="M494" s="113">
        <f t="shared" si="152"/>
        <v>0</v>
      </c>
      <c r="N494" s="113">
        <f t="shared" si="152"/>
        <v>0</v>
      </c>
      <c r="O494" s="113">
        <f t="shared" si="152"/>
        <v>1451230</v>
      </c>
      <c r="P494" s="113">
        <f t="shared" si="152"/>
        <v>0</v>
      </c>
      <c r="Q494" s="106" t="s">
        <v>40</v>
      </c>
      <c r="R494" s="114" t="s">
        <v>40</v>
      </c>
      <c r="S494" s="316">
        <v>43100</v>
      </c>
    </row>
    <row r="495" spans="1:19" s="1" customFormat="1" ht="31.5">
      <c r="A495" s="107"/>
      <c r="B495" s="564" t="s">
        <v>632</v>
      </c>
      <c r="C495" s="118">
        <v>1982</v>
      </c>
      <c r="D495" s="118"/>
      <c r="E495" s="109" t="s">
        <v>218</v>
      </c>
      <c r="F495" s="118">
        <v>2</v>
      </c>
      <c r="G495" s="118">
        <v>2</v>
      </c>
      <c r="H495" s="128">
        <v>600.5</v>
      </c>
      <c r="I495" s="106">
        <v>548.4</v>
      </c>
      <c r="J495" s="106">
        <v>548.4</v>
      </c>
      <c r="K495" s="119">
        <v>15</v>
      </c>
      <c r="L495" s="113">
        <v>1451230</v>
      </c>
      <c r="M495" s="113">
        <v>0</v>
      </c>
      <c r="N495" s="113">
        <v>0</v>
      </c>
      <c r="O495" s="113">
        <v>1451230</v>
      </c>
      <c r="P495" s="113">
        <v>0</v>
      </c>
      <c r="Q495" s="106">
        <f>L495/I495</f>
        <v>2646.2983223924143</v>
      </c>
      <c r="R495" s="114">
        <v>7822</v>
      </c>
      <c r="S495" s="316">
        <v>43100</v>
      </c>
    </row>
    <row r="496" spans="1:19" s="1" customFormat="1" ht="15.75">
      <c r="A496" s="107"/>
      <c r="B496" s="1336" t="s">
        <v>66</v>
      </c>
      <c r="C496" s="1336"/>
      <c r="D496" s="1336"/>
      <c r="E496" s="1336"/>
      <c r="F496" s="1336"/>
      <c r="G496" s="1336"/>
      <c r="H496" s="128">
        <f>H499+H497</f>
        <v>2315.6</v>
      </c>
      <c r="I496" s="128">
        <f t="shared" ref="I496:P496" si="153">I499+I497</f>
        <v>1993.8000000000002</v>
      </c>
      <c r="J496" s="128">
        <f t="shared" si="153"/>
        <v>1887.2</v>
      </c>
      <c r="K496" s="128">
        <f t="shared" si="153"/>
        <v>65</v>
      </c>
      <c r="L496" s="366">
        <f t="shared" si="153"/>
        <v>4692143</v>
      </c>
      <c r="M496" s="366">
        <f t="shared" si="153"/>
        <v>0</v>
      </c>
      <c r="N496" s="366">
        <f t="shared" si="153"/>
        <v>0</v>
      </c>
      <c r="O496" s="366">
        <f t="shared" si="153"/>
        <v>4692143</v>
      </c>
      <c r="P496" s="366">
        <f t="shared" si="153"/>
        <v>0</v>
      </c>
      <c r="Q496" s="106" t="s">
        <v>40</v>
      </c>
      <c r="R496" s="106" t="s">
        <v>40</v>
      </c>
      <c r="S496" s="316">
        <v>43100</v>
      </c>
    </row>
    <row r="497" spans="1:19" s="1" customFormat="1" ht="15.75">
      <c r="A497" s="308"/>
      <c r="B497" s="866" t="s">
        <v>641</v>
      </c>
      <c r="C497" s="866"/>
      <c r="D497" s="866"/>
      <c r="E497" s="866"/>
      <c r="F497" s="866"/>
      <c r="G497" s="866"/>
      <c r="H497" s="347">
        <f>H498</f>
        <v>675.9</v>
      </c>
      <c r="I497" s="347">
        <f t="shared" ref="I497:P497" si="154">I498</f>
        <v>626.4</v>
      </c>
      <c r="J497" s="347">
        <f t="shared" si="154"/>
        <v>544.20000000000005</v>
      </c>
      <c r="K497" s="347">
        <f t="shared" si="154"/>
        <v>21</v>
      </c>
      <c r="L497" s="820">
        <f t="shared" si="154"/>
        <v>346938</v>
      </c>
      <c r="M497" s="820">
        <f t="shared" si="154"/>
        <v>0</v>
      </c>
      <c r="N497" s="820">
        <f t="shared" si="154"/>
        <v>0</v>
      </c>
      <c r="O497" s="820">
        <f t="shared" si="154"/>
        <v>346938</v>
      </c>
      <c r="P497" s="820">
        <f t="shared" si="154"/>
        <v>0</v>
      </c>
      <c r="Q497" s="350" t="s">
        <v>40</v>
      </c>
      <c r="R497" s="315" t="s">
        <v>40</v>
      </c>
      <c r="S497" s="316">
        <v>43100</v>
      </c>
    </row>
    <row r="498" spans="1:19" s="1" customFormat="1" ht="31.5">
      <c r="A498" s="308"/>
      <c r="B498" s="866" t="s">
        <v>642</v>
      </c>
      <c r="C498" s="346">
        <v>1972</v>
      </c>
      <c r="D498" s="346"/>
      <c r="E498" s="311" t="s">
        <v>218</v>
      </c>
      <c r="F498" s="346">
        <v>2</v>
      </c>
      <c r="G498" s="346">
        <v>2</v>
      </c>
      <c r="H498" s="347">
        <v>675.9</v>
      </c>
      <c r="I498" s="350">
        <v>626.4</v>
      </c>
      <c r="J498" s="350">
        <v>544.20000000000005</v>
      </c>
      <c r="K498" s="349">
        <v>21</v>
      </c>
      <c r="L498" s="849">
        <v>346938</v>
      </c>
      <c r="M498" s="849">
        <v>0</v>
      </c>
      <c r="N498" s="849">
        <v>0</v>
      </c>
      <c r="O498" s="849">
        <v>346938</v>
      </c>
      <c r="P498" s="849">
        <v>0</v>
      </c>
      <c r="Q498" s="670">
        <f>L498/I498</f>
        <v>553.86015325670496</v>
      </c>
      <c r="R498" s="670">
        <v>7822</v>
      </c>
      <c r="S498" s="316">
        <v>43100</v>
      </c>
    </row>
    <row r="499" spans="1:19" s="1" customFormat="1" ht="15.75">
      <c r="A499" s="107"/>
      <c r="B499" s="1336" t="s">
        <v>114</v>
      </c>
      <c r="C499" s="1336"/>
      <c r="D499" s="1336"/>
      <c r="E499" s="1336"/>
      <c r="F499" s="1336"/>
      <c r="G499" s="1336"/>
      <c r="H499" s="128">
        <f>H500+H501+H502</f>
        <v>1639.7</v>
      </c>
      <c r="I499" s="106">
        <f>I500+I501+I502</f>
        <v>1367.4</v>
      </c>
      <c r="J499" s="106">
        <f>J500+J501+J502</f>
        <v>1343</v>
      </c>
      <c r="K499" s="119">
        <f t="shared" ref="K499:P499" si="155">K500+K501+K502</f>
        <v>44</v>
      </c>
      <c r="L499" s="113">
        <f t="shared" si="155"/>
        <v>4345205</v>
      </c>
      <c r="M499" s="113">
        <f t="shared" si="155"/>
        <v>0</v>
      </c>
      <c r="N499" s="113">
        <f>N500+N501+N502</f>
        <v>0</v>
      </c>
      <c r="O499" s="113">
        <f t="shared" si="155"/>
        <v>4345205</v>
      </c>
      <c r="P499" s="113">
        <f t="shared" si="155"/>
        <v>0</v>
      </c>
      <c r="Q499" s="106" t="s">
        <v>40</v>
      </c>
      <c r="R499" s="114" t="s">
        <v>40</v>
      </c>
      <c r="S499" s="316">
        <v>43100</v>
      </c>
    </row>
    <row r="500" spans="1:19" s="1" customFormat="1" ht="15.75">
      <c r="A500" s="308">
        <v>104</v>
      </c>
      <c r="B500" s="363" t="s">
        <v>497</v>
      </c>
      <c r="C500" s="346">
        <v>1890</v>
      </c>
      <c r="D500" s="346"/>
      <c r="E500" s="311" t="s">
        <v>221</v>
      </c>
      <c r="F500" s="346">
        <v>2</v>
      </c>
      <c r="G500" s="346">
        <v>1</v>
      </c>
      <c r="H500" s="347">
        <v>339.6</v>
      </c>
      <c r="I500" s="350">
        <v>152.5</v>
      </c>
      <c r="J500" s="350">
        <v>128.1</v>
      </c>
      <c r="K500" s="349">
        <v>4</v>
      </c>
      <c r="L500" s="314">
        <v>784601</v>
      </c>
      <c r="M500" s="314">
        <v>0</v>
      </c>
      <c r="N500" s="314">
        <v>0</v>
      </c>
      <c r="O500" s="314">
        <v>784601</v>
      </c>
      <c r="P500" s="314">
        <v>0</v>
      </c>
      <c r="Q500" s="350">
        <f>L500/I500</f>
        <v>5144.9245901639342</v>
      </c>
      <c r="R500" s="315">
        <v>7822</v>
      </c>
      <c r="S500" s="316">
        <v>43100</v>
      </c>
    </row>
    <row r="501" spans="1:19" s="1" customFormat="1" ht="31.5">
      <c r="A501" s="308">
        <v>105</v>
      </c>
      <c r="B501" s="363" t="s">
        <v>498</v>
      </c>
      <c r="C501" s="346">
        <v>1964</v>
      </c>
      <c r="D501" s="346"/>
      <c r="E501" s="311" t="s">
        <v>218</v>
      </c>
      <c r="F501" s="346">
        <v>2</v>
      </c>
      <c r="G501" s="346">
        <v>2</v>
      </c>
      <c r="H501" s="347">
        <v>484.3</v>
      </c>
      <c r="I501" s="350">
        <v>470.6</v>
      </c>
      <c r="J501" s="350">
        <v>470.6</v>
      </c>
      <c r="K501" s="349">
        <v>18</v>
      </c>
      <c r="L501" s="314">
        <v>1513632</v>
      </c>
      <c r="M501" s="314">
        <v>0</v>
      </c>
      <c r="N501" s="314">
        <v>0</v>
      </c>
      <c r="O501" s="314">
        <v>1513632</v>
      </c>
      <c r="P501" s="314">
        <v>0</v>
      </c>
      <c r="Q501" s="350">
        <f>L501/I501</f>
        <v>3216.3875903102421</v>
      </c>
      <c r="R501" s="315">
        <v>7822</v>
      </c>
      <c r="S501" s="316">
        <v>43100</v>
      </c>
    </row>
    <row r="502" spans="1:19" s="1" customFormat="1" ht="31.5">
      <c r="A502" s="308">
        <v>106</v>
      </c>
      <c r="B502" s="363" t="s">
        <v>499</v>
      </c>
      <c r="C502" s="346">
        <v>1957</v>
      </c>
      <c r="D502" s="346"/>
      <c r="E502" s="311" t="s">
        <v>218</v>
      </c>
      <c r="F502" s="346">
        <v>2</v>
      </c>
      <c r="G502" s="346">
        <v>2</v>
      </c>
      <c r="H502" s="347">
        <v>815.8</v>
      </c>
      <c r="I502" s="350">
        <v>744.3</v>
      </c>
      <c r="J502" s="350">
        <v>744.3</v>
      </c>
      <c r="K502" s="349">
        <v>22</v>
      </c>
      <c r="L502" s="314">
        <v>2046972</v>
      </c>
      <c r="M502" s="314">
        <v>0</v>
      </c>
      <c r="N502" s="314">
        <v>0</v>
      </c>
      <c r="O502" s="314">
        <v>2046972</v>
      </c>
      <c r="P502" s="314">
        <v>0</v>
      </c>
      <c r="Q502" s="350">
        <f>L502/I502</f>
        <v>2750.1975010076585</v>
      </c>
      <c r="R502" s="315">
        <v>7822</v>
      </c>
      <c r="S502" s="316">
        <v>43100</v>
      </c>
    </row>
    <row r="503" spans="1:19" s="1" customFormat="1" ht="15.75">
      <c r="A503" s="107"/>
      <c r="B503" s="1336" t="s">
        <v>207</v>
      </c>
      <c r="C503" s="1336"/>
      <c r="D503" s="1336"/>
      <c r="E503" s="1336"/>
      <c r="F503" s="1336"/>
      <c r="G503" s="1336"/>
      <c r="H503" s="128">
        <f>SUM(H504:H510)</f>
        <v>59226.13</v>
      </c>
      <c r="I503" s="128">
        <f t="shared" ref="I503:K503" si="156">SUM(I504:I510)</f>
        <v>51865.630000000005</v>
      </c>
      <c r="J503" s="128">
        <f t="shared" si="156"/>
        <v>50847.83</v>
      </c>
      <c r="K503" s="128">
        <f t="shared" si="156"/>
        <v>2200</v>
      </c>
      <c r="L503" s="366">
        <f t="shared" ref="L503" si="157">SUM(L504:L510)</f>
        <v>21667282</v>
      </c>
      <c r="M503" s="366">
        <f t="shared" ref="M503:N503" si="158">SUM(M504:M510)</f>
        <v>0</v>
      </c>
      <c r="N503" s="366">
        <f t="shared" si="158"/>
        <v>0</v>
      </c>
      <c r="O503" s="366">
        <f t="shared" ref="O503" si="159">SUM(O504:O510)</f>
        <v>21667282</v>
      </c>
      <c r="P503" s="366">
        <f t="shared" ref="P503" si="160">SUM(P504:P510)</f>
        <v>0</v>
      </c>
      <c r="Q503" s="106" t="s">
        <v>40</v>
      </c>
      <c r="R503" s="106" t="s">
        <v>40</v>
      </c>
      <c r="S503" s="316">
        <v>43100</v>
      </c>
    </row>
    <row r="504" spans="1:19" s="21" customFormat="1" ht="15.75">
      <c r="A504" s="308">
        <v>107</v>
      </c>
      <c r="B504" s="460" t="s">
        <v>522</v>
      </c>
      <c r="C504" s="387">
        <v>1979</v>
      </c>
      <c r="D504" s="387"/>
      <c r="E504" s="311" t="s">
        <v>219</v>
      </c>
      <c r="F504" s="461">
        <v>5</v>
      </c>
      <c r="G504" s="461">
        <v>8</v>
      </c>
      <c r="H504" s="462">
        <v>4398.5</v>
      </c>
      <c r="I504" s="462">
        <v>3926.3</v>
      </c>
      <c r="J504" s="389">
        <v>3885.1</v>
      </c>
      <c r="K504" s="390">
        <v>168</v>
      </c>
      <c r="L504" s="314">
        <v>2609742</v>
      </c>
      <c r="M504" s="314">
        <v>0</v>
      </c>
      <c r="N504" s="314">
        <v>0</v>
      </c>
      <c r="O504" s="314">
        <f t="shared" ref="O504:O510" si="161">L504</f>
        <v>2609742</v>
      </c>
      <c r="P504" s="314">
        <v>0</v>
      </c>
      <c r="Q504" s="391">
        <f t="shared" ref="Q504:Q510" si="162">L504/I504</f>
        <v>664.68227084023124</v>
      </c>
      <c r="R504" s="315">
        <v>7822</v>
      </c>
      <c r="S504" s="316">
        <v>43100</v>
      </c>
    </row>
    <row r="505" spans="1:19" s="21" customFormat="1" ht="15.75">
      <c r="A505" s="308">
        <v>108</v>
      </c>
      <c r="B505" s="460" t="s">
        <v>523</v>
      </c>
      <c r="C505" s="387">
        <v>1987</v>
      </c>
      <c r="D505" s="387"/>
      <c r="E505" s="311" t="s">
        <v>219</v>
      </c>
      <c r="F505" s="461">
        <v>9</v>
      </c>
      <c r="G505" s="461">
        <v>3</v>
      </c>
      <c r="H505" s="462">
        <v>7692.2</v>
      </c>
      <c r="I505" s="462">
        <v>6696</v>
      </c>
      <c r="J505" s="389">
        <v>6564</v>
      </c>
      <c r="K505" s="390">
        <v>298</v>
      </c>
      <c r="L505" s="314">
        <v>2313974</v>
      </c>
      <c r="M505" s="314">
        <v>0</v>
      </c>
      <c r="N505" s="314">
        <v>0</v>
      </c>
      <c r="O505" s="314">
        <f t="shared" si="161"/>
        <v>2313974</v>
      </c>
      <c r="P505" s="314">
        <v>0</v>
      </c>
      <c r="Q505" s="391">
        <f t="shared" si="162"/>
        <v>345.57556750298687</v>
      </c>
      <c r="R505" s="315">
        <v>7822</v>
      </c>
      <c r="S505" s="316">
        <v>43100</v>
      </c>
    </row>
    <row r="506" spans="1:19" s="21" customFormat="1" ht="15.75">
      <c r="A506" s="308">
        <v>109</v>
      </c>
      <c r="B506" s="460" t="s">
        <v>524</v>
      </c>
      <c r="C506" s="387">
        <v>1985</v>
      </c>
      <c r="D506" s="387"/>
      <c r="E506" s="311" t="s">
        <v>219</v>
      </c>
      <c r="F506" s="461">
        <v>9</v>
      </c>
      <c r="G506" s="461">
        <v>6</v>
      </c>
      <c r="H506" s="462">
        <v>13232.03</v>
      </c>
      <c r="I506" s="462">
        <v>11510.63</v>
      </c>
      <c r="J506" s="389">
        <v>11085.93</v>
      </c>
      <c r="K506" s="390">
        <v>487</v>
      </c>
      <c r="L506" s="314">
        <v>4688365</v>
      </c>
      <c r="M506" s="314">
        <v>0</v>
      </c>
      <c r="N506" s="314">
        <v>0</v>
      </c>
      <c r="O506" s="314">
        <f t="shared" si="161"/>
        <v>4688365</v>
      </c>
      <c r="P506" s="314">
        <v>0</v>
      </c>
      <c r="Q506" s="391">
        <f t="shared" si="162"/>
        <v>407.30741931588454</v>
      </c>
      <c r="R506" s="315">
        <v>7822</v>
      </c>
      <c r="S506" s="316">
        <v>43100</v>
      </c>
    </row>
    <row r="507" spans="1:19" s="21" customFormat="1" ht="15.75">
      <c r="A507" s="308">
        <v>110</v>
      </c>
      <c r="B507" s="460" t="s">
        <v>525</v>
      </c>
      <c r="C507" s="387">
        <v>1981</v>
      </c>
      <c r="D507" s="387"/>
      <c r="E507" s="311" t="s">
        <v>219</v>
      </c>
      <c r="F507" s="461">
        <v>9</v>
      </c>
      <c r="G507" s="461">
        <v>1</v>
      </c>
      <c r="H507" s="462">
        <v>2545</v>
      </c>
      <c r="I507" s="462">
        <v>2208.1999999999998</v>
      </c>
      <c r="J507" s="389">
        <v>2208.1999999999998</v>
      </c>
      <c r="K507" s="390">
        <v>90</v>
      </c>
      <c r="L507" s="314">
        <v>924354</v>
      </c>
      <c r="M507" s="314">
        <v>0</v>
      </c>
      <c r="N507" s="314">
        <v>0</v>
      </c>
      <c r="O507" s="314">
        <f t="shared" si="161"/>
        <v>924354</v>
      </c>
      <c r="P507" s="314">
        <v>0</v>
      </c>
      <c r="Q507" s="391">
        <f t="shared" si="162"/>
        <v>418.60067022914592</v>
      </c>
      <c r="R507" s="315">
        <v>7822</v>
      </c>
      <c r="S507" s="316">
        <v>43100</v>
      </c>
    </row>
    <row r="508" spans="1:19" s="21" customFormat="1" ht="15.75">
      <c r="A508" s="308">
        <v>111</v>
      </c>
      <c r="B508" s="460" t="s">
        <v>526</v>
      </c>
      <c r="C508" s="387">
        <v>1981</v>
      </c>
      <c r="D508" s="387"/>
      <c r="E508" s="311" t="s">
        <v>219</v>
      </c>
      <c r="F508" s="461">
        <v>9</v>
      </c>
      <c r="G508" s="461">
        <v>2</v>
      </c>
      <c r="H508" s="462">
        <v>5082</v>
      </c>
      <c r="I508" s="462">
        <v>4531.1000000000004</v>
      </c>
      <c r="J508" s="389">
        <v>4352</v>
      </c>
      <c r="K508" s="390">
        <v>209</v>
      </c>
      <c r="L508" s="314">
        <v>1813705</v>
      </c>
      <c r="M508" s="314">
        <v>0</v>
      </c>
      <c r="N508" s="314">
        <v>0</v>
      </c>
      <c r="O508" s="314">
        <f t="shared" si="161"/>
        <v>1813705</v>
      </c>
      <c r="P508" s="314">
        <v>0</v>
      </c>
      <c r="Q508" s="391">
        <f t="shared" si="162"/>
        <v>400.27918165566859</v>
      </c>
      <c r="R508" s="315">
        <v>7822</v>
      </c>
      <c r="S508" s="316">
        <v>43100</v>
      </c>
    </row>
    <row r="509" spans="1:19" s="21" customFormat="1" ht="15.75">
      <c r="A509" s="308">
        <v>112</v>
      </c>
      <c r="B509" s="460" t="s">
        <v>527</v>
      </c>
      <c r="C509" s="387">
        <v>1987</v>
      </c>
      <c r="D509" s="387"/>
      <c r="E509" s="311" t="s">
        <v>219</v>
      </c>
      <c r="F509" s="461">
        <v>9</v>
      </c>
      <c r="G509" s="461">
        <v>6</v>
      </c>
      <c r="H509" s="462">
        <v>12965.8</v>
      </c>
      <c r="I509" s="462">
        <v>11429.2</v>
      </c>
      <c r="J509" s="389">
        <v>11247.7</v>
      </c>
      <c r="K509" s="390">
        <v>474</v>
      </c>
      <c r="L509" s="314">
        <v>4665548</v>
      </c>
      <c r="M509" s="314">
        <v>0</v>
      </c>
      <c r="N509" s="314">
        <v>0</v>
      </c>
      <c r="O509" s="314">
        <f t="shared" si="161"/>
        <v>4665548</v>
      </c>
      <c r="P509" s="314">
        <v>0</v>
      </c>
      <c r="Q509" s="391">
        <f t="shared" si="162"/>
        <v>408.21299828509427</v>
      </c>
      <c r="R509" s="315">
        <v>7822</v>
      </c>
      <c r="S509" s="316">
        <v>43100</v>
      </c>
    </row>
    <row r="510" spans="1:19" s="21" customFormat="1" ht="15.75">
      <c r="A510" s="308">
        <v>113</v>
      </c>
      <c r="B510" s="460" t="s">
        <v>528</v>
      </c>
      <c r="C510" s="387">
        <v>1983</v>
      </c>
      <c r="D510" s="387"/>
      <c r="E510" s="311" t="s">
        <v>219</v>
      </c>
      <c r="F510" s="461">
        <v>9</v>
      </c>
      <c r="G510" s="461">
        <v>6</v>
      </c>
      <c r="H510" s="462">
        <v>13310.6</v>
      </c>
      <c r="I510" s="462">
        <v>11564.2</v>
      </c>
      <c r="J510" s="389">
        <v>11504.9</v>
      </c>
      <c r="K510" s="390">
        <v>474</v>
      </c>
      <c r="L510" s="314">
        <v>4651594</v>
      </c>
      <c r="M510" s="314">
        <v>0</v>
      </c>
      <c r="N510" s="314">
        <v>0</v>
      </c>
      <c r="O510" s="314">
        <f t="shared" si="161"/>
        <v>4651594</v>
      </c>
      <c r="P510" s="314">
        <v>0</v>
      </c>
      <c r="Q510" s="391">
        <f t="shared" si="162"/>
        <v>402.24088134068933</v>
      </c>
      <c r="R510" s="315">
        <v>7822</v>
      </c>
      <c r="S510" s="316">
        <v>43100</v>
      </c>
    </row>
    <row r="511" spans="1:19" s="21" customFormat="1" ht="15.75">
      <c r="A511" s="308"/>
      <c r="B511" s="345"/>
      <c r="C511" s="387"/>
      <c r="D511" s="387"/>
      <c r="E511" s="311"/>
      <c r="F511" s="346"/>
      <c r="G511" s="346"/>
      <c r="H511" s="388"/>
      <c r="I511" s="389"/>
      <c r="J511" s="389"/>
      <c r="K511" s="390"/>
      <c r="L511" s="314"/>
      <c r="M511" s="314"/>
      <c r="N511" s="314"/>
      <c r="O511" s="314"/>
      <c r="P511" s="314"/>
      <c r="Q511" s="391"/>
      <c r="R511" s="315"/>
      <c r="S511" s="316"/>
    </row>
    <row r="512" spans="1:19" s="21" customFormat="1" ht="15.75">
      <c r="A512" s="308"/>
      <c r="B512" s="345"/>
      <c r="C512" s="387"/>
      <c r="D512" s="387"/>
      <c r="E512" s="311"/>
      <c r="F512" s="346"/>
      <c r="G512" s="346"/>
      <c r="H512" s="388"/>
      <c r="I512" s="389"/>
      <c r="J512" s="389"/>
      <c r="K512" s="390"/>
      <c r="L512" s="314"/>
      <c r="M512" s="314"/>
      <c r="N512" s="314"/>
      <c r="O512" s="314"/>
      <c r="P512" s="314"/>
      <c r="Q512" s="391"/>
      <c r="R512" s="315"/>
      <c r="S512" s="316"/>
    </row>
    <row r="513" spans="1:19" s="21" customFormat="1" ht="15.75">
      <c r="A513" s="308"/>
      <c r="B513" s="345"/>
      <c r="C513" s="346"/>
      <c r="D513" s="346"/>
      <c r="E513" s="311"/>
      <c r="F513" s="346"/>
      <c r="G513" s="346"/>
      <c r="H513" s="347"/>
      <c r="I513" s="392"/>
      <c r="J513" s="392"/>
      <c r="K513" s="349"/>
      <c r="L513" s="314"/>
      <c r="M513" s="314"/>
      <c r="N513" s="314"/>
      <c r="O513" s="314"/>
      <c r="P513" s="314"/>
      <c r="Q513" s="391"/>
      <c r="R513" s="315"/>
      <c r="S513" s="316"/>
    </row>
    <row r="514" spans="1:19" s="21" customFormat="1" ht="15.75">
      <c r="A514" s="308"/>
      <c r="B514" s="345"/>
      <c r="C514" s="387"/>
      <c r="D514" s="387"/>
      <c r="E514" s="311"/>
      <c r="F514" s="387"/>
      <c r="G514" s="387"/>
      <c r="H514" s="388"/>
      <c r="I514" s="389"/>
      <c r="J514" s="389"/>
      <c r="K514" s="390"/>
      <c r="L514" s="314"/>
      <c r="M514" s="314"/>
      <c r="N514" s="314"/>
      <c r="O514" s="314"/>
      <c r="P514" s="314"/>
      <c r="Q514" s="391"/>
      <c r="R514" s="315"/>
      <c r="S514" s="316"/>
    </row>
    <row r="515" spans="1:19" s="36" customFormat="1" ht="15.75">
      <c r="A515" s="107"/>
      <c r="B515" s="1336" t="s">
        <v>67</v>
      </c>
      <c r="C515" s="1336"/>
      <c r="D515" s="1336"/>
      <c r="E515" s="1336"/>
      <c r="F515" s="1336"/>
      <c r="G515" s="1336"/>
      <c r="H515" s="128">
        <f>H516+H518</f>
        <v>4794.6000000000004</v>
      </c>
      <c r="I515" s="162">
        <f t="shared" ref="I515:P515" si="163">I516+I518</f>
        <v>4684.8999999999996</v>
      </c>
      <c r="J515" s="106">
        <f>J516+J518</f>
        <v>4161</v>
      </c>
      <c r="K515" s="119">
        <f>K516+K518</f>
        <v>162</v>
      </c>
      <c r="L515" s="113">
        <f>L516+L518</f>
        <v>2859283.07</v>
      </c>
      <c r="M515" s="113">
        <f t="shared" si="163"/>
        <v>0</v>
      </c>
      <c r="N515" s="113">
        <f t="shared" si="163"/>
        <v>260236.27</v>
      </c>
      <c r="O515" s="113">
        <f>O516+O518</f>
        <v>2599046.7999999998</v>
      </c>
      <c r="P515" s="113">
        <f t="shared" si="163"/>
        <v>0</v>
      </c>
      <c r="Q515" s="114" t="s">
        <v>40</v>
      </c>
      <c r="R515" s="108" t="s">
        <v>40</v>
      </c>
      <c r="S515" s="316">
        <v>43100</v>
      </c>
    </row>
    <row r="516" spans="1:19" s="1" customFormat="1" ht="15.75">
      <c r="A516" s="107"/>
      <c r="B516" s="1336" t="s">
        <v>90</v>
      </c>
      <c r="C516" s="1336"/>
      <c r="D516" s="1336"/>
      <c r="E516" s="1336"/>
      <c r="F516" s="1336"/>
      <c r="G516" s="1336"/>
      <c r="H516" s="128">
        <f>H517</f>
        <v>1507.8</v>
      </c>
      <c r="I516" s="106">
        <f t="shared" ref="I516:P516" si="164">I517</f>
        <v>1398.1</v>
      </c>
      <c r="J516" s="106">
        <f t="shared" si="164"/>
        <v>1200.7</v>
      </c>
      <c r="K516" s="119">
        <f t="shared" si="164"/>
        <v>62</v>
      </c>
      <c r="L516" s="113">
        <f>L517</f>
        <v>728197.07</v>
      </c>
      <c r="M516" s="113">
        <f t="shared" si="164"/>
        <v>0</v>
      </c>
      <c r="N516" s="113">
        <f t="shared" si="164"/>
        <v>260236.27</v>
      </c>
      <c r="O516" s="113">
        <f t="shared" si="164"/>
        <v>467960.8</v>
      </c>
      <c r="P516" s="113">
        <f t="shared" si="164"/>
        <v>0</v>
      </c>
      <c r="Q516" s="114" t="s">
        <v>40</v>
      </c>
      <c r="R516" s="108" t="s">
        <v>40</v>
      </c>
      <c r="S516" s="316">
        <v>43100</v>
      </c>
    </row>
    <row r="517" spans="1:19" s="23" customFormat="1" ht="15.75">
      <c r="A517" s="107">
        <f>A514+1</f>
        <v>1</v>
      </c>
      <c r="B517" s="263" t="s">
        <v>429</v>
      </c>
      <c r="C517" s="118">
        <v>1983</v>
      </c>
      <c r="D517" s="182"/>
      <c r="E517" s="109" t="s">
        <v>219</v>
      </c>
      <c r="F517" s="118">
        <v>3</v>
      </c>
      <c r="G517" s="118">
        <v>3</v>
      </c>
      <c r="H517" s="128">
        <v>1507.8</v>
      </c>
      <c r="I517" s="106">
        <v>1398.1</v>
      </c>
      <c r="J517" s="106">
        <v>1200.7</v>
      </c>
      <c r="K517" s="119">
        <v>62</v>
      </c>
      <c r="L517" s="113">
        <v>728197.07</v>
      </c>
      <c r="M517" s="113">
        <v>0</v>
      </c>
      <c r="N517" s="113">
        <v>260236.27</v>
      </c>
      <c r="O517" s="113">
        <v>467960.8</v>
      </c>
      <c r="P517" s="113">
        <v>0</v>
      </c>
      <c r="Q517" s="106">
        <f>L517/I517</f>
        <v>520.84762892496963</v>
      </c>
      <c r="R517" s="114">
        <v>6774</v>
      </c>
      <c r="S517" s="316">
        <v>43100</v>
      </c>
    </row>
    <row r="518" spans="1:19" s="23" customFormat="1" ht="15.75">
      <c r="A518" s="308"/>
      <c r="B518" s="1384" t="s">
        <v>127</v>
      </c>
      <c r="C518" s="1384"/>
      <c r="D518" s="1384"/>
      <c r="E518" s="1384"/>
      <c r="F518" s="1384"/>
      <c r="G518" s="1384"/>
      <c r="H518" s="347">
        <f t="shared" ref="H518:M518" si="165">H519</f>
        <v>3286.8</v>
      </c>
      <c r="I518" s="350">
        <f t="shared" si="165"/>
        <v>3286.8</v>
      </c>
      <c r="J518" s="350">
        <f t="shared" si="165"/>
        <v>2960.3</v>
      </c>
      <c r="K518" s="349">
        <f t="shared" si="165"/>
        <v>100</v>
      </c>
      <c r="L518" s="314">
        <f t="shared" si="165"/>
        <v>2131086</v>
      </c>
      <c r="M518" s="314">
        <f t="shared" si="165"/>
        <v>0</v>
      </c>
      <c r="N518" s="314">
        <f t="shared" ref="N518:P518" si="166">N519</f>
        <v>0</v>
      </c>
      <c r="O518" s="314">
        <f t="shared" si="166"/>
        <v>2131086</v>
      </c>
      <c r="P518" s="314">
        <f t="shared" si="166"/>
        <v>0</v>
      </c>
      <c r="Q518" s="350" t="s">
        <v>40</v>
      </c>
      <c r="R518" s="310" t="s">
        <v>40</v>
      </c>
      <c r="S518" s="316">
        <v>43100</v>
      </c>
    </row>
    <row r="519" spans="1:19" s="23" customFormat="1" ht="25.9" customHeight="1">
      <c r="A519" s="308">
        <f>A517+1</f>
        <v>2</v>
      </c>
      <c r="B519" s="914" t="s">
        <v>686</v>
      </c>
      <c r="C519" s="308">
        <v>1977</v>
      </c>
      <c r="D519" s="308"/>
      <c r="E519" s="311" t="s">
        <v>219</v>
      </c>
      <c r="F519" s="308">
        <v>5</v>
      </c>
      <c r="G519" s="308">
        <v>4</v>
      </c>
      <c r="H519" s="759">
        <v>3286.8</v>
      </c>
      <c r="I519" s="308">
        <v>3286.8</v>
      </c>
      <c r="J519" s="308">
        <v>2960.3</v>
      </c>
      <c r="K519" s="586">
        <v>100</v>
      </c>
      <c r="L519" s="314">
        <v>2131086</v>
      </c>
      <c r="M519" s="314">
        <v>0</v>
      </c>
      <c r="N519" s="314">
        <v>0</v>
      </c>
      <c r="O519" s="314">
        <f>L519</f>
        <v>2131086</v>
      </c>
      <c r="P519" s="314">
        <v>0</v>
      </c>
      <c r="Q519" s="608">
        <f>L519/I519</f>
        <v>648.37714494340992</v>
      </c>
      <c r="R519" s="315">
        <v>7822</v>
      </c>
      <c r="S519" s="316">
        <v>43100</v>
      </c>
    </row>
    <row r="520" spans="1:19" s="23" customFormat="1" ht="21.75" customHeight="1">
      <c r="A520" s="1332" t="s">
        <v>206</v>
      </c>
      <c r="B520" s="1332"/>
      <c r="C520" s="1332"/>
      <c r="D520" s="1332"/>
      <c r="E520" s="1332"/>
      <c r="F520" s="1332"/>
      <c r="G520" s="1332"/>
      <c r="H520" s="1332"/>
      <c r="I520" s="1332"/>
      <c r="J520" s="1332"/>
      <c r="K520" s="1332"/>
      <c r="L520" s="1332"/>
      <c r="M520" s="1332"/>
      <c r="N520" s="1332"/>
      <c r="O520" s="1332"/>
      <c r="P520" s="1332"/>
      <c r="Q520" s="1332"/>
      <c r="R520" s="1332"/>
      <c r="S520" s="1332"/>
    </row>
    <row r="521" spans="1:19" s="23" customFormat="1" ht="19.5" customHeight="1">
      <c r="A521" s="107"/>
      <c r="B521" s="1333" t="s">
        <v>205</v>
      </c>
      <c r="C521" s="1333"/>
      <c r="D521" s="1333"/>
      <c r="E521" s="1333"/>
      <c r="F521" s="1333"/>
      <c r="G521" s="1333"/>
      <c r="H521" s="181">
        <f>H523+H532</f>
        <v>52786.899999999994</v>
      </c>
      <c r="I521" s="181">
        <f t="shared" ref="I521:P521" si="167">I523+I532</f>
        <v>46873.700000000004</v>
      </c>
      <c r="J521" s="181">
        <f t="shared" si="167"/>
        <v>46061</v>
      </c>
      <c r="K521" s="154">
        <f t="shared" si="167"/>
        <v>1629</v>
      </c>
      <c r="L521" s="113">
        <f t="shared" si="167"/>
        <v>7387178.6400000006</v>
      </c>
      <c r="M521" s="113">
        <f t="shared" si="167"/>
        <v>0</v>
      </c>
      <c r="N521" s="113">
        <f t="shared" si="167"/>
        <v>1365892</v>
      </c>
      <c r="O521" s="113">
        <f t="shared" si="167"/>
        <v>6021286.6400000006</v>
      </c>
      <c r="P521" s="113">
        <f t="shared" si="167"/>
        <v>0</v>
      </c>
      <c r="Q521" s="114" t="s">
        <v>40</v>
      </c>
      <c r="R521" s="108" t="s">
        <v>40</v>
      </c>
      <c r="S521" s="108" t="s">
        <v>40</v>
      </c>
    </row>
    <row r="522" spans="1:19" s="1" customFormat="1" ht="21.75" customHeight="1">
      <c r="A522" s="1332" t="s">
        <v>35</v>
      </c>
      <c r="B522" s="1332"/>
      <c r="C522" s="1332"/>
      <c r="D522" s="1332"/>
      <c r="E522" s="1332"/>
      <c r="F522" s="1332"/>
      <c r="G522" s="1332"/>
      <c r="H522" s="1332"/>
      <c r="I522" s="1332"/>
      <c r="J522" s="1332"/>
      <c r="K522" s="1332"/>
      <c r="L522" s="1332"/>
      <c r="M522" s="1332"/>
      <c r="N522" s="1332"/>
      <c r="O522" s="1332"/>
      <c r="P522" s="1332"/>
      <c r="Q522" s="1332"/>
      <c r="R522" s="1332"/>
      <c r="S522" s="1332"/>
    </row>
    <row r="523" spans="1:19" s="1" customFormat="1" ht="21.75" customHeight="1">
      <c r="A523" s="269"/>
      <c r="B523" s="1333" t="s">
        <v>20</v>
      </c>
      <c r="C523" s="1333"/>
      <c r="D523" s="1333"/>
      <c r="E523" s="1333"/>
      <c r="F523" s="1333"/>
      <c r="G523" s="1333"/>
      <c r="H523" s="111">
        <f>H524</f>
        <v>23801.1</v>
      </c>
      <c r="I523" s="111">
        <f t="shared" ref="I523:J523" si="168">I524</f>
        <v>20069.3</v>
      </c>
      <c r="J523" s="111">
        <f t="shared" si="168"/>
        <v>20069.3</v>
      </c>
      <c r="K523" s="112">
        <f>K524</f>
        <v>702</v>
      </c>
      <c r="L523" s="113">
        <f>L524</f>
        <v>2447351.64</v>
      </c>
      <c r="M523" s="113">
        <f t="shared" ref="M523:P523" si="169">M524</f>
        <v>0</v>
      </c>
      <c r="N523" s="113">
        <f t="shared" si="169"/>
        <v>0</v>
      </c>
      <c r="O523" s="113">
        <f t="shared" si="169"/>
        <v>2447351.64</v>
      </c>
      <c r="P523" s="113">
        <f t="shared" si="169"/>
        <v>0</v>
      </c>
      <c r="Q523" s="114" t="s">
        <v>40</v>
      </c>
      <c r="R523" s="108" t="s">
        <v>40</v>
      </c>
      <c r="S523" s="316">
        <v>43100</v>
      </c>
    </row>
    <row r="524" spans="1:19" s="37" customFormat="1" ht="15.75" customHeight="1">
      <c r="A524" s="99"/>
      <c r="B524" s="1333" t="s">
        <v>53</v>
      </c>
      <c r="C524" s="1333"/>
      <c r="D524" s="1333"/>
      <c r="E524" s="1333"/>
      <c r="F524" s="1333"/>
      <c r="G524" s="1333"/>
      <c r="H524" s="111">
        <f>H525</f>
        <v>23801.1</v>
      </c>
      <c r="I524" s="114">
        <f t="shared" ref="I524:P524" si="170">I525</f>
        <v>20069.3</v>
      </c>
      <c r="J524" s="114">
        <f t="shared" si="170"/>
        <v>20069.3</v>
      </c>
      <c r="K524" s="112">
        <f t="shared" si="170"/>
        <v>702</v>
      </c>
      <c r="L524" s="113">
        <f t="shared" si="170"/>
        <v>2447351.64</v>
      </c>
      <c r="M524" s="113">
        <f t="shared" si="170"/>
        <v>0</v>
      </c>
      <c r="N524" s="113">
        <f t="shared" si="170"/>
        <v>0</v>
      </c>
      <c r="O524" s="113">
        <f t="shared" si="170"/>
        <v>2447351.64</v>
      </c>
      <c r="P524" s="113">
        <f t="shared" si="170"/>
        <v>0</v>
      </c>
      <c r="Q524" s="114" t="s">
        <v>40</v>
      </c>
      <c r="R524" s="108" t="s">
        <v>40</v>
      </c>
      <c r="S524" s="316">
        <v>43100</v>
      </c>
    </row>
    <row r="525" spans="1:19" s="37" customFormat="1" ht="15.75" customHeight="1">
      <c r="A525" s="99"/>
      <c r="B525" s="1333" t="s">
        <v>88</v>
      </c>
      <c r="C525" s="1333"/>
      <c r="D525" s="1333"/>
      <c r="E525" s="1333"/>
      <c r="F525" s="1333"/>
      <c r="G525" s="1333"/>
      <c r="H525" s="111">
        <f t="shared" ref="H525:P525" si="171">SUM(H526:H530)</f>
        <v>23801.1</v>
      </c>
      <c r="I525" s="114">
        <f t="shared" si="171"/>
        <v>20069.3</v>
      </c>
      <c r="J525" s="114">
        <f t="shared" si="171"/>
        <v>20069.3</v>
      </c>
      <c r="K525" s="112">
        <f t="shared" si="171"/>
        <v>702</v>
      </c>
      <c r="L525" s="113">
        <f t="shared" si="171"/>
        <v>2447351.64</v>
      </c>
      <c r="M525" s="113">
        <f t="shared" si="171"/>
        <v>0</v>
      </c>
      <c r="N525" s="113">
        <f t="shared" si="171"/>
        <v>0</v>
      </c>
      <c r="O525" s="113">
        <f t="shared" si="171"/>
        <v>2447351.64</v>
      </c>
      <c r="P525" s="113">
        <f t="shared" si="171"/>
        <v>0</v>
      </c>
      <c r="Q525" s="114" t="s">
        <v>40</v>
      </c>
      <c r="R525" s="108" t="s">
        <v>40</v>
      </c>
      <c r="S525" s="316">
        <v>43100</v>
      </c>
    </row>
    <row r="526" spans="1:19" s="33" customFormat="1" ht="15.75">
      <c r="A526" s="269">
        <f>A519+1</f>
        <v>3</v>
      </c>
      <c r="B526" s="183" t="s">
        <v>359</v>
      </c>
      <c r="C526" s="184">
        <v>1975</v>
      </c>
      <c r="D526" s="129"/>
      <c r="E526" s="109" t="s">
        <v>219</v>
      </c>
      <c r="F526" s="99">
        <v>5</v>
      </c>
      <c r="G526" s="99">
        <v>4</v>
      </c>
      <c r="H526" s="180">
        <f>2075.9+150</f>
        <v>2225.9</v>
      </c>
      <c r="I526" s="100">
        <v>2075.9</v>
      </c>
      <c r="J526" s="100">
        <v>2075.9</v>
      </c>
      <c r="K526" s="101">
        <v>112</v>
      </c>
      <c r="L526" s="113">
        <v>203849</v>
      </c>
      <c r="M526" s="113">
        <v>0</v>
      </c>
      <c r="N526" s="113">
        <v>0</v>
      </c>
      <c r="O526" s="113">
        <f>L526</f>
        <v>203849</v>
      </c>
      <c r="P526" s="113">
        <v>0</v>
      </c>
      <c r="Q526" s="114">
        <f>L526/I526</f>
        <v>98.197890071776087</v>
      </c>
      <c r="R526" s="114">
        <v>6774</v>
      </c>
      <c r="S526" s="316">
        <v>43100</v>
      </c>
    </row>
    <row r="527" spans="1:19" s="33" customFormat="1" ht="15.75">
      <c r="A527" s="269">
        <f>A526+1</f>
        <v>4</v>
      </c>
      <c r="B527" s="183" t="s">
        <v>360</v>
      </c>
      <c r="C527" s="184">
        <v>1991</v>
      </c>
      <c r="D527" s="129"/>
      <c r="E527" s="109" t="s">
        <v>219</v>
      </c>
      <c r="F527" s="99">
        <v>9</v>
      </c>
      <c r="G527" s="99">
        <v>2</v>
      </c>
      <c r="H527" s="180">
        <f>4259.3+1200.8</f>
        <v>5460.1</v>
      </c>
      <c r="I527" s="100">
        <v>4259.3</v>
      </c>
      <c r="J527" s="100">
        <v>4259.3</v>
      </c>
      <c r="K527" s="101">
        <v>132</v>
      </c>
      <c r="L527" s="113">
        <v>489343.64</v>
      </c>
      <c r="M527" s="113">
        <v>0</v>
      </c>
      <c r="N527" s="113">
        <v>0</v>
      </c>
      <c r="O527" s="113">
        <f>L527</f>
        <v>489343.64</v>
      </c>
      <c r="P527" s="113">
        <v>0</v>
      </c>
      <c r="Q527" s="114">
        <f>L527/I527</f>
        <v>114.88827741647688</v>
      </c>
      <c r="R527" s="114">
        <v>6774</v>
      </c>
      <c r="S527" s="316">
        <v>43100</v>
      </c>
    </row>
    <row r="528" spans="1:19" s="33" customFormat="1" ht="15.75">
      <c r="A528" s="269">
        <f t="shared" ref="A528:A530" si="172">A527+1</f>
        <v>5</v>
      </c>
      <c r="B528" s="183" t="s">
        <v>432</v>
      </c>
      <c r="C528" s="184">
        <v>1978</v>
      </c>
      <c r="D528" s="129"/>
      <c r="E528" s="109" t="s">
        <v>219</v>
      </c>
      <c r="F528" s="99">
        <v>5</v>
      </c>
      <c r="G528" s="99">
        <v>6</v>
      </c>
      <c r="H528" s="180">
        <v>6071.5</v>
      </c>
      <c r="I528" s="100">
        <v>4592.3</v>
      </c>
      <c r="J528" s="100">
        <v>4592.3</v>
      </c>
      <c r="K528" s="101">
        <v>181</v>
      </c>
      <c r="L528" s="113">
        <v>395010</v>
      </c>
      <c r="M528" s="113">
        <v>0</v>
      </c>
      <c r="N528" s="113">
        <v>0</v>
      </c>
      <c r="O528" s="113">
        <f>L528</f>
        <v>395010</v>
      </c>
      <c r="P528" s="113">
        <v>0</v>
      </c>
      <c r="Q528" s="114">
        <f>L528/I528</f>
        <v>86.015721969383534</v>
      </c>
      <c r="R528" s="114">
        <v>6774</v>
      </c>
      <c r="S528" s="316">
        <v>43100</v>
      </c>
    </row>
    <row r="529" spans="1:19" s="33" customFormat="1" ht="15.75">
      <c r="A529" s="269">
        <f t="shared" si="172"/>
        <v>6</v>
      </c>
      <c r="B529" s="183" t="s">
        <v>431</v>
      </c>
      <c r="C529" s="184">
        <v>1980</v>
      </c>
      <c r="D529" s="129"/>
      <c r="E529" s="109" t="s">
        <v>219</v>
      </c>
      <c r="F529" s="99">
        <v>5</v>
      </c>
      <c r="G529" s="99">
        <v>6</v>
      </c>
      <c r="H529" s="180">
        <f>493.2+4644.3</f>
        <v>5137.5</v>
      </c>
      <c r="I529" s="100">
        <v>4644.3</v>
      </c>
      <c r="J529" s="100">
        <v>4644.3</v>
      </c>
      <c r="K529" s="101">
        <v>177</v>
      </c>
      <c r="L529" s="113">
        <v>285326</v>
      </c>
      <c r="M529" s="113">
        <v>0</v>
      </c>
      <c r="N529" s="113">
        <v>0</v>
      </c>
      <c r="O529" s="113">
        <f>L529</f>
        <v>285326</v>
      </c>
      <c r="P529" s="113">
        <v>0</v>
      </c>
      <c r="Q529" s="114">
        <f>L529/I529</f>
        <v>61.435738432056496</v>
      </c>
      <c r="R529" s="114">
        <v>6774</v>
      </c>
      <c r="S529" s="316">
        <v>43100</v>
      </c>
    </row>
    <row r="530" spans="1:19" s="33" customFormat="1" ht="31.5">
      <c r="A530" s="269">
        <f t="shared" si="172"/>
        <v>7</v>
      </c>
      <c r="B530" s="183" t="s">
        <v>358</v>
      </c>
      <c r="C530" s="184">
        <v>1973</v>
      </c>
      <c r="D530" s="129"/>
      <c r="E530" s="109" t="s">
        <v>218</v>
      </c>
      <c r="F530" s="99">
        <v>5</v>
      </c>
      <c r="G530" s="99">
        <v>6</v>
      </c>
      <c r="H530" s="180">
        <v>4906.1000000000004</v>
      </c>
      <c r="I530" s="100">
        <v>4497.5</v>
      </c>
      <c r="J530" s="100">
        <v>4497.5</v>
      </c>
      <c r="K530" s="101">
        <v>100</v>
      </c>
      <c r="L530" s="113">
        <v>1073823</v>
      </c>
      <c r="M530" s="113">
        <v>0</v>
      </c>
      <c r="N530" s="113">
        <v>0</v>
      </c>
      <c r="O530" s="113">
        <f>L530</f>
        <v>1073823</v>
      </c>
      <c r="P530" s="113">
        <v>0</v>
      </c>
      <c r="Q530" s="114">
        <f>L530/I530</f>
        <v>238.75997776542525</v>
      </c>
      <c r="R530" s="114">
        <v>6774</v>
      </c>
      <c r="S530" s="316">
        <v>43100</v>
      </c>
    </row>
    <row r="531" spans="1:19" s="1" customFormat="1" ht="34.5" customHeight="1">
      <c r="A531" s="1332" t="s">
        <v>37</v>
      </c>
      <c r="B531" s="1332"/>
      <c r="C531" s="1332"/>
      <c r="D531" s="1332"/>
      <c r="E531" s="1332"/>
      <c r="F531" s="1332"/>
      <c r="G531" s="1332"/>
      <c r="H531" s="1332"/>
      <c r="I531" s="1332"/>
      <c r="J531" s="1332"/>
      <c r="K531" s="1332"/>
      <c r="L531" s="1332"/>
      <c r="M531" s="1332"/>
      <c r="N531" s="1332"/>
      <c r="O531" s="1332"/>
      <c r="P531" s="1332"/>
      <c r="Q531" s="1332"/>
      <c r="R531" s="1332"/>
      <c r="S531" s="1332"/>
    </row>
    <row r="532" spans="1:19" s="1" customFormat="1" ht="15.75">
      <c r="A532" s="269"/>
      <c r="B532" s="1333" t="s">
        <v>20</v>
      </c>
      <c r="C532" s="1333"/>
      <c r="D532" s="1333"/>
      <c r="E532" s="1333"/>
      <c r="F532" s="1333"/>
      <c r="G532" s="1333"/>
      <c r="H532" s="111">
        <f>H533+H536</f>
        <v>28985.8</v>
      </c>
      <c r="I532" s="111">
        <f t="shared" ref="I532:L532" si="173">I533+I536</f>
        <v>26804.400000000005</v>
      </c>
      <c r="J532" s="111">
        <f t="shared" si="173"/>
        <v>25991.700000000004</v>
      </c>
      <c r="K532" s="112">
        <f>K533+K536</f>
        <v>927</v>
      </c>
      <c r="L532" s="113">
        <f t="shared" si="173"/>
        <v>4939827</v>
      </c>
      <c r="M532" s="113">
        <f t="shared" ref="M532" si="174">M533+M536</f>
        <v>0</v>
      </c>
      <c r="N532" s="113">
        <f t="shared" ref="N532" si="175">N533+N536</f>
        <v>1365892</v>
      </c>
      <c r="O532" s="113">
        <f t="shared" ref="O532" si="176">O533+O536</f>
        <v>3573935</v>
      </c>
      <c r="P532" s="113">
        <f t="shared" ref="P532" si="177">P533+P536</f>
        <v>0</v>
      </c>
      <c r="Q532" s="114" t="s">
        <v>40</v>
      </c>
      <c r="R532" s="108" t="s">
        <v>40</v>
      </c>
      <c r="S532" s="108" t="s">
        <v>40</v>
      </c>
    </row>
    <row r="533" spans="1:19" s="1" customFormat="1" ht="15.75" customHeight="1">
      <c r="A533" s="269"/>
      <c r="B533" s="1334" t="s">
        <v>58</v>
      </c>
      <c r="C533" s="1334"/>
      <c r="D533" s="1334"/>
      <c r="E533" s="1334"/>
      <c r="F533" s="1334"/>
      <c r="G533" s="1334"/>
      <c r="H533" s="127">
        <f>H534</f>
        <v>2121.5</v>
      </c>
      <c r="I533" s="104">
        <f t="shared" ref="I533:P533" si="178">I534</f>
        <v>1804.4</v>
      </c>
      <c r="J533" s="104">
        <f t="shared" si="178"/>
        <v>1335</v>
      </c>
      <c r="K533" s="105">
        <f t="shared" si="178"/>
        <v>48</v>
      </c>
      <c r="L533" s="113">
        <f t="shared" si="178"/>
        <v>215709</v>
      </c>
      <c r="M533" s="113">
        <f t="shared" si="178"/>
        <v>0</v>
      </c>
      <c r="N533" s="113">
        <f t="shared" si="178"/>
        <v>0</v>
      </c>
      <c r="O533" s="113">
        <f t="shared" si="178"/>
        <v>215709</v>
      </c>
      <c r="P533" s="113">
        <f t="shared" si="178"/>
        <v>0</v>
      </c>
      <c r="Q533" s="104" t="str">
        <f>Q534</f>
        <v>Х</v>
      </c>
      <c r="R533" s="104" t="str">
        <f t="shared" ref="R533" si="179">R534</f>
        <v>Х</v>
      </c>
      <c r="S533" s="104">
        <f t="shared" ref="S533" si="180">S534</f>
        <v>43100</v>
      </c>
    </row>
    <row r="534" spans="1:19" s="1" customFormat="1" ht="15.75" customHeight="1">
      <c r="A534" s="269"/>
      <c r="B534" s="1334" t="s">
        <v>87</v>
      </c>
      <c r="C534" s="1334"/>
      <c r="D534" s="1334"/>
      <c r="E534" s="1334"/>
      <c r="F534" s="1334"/>
      <c r="G534" s="1334"/>
      <c r="H534" s="127">
        <f>H535</f>
        <v>2121.5</v>
      </c>
      <c r="I534" s="104">
        <f t="shared" ref="I534:N534" si="181">I535</f>
        <v>1804.4</v>
      </c>
      <c r="J534" s="104">
        <f t="shared" si="181"/>
        <v>1335</v>
      </c>
      <c r="K534" s="105">
        <f t="shared" si="181"/>
        <v>48</v>
      </c>
      <c r="L534" s="113">
        <f>L535</f>
        <v>215709</v>
      </c>
      <c r="M534" s="113">
        <f t="shared" si="181"/>
        <v>0</v>
      </c>
      <c r="N534" s="113">
        <f t="shared" si="181"/>
        <v>0</v>
      </c>
      <c r="O534" s="113">
        <f>L534</f>
        <v>215709</v>
      </c>
      <c r="P534" s="113">
        <v>0</v>
      </c>
      <c r="Q534" s="104" t="s">
        <v>40</v>
      </c>
      <c r="R534" s="269" t="s">
        <v>40</v>
      </c>
      <c r="S534" s="316">
        <v>43100</v>
      </c>
    </row>
    <row r="535" spans="1:19" s="1" customFormat="1" ht="31.5">
      <c r="A535" s="269">
        <f>A530+1</f>
        <v>8</v>
      </c>
      <c r="B535" s="264" t="s">
        <v>433</v>
      </c>
      <c r="C535" s="99">
        <v>1959</v>
      </c>
      <c r="D535" s="109"/>
      <c r="E535" s="109" t="s">
        <v>218</v>
      </c>
      <c r="F535" s="185" t="s">
        <v>73</v>
      </c>
      <c r="G535" s="185" t="s">
        <v>74</v>
      </c>
      <c r="H535" s="180">
        <v>2121.5</v>
      </c>
      <c r="I535" s="100">
        <v>1804.4</v>
      </c>
      <c r="J535" s="100">
        <f>1379-44</f>
        <v>1335</v>
      </c>
      <c r="K535" s="101">
        <v>48</v>
      </c>
      <c r="L535" s="113">
        <v>215709</v>
      </c>
      <c r="M535" s="113">
        <v>0</v>
      </c>
      <c r="N535" s="113">
        <v>0</v>
      </c>
      <c r="O535" s="113">
        <f>L535</f>
        <v>215709</v>
      </c>
      <c r="P535" s="113">
        <v>0</v>
      </c>
      <c r="Q535" s="100">
        <f>L535/I535</f>
        <v>119.54610951008645</v>
      </c>
      <c r="R535" s="114">
        <v>6774</v>
      </c>
      <c r="S535" s="316">
        <v>43100</v>
      </c>
    </row>
    <row r="536" spans="1:19" s="1" customFormat="1" ht="33" customHeight="1">
      <c r="A536" s="387"/>
      <c r="B536" s="1380" t="s">
        <v>59</v>
      </c>
      <c r="C536" s="1380"/>
      <c r="D536" s="1380"/>
      <c r="E536" s="1380"/>
      <c r="F536" s="1380"/>
      <c r="G536" s="1380"/>
      <c r="H536" s="388">
        <f>H537+H545</f>
        <v>26864.3</v>
      </c>
      <c r="I536" s="388">
        <f t="shared" ref="I536:P536" si="182">I537+I545</f>
        <v>25000.000000000004</v>
      </c>
      <c r="J536" s="388">
        <f t="shared" si="182"/>
        <v>24656.700000000004</v>
      </c>
      <c r="K536" s="388">
        <f t="shared" si="182"/>
        <v>879</v>
      </c>
      <c r="L536" s="789">
        <f t="shared" si="182"/>
        <v>4724118</v>
      </c>
      <c r="M536" s="789">
        <f t="shared" si="182"/>
        <v>0</v>
      </c>
      <c r="N536" s="789">
        <f t="shared" si="182"/>
        <v>1365892</v>
      </c>
      <c r="O536" s="789">
        <f t="shared" si="182"/>
        <v>3358226</v>
      </c>
      <c r="P536" s="789">
        <f t="shared" si="182"/>
        <v>0</v>
      </c>
      <c r="Q536" s="391" t="str">
        <f>Q537</f>
        <v>Х</v>
      </c>
      <c r="R536" s="391" t="str">
        <f t="shared" ref="R536" si="183">R537</f>
        <v>Х</v>
      </c>
      <c r="S536" s="316">
        <v>43100</v>
      </c>
    </row>
    <row r="537" spans="1:19" s="1" customFormat="1" ht="31.9" customHeight="1">
      <c r="A537" s="308"/>
      <c r="B537" s="1371" t="s">
        <v>86</v>
      </c>
      <c r="C537" s="1371"/>
      <c r="D537" s="1371"/>
      <c r="E537" s="1371"/>
      <c r="F537" s="1371"/>
      <c r="G537" s="1371"/>
      <c r="H537" s="391">
        <f>SUM(H538:H544)</f>
        <v>4504.3</v>
      </c>
      <c r="I537" s="391">
        <f t="shared" ref="I537:P537" si="184">SUM(I538:I544)</f>
        <v>4381.0999999999995</v>
      </c>
      <c r="J537" s="391">
        <f t="shared" si="184"/>
        <v>4294.7999999999993</v>
      </c>
      <c r="K537" s="391">
        <f t="shared" si="184"/>
        <v>203</v>
      </c>
      <c r="L537" s="789">
        <f t="shared" si="184"/>
        <v>1839043</v>
      </c>
      <c r="M537" s="789">
        <f t="shared" si="184"/>
        <v>0</v>
      </c>
      <c r="N537" s="789">
        <f t="shared" si="184"/>
        <v>505745</v>
      </c>
      <c r="O537" s="789">
        <f t="shared" si="184"/>
        <v>1333298</v>
      </c>
      <c r="P537" s="789">
        <f t="shared" si="184"/>
        <v>0</v>
      </c>
      <c r="Q537" s="391" t="s">
        <v>40</v>
      </c>
      <c r="R537" s="387" t="s">
        <v>40</v>
      </c>
      <c r="S537" s="316">
        <v>43100</v>
      </c>
    </row>
    <row r="538" spans="1:19" s="1" customFormat="1" ht="31.5">
      <c r="A538" s="387">
        <v>1</v>
      </c>
      <c r="B538" s="915" t="s">
        <v>361</v>
      </c>
      <c r="C538" s="387">
        <v>1973</v>
      </c>
      <c r="D538" s="387"/>
      <c r="E538" s="311" t="s">
        <v>218</v>
      </c>
      <c r="F538" s="387">
        <v>2</v>
      </c>
      <c r="G538" s="387">
        <v>2</v>
      </c>
      <c r="H538" s="391">
        <v>524.29999999999995</v>
      </c>
      <c r="I538" s="391">
        <v>506.7</v>
      </c>
      <c r="J538" s="391">
        <v>506.7</v>
      </c>
      <c r="K538" s="387">
        <v>21</v>
      </c>
      <c r="L538" s="314">
        <v>392000</v>
      </c>
      <c r="M538" s="314">
        <v>0</v>
      </c>
      <c r="N538" s="314">
        <v>117600</v>
      </c>
      <c r="O538" s="314">
        <v>274400</v>
      </c>
      <c r="P538" s="314">
        <v>0</v>
      </c>
      <c r="Q538" s="391">
        <f>L538/I538</f>
        <v>773.63331359778965</v>
      </c>
      <c r="R538" s="315">
        <v>7822</v>
      </c>
      <c r="S538" s="316">
        <v>43100</v>
      </c>
    </row>
    <row r="539" spans="1:19" s="1" customFormat="1" ht="31.5">
      <c r="A539" s="387">
        <f>A538+1</f>
        <v>2</v>
      </c>
      <c r="B539" s="915" t="s">
        <v>434</v>
      </c>
      <c r="C539" s="387">
        <v>1992</v>
      </c>
      <c r="D539" s="387"/>
      <c r="E539" s="311" t="s">
        <v>218</v>
      </c>
      <c r="F539" s="387">
        <v>2</v>
      </c>
      <c r="G539" s="387">
        <v>2</v>
      </c>
      <c r="H539" s="391">
        <v>575.70000000000005</v>
      </c>
      <c r="I539" s="391">
        <v>558.1</v>
      </c>
      <c r="J539" s="391">
        <v>558.1</v>
      </c>
      <c r="K539" s="387">
        <v>25</v>
      </c>
      <c r="L539" s="314">
        <v>340900</v>
      </c>
      <c r="M539" s="314">
        <v>0</v>
      </c>
      <c r="N539" s="314">
        <v>102270</v>
      </c>
      <c r="O539" s="314">
        <v>238630</v>
      </c>
      <c r="P539" s="314">
        <v>0</v>
      </c>
      <c r="Q539" s="391">
        <f t="shared" ref="Q539:Q544" si="185">L539/I539</f>
        <v>610.82243325568891</v>
      </c>
      <c r="R539" s="315">
        <v>7822</v>
      </c>
      <c r="S539" s="316">
        <v>43100</v>
      </c>
    </row>
    <row r="540" spans="1:19" s="1" customFormat="1" ht="34.15" customHeight="1">
      <c r="A540" s="387">
        <f t="shared" ref="A540:A580" si="186">A539+1</f>
        <v>3</v>
      </c>
      <c r="B540" s="915" t="s">
        <v>362</v>
      </c>
      <c r="C540" s="387">
        <v>1974</v>
      </c>
      <c r="D540" s="387"/>
      <c r="E540" s="311" t="s">
        <v>219</v>
      </c>
      <c r="F540" s="387">
        <v>2</v>
      </c>
      <c r="G540" s="387">
        <v>2</v>
      </c>
      <c r="H540" s="391">
        <v>753.3</v>
      </c>
      <c r="I540" s="391">
        <v>735.7</v>
      </c>
      <c r="J540" s="391">
        <v>735.7</v>
      </c>
      <c r="K540" s="387">
        <v>26</v>
      </c>
      <c r="L540" s="314">
        <v>399000</v>
      </c>
      <c r="M540" s="314">
        <v>0</v>
      </c>
      <c r="N540" s="314">
        <v>119700</v>
      </c>
      <c r="O540" s="314">
        <v>279300</v>
      </c>
      <c r="P540" s="314">
        <v>0</v>
      </c>
      <c r="Q540" s="391">
        <f t="shared" si="185"/>
        <v>542.34062797335866</v>
      </c>
      <c r="R540" s="315">
        <v>7822</v>
      </c>
      <c r="S540" s="316">
        <v>43100</v>
      </c>
    </row>
    <row r="541" spans="1:19" s="1" customFormat="1" ht="31.5">
      <c r="A541" s="387">
        <f t="shared" si="186"/>
        <v>4</v>
      </c>
      <c r="B541" s="915" t="s">
        <v>363</v>
      </c>
      <c r="C541" s="387">
        <v>1976</v>
      </c>
      <c r="D541" s="387"/>
      <c r="E541" s="311" t="s">
        <v>218</v>
      </c>
      <c r="F541" s="387">
        <v>2</v>
      </c>
      <c r="G541" s="387">
        <v>2</v>
      </c>
      <c r="H541" s="391">
        <v>789.3</v>
      </c>
      <c r="I541" s="391">
        <v>771.7</v>
      </c>
      <c r="J541" s="391">
        <v>771.7</v>
      </c>
      <c r="K541" s="387">
        <v>41</v>
      </c>
      <c r="L541" s="314">
        <v>216335</v>
      </c>
      <c r="M541" s="314">
        <v>0</v>
      </c>
      <c r="N541" s="314">
        <v>43267</v>
      </c>
      <c r="O541" s="314">
        <v>173068</v>
      </c>
      <c r="P541" s="314">
        <v>0</v>
      </c>
      <c r="Q541" s="391">
        <f t="shared" si="185"/>
        <v>280.33562265128933</v>
      </c>
      <c r="R541" s="315">
        <v>7822</v>
      </c>
      <c r="S541" s="316">
        <v>43100</v>
      </c>
    </row>
    <row r="542" spans="1:19" s="1" customFormat="1" ht="31.5">
      <c r="A542" s="387">
        <f t="shared" si="186"/>
        <v>5</v>
      </c>
      <c r="B542" s="915" t="s">
        <v>364</v>
      </c>
      <c r="C542" s="387">
        <v>1967</v>
      </c>
      <c r="D542" s="387"/>
      <c r="E542" s="311" t="s">
        <v>218</v>
      </c>
      <c r="F542" s="387">
        <v>2</v>
      </c>
      <c r="G542" s="387">
        <v>1</v>
      </c>
      <c r="H542" s="391">
        <v>310.8</v>
      </c>
      <c r="I542" s="391">
        <v>302</v>
      </c>
      <c r="J542" s="391">
        <v>271.60000000000002</v>
      </c>
      <c r="K542" s="387">
        <v>21</v>
      </c>
      <c r="L542" s="314">
        <v>243345</v>
      </c>
      <c r="M542" s="314">
        <v>0</v>
      </c>
      <c r="N542" s="314">
        <v>48669</v>
      </c>
      <c r="O542" s="314">
        <v>194676</v>
      </c>
      <c r="P542" s="314">
        <v>0</v>
      </c>
      <c r="Q542" s="391">
        <f t="shared" si="185"/>
        <v>805.77814569536429</v>
      </c>
      <c r="R542" s="315">
        <v>7822</v>
      </c>
      <c r="S542" s="316">
        <v>43100</v>
      </c>
    </row>
    <row r="543" spans="1:19" s="1" customFormat="1" ht="31.5">
      <c r="A543" s="387">
        <f t="shared" si="186"/>
        <v>6</v>
      </c>
      <c r="B543" s="915" t="s">
        <v>365</v>
      </c>
      <c r="C543" s="387">
        <v>1968</v>
      </c>
      <c r="D543" s="387"/>
      <c r="E543" s="311" t="s">
        <v>218</v>
      </c>
      <c r="F543" s="387" t="s">
        <v>70</v>
      </c>
      <c r="G543" s="387">
        <v>2</v>
      </c>
      <c r="H543" s="391">
        <v>538.20000000000005</v>
      </c>
      <c r="I543" s="391">
        <v>520.6</v>
      </c>
      <c r="J543" s="391">
        <v>464.7</v>
      </c>
      <c r="K543" s="387">
        <v>24</v>
      </c>
      <c r="L543" s="314">
        <v>139342</v>
      </c>
      <c r="M543" s="314">
        <v>0</v>
      </c>
      <c r="N543" s="314">
        <v>41803</v>
      </c>
      <c r="O543" s="314">
        <v>97539</v>
      </c>
      <c r="P543" s="314">
        <v>0</v>
      </c>
      <c r="Q543" s="391">
        <f t="shared" si="185"/>
        <v>267.65655013446025</v>
      </c>
      <c r="R543" s="315">
        <v>7822</v>
      </c>
      <c r="S543" s="316">
        <v>43100</v>
      </c>
    </row>
    <row r="544" spans="1:19" s="1" customFormat="1" ht="31.5">
      <c r="A544" s="387">
        <f t="shared" si="186"/>
        <v>7</v>
      </c>
      <c r="B544" s="915" t="s">
        <v>366</v>
      </c>
      <c r="C544" s="387">
        <v>1978</v>
      </c>
      <c r="D544" s="387"/>
      <c r="E544" s="311" t="s">
        <v>218</v>
      </c>
      <c r="F544" s="387">
        <v>2</v>
      </c>
      <c r="G544" s="387">
        <v>3</v>
      </c>
      <c r="H544" s="391">
        <v>1012.7</v>
      </c>
      <c r="I544" s="391">
        <v>986.3</v>
      </c>
      <c r="J544" s="391">
        <v>986.3</v>
      </c>
      <c r="K544" s="387">
        <v>45</v>
      </c>
      <c r="L544" s="314">
        <v>108121</v>
      </c>
      <c r="M544" s="314">
        <v>0</v>
      </c>
      <c r="N544" s="314">
        <v>32436</v>
      </c>
      <c r="O544" s="314">
        <v>75685</v>
      </c>
      <c r="P544" s="314">
        <v>0</v>
      </c>
      <c r="Q544" s="391">
        <f t="shared" si="185"/>
        <v>109.62283280949002</v>
      </c>
      <c r="R544" s="315">
        <v>7822</v>
      </c>
      <c r="S544" s="316">
        <v>43100</v>
      </c>
    </row>
    <row r="545" spans="1:19" s="1" customFormat="1" ht="28.15" customHeight="1">
      <c r="A545" s="387"/>
      <c r="B545" s="1371" t="s">
        <v>85</v>
      </c>
      <c r="C545" s="1371"/>
      <c r="D545" s="1371"/>
      <c r="E545" s="1371"/>
      <c r="F545" s="1371"/>
      <c r="G545" s="1371"/>
      <c r="H545" s="312">
        <f>SUM(H546:H580)</f>
        <v>22360</v>
      </c>
      <c r="I545" s="312">
        <f t="shared" ref="I545:P545" si="187">SUM(I546:I580)</f>
        <v>20618.900000000005</v>
      </c>
      <c r="J545" s="312">
        <f t="shared" si="187"/>
        <v>20361.900000000005</v>
      </c>
      <c r="K545" s="312">
        <f t="shared" si="187"/>
        <v>676</v>
      </c>
      <c r="L545" s="709">
        <f t="shared" si="187"/>
        <v>2885075</v>
      </c>
      <c r="M545" s="709">
        <f t="shared" si="187"/>
        <v>0</v>
      </c>
      <c r="N545" s="709">
        <f t="shared" si="187"/>
        <v>860147</v>
      </c>
      <c r="O545" s="709">
        <f t="shared" si="187"/>
        <v>2024928</v>
      </c>
      <c r="P545" s="709">
        <f t="shared" si="187"/>
        <v>0</v>
      </c>
      <c r="Q545" s="315" t="s">
        <v>40</v>
      </c>
      <c r="R545" s="310" t="s">
        <v>40</v>
      </c>
      <c r="S545" s="316">
        <v>43100</v>
      </c>
    </row>
    <row r="546" spans="1:19" s="1" customFormat="1" ht="46.9" customHeight="1">
      <c r="A546" s="387">
        <v>8</v>
      </c>
      <c r="B546" s="915" t="s">
        <v>890</v>
      </c>
      <c r="C546" s="387">
        <v>1981</v>
      </c>
      <c r="D546" s="387"/>
      <c r="E546" s="311" t="s">
        <v>218</v>
      </c>
      <c r="F546" s="387">
        <v>2</v>
      </c>
      <c r="G546" s="387">
        <v>1</v>
      </c>
      <c r="H546" s="391">
        <v>371.8</v>
      </c>
      <c r="I546" s="391">
        <v>346</v>
      </c>
      <c r="J546" s="391">
        <v>346</v>
      </c>
      <c r="K546" s="387">
        <v>11</v>
      </c>
      <c r="L546" s="314">
        <f>N546+O546</f>
        <v>25264</v>
      </c>
      <c r="M546" s="314">
        <v>0</v>
      </c>
      <c r="N546" s="314">
        <v>7579</v>
      </c>
      <c r="O546" s="314">
        <v>17685</v>
      </c>
      <c r="P546" s="314">
        <v>0</v>
      </c>
      <c r="Q546" s="391">
        <f>L546/I546</f>
        <v>73.017341040462426</v>
      </c>
      <c r="R546" s="315">
        <v>7822</v>
      </c>
      <c r="S546" s="316">
        <v>43100</v>
      </c>
    </row>
    <row r="547" spans="1:19" s="1" customFormat="1" ht="43.9" customHeight="1">
      <c r="A547" s="387">
        <f t="shared" si="186"/>
        <v>9</v>
      </c>
      <c r="B547" s="915" t="s">
        <v>891</v>
      </c>
      <c r="C547" s="387">
        <v>1981</v>
      </c>
      <c r="D547" s="387"/>
      <c r="E547" s="311" t="s">
        <v>218</v>
      </c>
      <c r="F547" s="387" t="s">
        <v>71</v>
      </c>
      <c r="G547" s="387">
        <v>1</v>
      </c>
      <c r="H547" s="391">
        <v>384.5</v>
      </c>
      <c r="I547" s="391">
        <v>361.4</v>
      </c>
      <c r="J547" s="391">
        <v>361.4</v>
      </c>
      <c r="K547" s="387">
        <v>9</v>
      </c>
      <c r="L547" s="314">
        <f t="shared" ref="L547:L580" si="188">N547+O547</f>
        <v>25312</v>
      </c>
      <c r="M547" s="314">
        <v>0</v>
      </c>
      <c r="N547" s="314">
        <v>7593</v>
      </c>
      <c r="O547" s="314">
        <v>17719</v>
      </c>
      <c r="P547" s="314">
        <v>0</v>
      </c>
      <c r="Q547" s="391">
        <f t="shared" ref="Q547:Q580" si="189">L547/I547</f>
        <v>70.038738240177096</v>
      </c>
      <c r="R547" s="315">
        <v>7822</v>
      </c>
      <c r="S547" s="316">
        <v>43100</v>
      </c>
    </row>
    <row r="548" spans="1:19" s="1" customFormat="1" ht="31.5">
      <c r="A548" s="387">
        <f t="shared" si="186"/>
        <v>10</v>
      </c>
      <c r="B548" s="915" t="s">
        <v>892</v>
      </c>
      <c r="C548" s="387">
        <v>1982</v>
      </c>
      <c r="D548" s="387"/>
      <c r="E548" s="311" t="s">
        <v>218</v>
      </c>
      <c r="F548" s="387">
        <v>2</v>
      </c>
      <c r="G548" s="387">
        <v>1</v>
      </c>
      <c r="H548" s="391">
        <v>381.1</v>
      </c>
      <c r="I548" s="391">
        <v>356.8</v>
      </c>
      <c r="J548" s="391">
        <v>356.8</v>
      </c>
      <c r="K548" s="387">
        <v>12</v>
      </c>
      <c r="L548" s="314">
        <f t="shared" si="188"/>
        <v>25264</v>
      </c>
      <c r="M548" s="314">
        <v>0</v>
      </c>
      <c r="N548" s="314">
        <v>7579</v>
      </c>
      <c r="O548" s="314">
        <v>17685</v>
      </c>
      <c r="P548" s="314">
        <v>0</v>
      </c>
      <c r="Q548" s="391">
        <f t="shared" si="189"/>
        <v>70.807174887892373</v>
      </c>
      <c r="R548" s="315">
        <v>7822</v>
      </c>
      <c r="S548" s="316">
        <v>43100</v>
      </c>
    </row>
    <row r="549" spans="1:19" s="1" customFormat="1" ht="31.5">
      <c r="A549" s="387">
        <f t="shared" si="186"/>
        <v>11</v>
      </c>
      <c r="B549" s="915" t="s">
        <v>893</v>
      </c>
      <c r="C549" s="387">
        <v>1992</v>
      </c>
      <c r="D549" s="387"/>
      <c r="E549" s="311" t="s">
        <v>218</v>
      </c>
      <c r="F549" s="387">
        <v>2</v>
      </c>
      <c r="G549" s="387">
        <v>2</v>
      </c>
      <c r="H549" s="391">
        <v>723.9</v>
      </c>
      <c r="I549" s="391">
        <v>648.20000000000005</v>
      </c>
      <c r="J549" s="391">
        <v>648.20000000000005</v>
      </c>
      <c r="K549" s="387">
        <v>20</v>
      </c>
      <c r="L549" s="314">
        <f t="shared" si="188"/>
        <v>284600</v>
      </c>
      <c r="M549" s="314">
        <v>0</v>
      </c>
      <c r="N549" s="314">
        <v>85380</v>
      </c>
      <c r="O549" s="314">
        <v>199220</v>
      </c>
      <c r="P549" s="314">
        <v>0</v>
      </c>
      <c r="Q549" s="391">
        <f t="shared" si="189"/>
        <v>439.06201789571116</v>
      </c>
      <c r="R549" s="315">
        <v>7822</v>
      </c>
      <c r="S549" s="316">
        <v>43100</v>
      </c>
    </row>
    <row r="550" spans="1:19" s="1" customFormat="1" ht="31.5">
      <c r="A550" s="387">
        <f t="shared" si="186"/>
        <v>12</v>
      </c>
      <c r="B550" s="915" t="s">
        <v>894</v>
      </c>
      <c r="C550" s="387">
        <v>1984</v>
      </c>
      <c r="D550" s="387"/>
      <c r="E550" s="311" t="s">
        <v>218</v>
      </c>
      <c r="F550" s="387">
        <v>2</v>
      </c>
      <c r="G550" s="387">
        <v>1</v>
      </c>
      <c r="H550" s="391">
        <v>380.9</v>
      </c>
      <c r="I550" s="391">
        <v>356.2</v>
      </c>
      <c r="J550" s="391">
        <v>313.3</v>
      </c>
      <c r="K550" s="387">
        <v>11</v>
      </c>
      <c r="L550" s="314">
        <f t="shared" si="188"/>
        <v>25505</v>
      </c>
      <c r="M550" s="314">
        <v>0</v>
      </c>
      <c r="N550" s="314">
        <v>7651</v>
      </c>
      <c r="O550" s="314">
        <v>17854</v>
      </c>
      <c r="P550" s="314">
        <v>0</v>
      </c>
      <c r="Q550" s="391">
        <f t="shared" si="189"/>
        <v>71.603032004491865</v>
      </c>
      <c r="R550" s="315">
        <v>7822</v>
      </c>
      <c r="S550" s="316">
        <v>43100</v>
      </c>
    </row>
    <row r="551" spans="1:19" s="1" customFormat="1" ht="31.5">
      <c r="A551" s="387">
        <f t="shared" si="186"/>
        <v>13</v>
      </c>
      <c r="B551" s="915" t="s">
        <v>895</v>
      </c>
      <c r="C551" s="387">
        <v>1985</v>
      </c>
      <c r="D551" s="387"/>
      <c r="E551" s="311" t="s">
        <v>218</v>
      </c>
      <c r="F551" s="387">
        <v>2</v>
      </c>
      <c r="G551" s="387">
        <v>1</v>
      </c>
      <c r="H551" s="391">
        <v>397.7</v>
      </c>
      <c r="I551" s="391">
        <v>371.1</v>
      </c>
      <c r="J551" s="391">
        <v>371.1</v>
      </c>
      <c r="K551" s="387">
        <v>10</v>
      </c>
      <c r="L551" s="314">
        <v>25168</v>
      </c>
      <c r="M551" s="314">
        <v>0</v>
      </c>
      <c r="N551" s="314">
        <v>7550</v>
      </c>
      <c r="O551" s="314">
        <v>17618</v>
      </c>
      <c r="P551" s="314">
        <v>0</v>
      </c>
      <c r="Q551" s="391">
        <f t="shared" si="189"/>
        <v>67.819994610617087</v>
      </c>
      <c r="R551" s="315">
        <v>7822</v>
      </c>
      <c r="S551" s="316">
        <v>43100</v>
      </c>
    </row>
    <row r="552" spans="1:19" s="1" customFormat="1" ht="39.6" customHeight="1">
      <c r="A552" s="387">
        <f t="shared" si="186"/>
        <v>14</v>
      </c>
      <c r="B552" s="915" t="s">
        <v>896</v>
      </c>
      <c r="C552" s="387">
        <v>1993</v>
      </c>
      <c r="D552" s="387"/>
      <c r="E552" s="311" t="s">
        <v>218</v>
      </c>
      <c r="F552" s="387">
        <v>2</v>
      </c>
      <c r="G552" s="387">
        <v>2</v>
      </c>
      <c r="H552" s="391">
        <v>642</v>
      </c>
      <c r="I552" s="391">
        <v>605.29999999999995</v>
      </c>
      <c r="J552" s="391">
        <v>605.29999999999995</v>
      </c>
      <c r="K552" s="387">
        <v>19</v>
      </c>
      <c r="L552" s="314">
        <f t="shared" si="188"/>
        <v>299445</v>
      </c>
      <c r="M552" s="314">
        <v>0</v>
      </c>
      <c r="N552" s="314">
        <v>89834</v>
      </c>
      <c r="O552" s="314">
        <v>209611</v>
      </c>
      <c r="P552" s="314">
        <v>0</v>
      </c>
      <c r="Q552" s="391">
        <f t="shared" si="189"/>
        <v>494.70510490665788</v>
      </c>
      <c r="R552" s="315">
        <v>7822</v>
      </c>
      <c r="S552" s="316">
        <v>43100</v>
      </c>
    </row>
    <row r="553" spans="1:19" s="1" customFormat="1" ht="38.450000000000003" customHeight="1">
      <c r="A553" s="387">
        <f t="shared" si="186"/>
        <v>15</v>
      </c>
      <c r="B553" s="915" t="s">
        <v>897</v>
      </c>
      <c r="C553" s="387">
        <v>1984</v>
      </c>
      <c r="D553" s="387"/>
      <c r="E553" s="311" t="s">
        <v>218</v>
      </c>
      <c r="F553" s="387">
        <v>2</v>
      </c>
      <c r="G553" s="387">
        <v>1</v>
      </c>
      <c r="H553" s="391">
        <v>387.4</v>
      </c>
      <c r="I553" s="391">
        <v>362.2</v>
      </c>
      <c r="J553" s="391">
        <v>362.2</v>
      </c>
      <c r="K553" s="387">
        <v>8</v>
      </c>
      <c r="L553" s="314">
        <f t="shared" si="188"/>
        <v>32502</v>
      </c>
      <c r="M553" s="314">
        <v>0</v>
      </c>
      <c r="N553" s="314">
        <v>9751</v>
      </c>
      <c r="O553" s="314">
        <v>22751</v>
      </c>
      <c r="P553" s="314">
        <v>0</v>
      </c>
      <c r="Q553" s="391">
        <f t="shared" si="189"/>
        <v>89.734953064605193</v>
      </c>
      <c r="R553" s="315">
        <v>7822</v>
      </c>
      <c r="S553" s="316">
        <v>43100</v>
      </c>
    </row>
    <row r="554" spans="1:19" s="1" customFormat="1" ht="31.5">
      <c r="A554" s="387">
        <f t="shared" si="186"/>
        <v>16</v>
      </c>
      <c r="B554" s="915" t="s">
        <v>898</v>
      </c>
      <c r="C554" s="387">
        <v>1991</v>
      </c>
      <c r="D554" s="387"/>
      <c r="E554" s="311" t="s">
        <v>218</v>
      </c>
      <c r="F554" s="387">
        <v>2</v>
      </c>
      <c r="G554" s="387">
        <v>2</v>
      </c>
      <c r="H554" s="391">
        <v>640.4</v>
      </c>
      <c r="I554" s="391">
        <v>604.70000000000005</v>
      </c>
      <c r="J554" s="391">
        <v>604.70000000000005</v>
      </c>
      <c r="K554" s="387">
        <v>19</v>
      </c>
      <c r="L554" s="314">
        <f t="shared" si="188"/>
        <v>50721</v>
      </c>
      <c r="M554" s="314">
        <v>0</v>
      </c>
      <c r="N554" s="314">
        <v>15216</v>
      </c>
      <c r="O554" s="314">
        <v>35505</v>
      </c>
      <c r="P554" s="314">
        <v>0</v>
      </c>
      <c r="Q554" s="391">
        <f t="shared" si="189"/>
        <v>83.877956011245246</v>
      </c>
      <c r="R554" s="315">
        <v>7822</v>
      </c>
      <c r="S554" s="316">
        <v>43100</v>
      </c>
    </row>
    <row r="555" spans="1:19" s="1" customFormat="1" ht="31.5">
      <c r="A555" s="387">
        <f t="shared" si="186"/>
        <v>17</v>
      </c>
      <c r="B555" s="915" t="s">
        <v>899</v>
      </c>
      <c r="C555" s="387">
        <v>1989</v>
      </c>
      <c r="D555" s="387"/>
      <c r="E555" s="311" t="s">
        <v>218</v>
      </c>
      <c r="F555" s="387">
        <v>2</v>
      </c>
      <c r="G555" s="387">
        <v>2</v>
      </c>
      <c r="H555" s="391">
        <v>644.9</v>
      </c>
      <c r="I555" s="391">
        <v>588.6</v>
      </c>
      <c r="J555" s="391">
        <v>588.6</v>
      </c>
      <c r="K555" s="387">
        <v>24</v>
      </c>
      <c r="L555" s="314">
        <f t="shared" si="188"/>
        <v>257869</v>
      </c>
      <c r="M555" s="314">
        <v>0</v>
      </c>
      <c r="N555" s="314">
        <v>77360</v>
      </c>
      <c r="O555" s="314">
        <v>180509</v>
      </c>
      <c r="P555" s="314">
        <v>0</v>
      </c>
      <c r="Q555" s="391">
        <f t="shared" si="189"/>
        <v>438.10567448182127</v>
      </c>
      <c r="R555" s="315">
        <v>7822</v>
      </c>
      <c r="S555" s="316">
        <v>43100</v>
      </c>
    </row>
    <row r="556" spans="1:19" s="1" customFormat="1" ht="31.5">
      <c r="A556" s="387">
        <f t="shared" si="186"/>
        <v>18</v>
      </c>
      <c r="B556" s="915" t="s">
        <v>900</v>
      </c>
      <c r="C556" s="387">
        <v>1987</v>
      </c>
      <c r="D556" s="387"/>
      <c r="E556" s="311" t="s">
        <v>218</v>
      </c>
      <c r="F556" s="387">
        <v>2</v>
      </c>
      <c r="G556" s="387">
        <v>1</v>
      </c>
      <c r="H556" s="391">
        <v>394</v>
      </c>
      <c r="I556" s="391">
        <v>359.3</v>
      </c>
      <c r="J556" s="391">
        <v>301.8</v>
      </c>
      <c r="K556" s="387">
        <v>14</v>
      </c>
      <c r="L556" s="314">
        <f t="shared" si="188"/>
        <v>28738</v>
      </c>
      <c r="M556" s="314">
        <v>0</v>
      </c>
      <c r="N556" s="314">
        <v>8621</v>
      </c>
      <c r="O556" s="314">
        <v>20117</v>
      </c>
      <c r="P556" s="314">
        <v>0</v>
      </c>
      <c r="Q556" s="391">
        <f t="shared" si="189"/>
        <v>79.983300862788752</v>
      </c>
      <c r="R556" s="315">
        <v>7822</v>
      </c>
      <c r="S556" s="316">
        <v>43100</v>
      </c>
    </row>
    <row r="557" spans="1:19" s="1" customFormat="1" ht="31.5">
      <c r="A557" s="387">
        <f t="shared" si="186"/>
        <v>19</v>
      </c>
      <c r="B557" s="915" t="s">
        <v>901</v>
      </c>
      <c r="C557" s="387">
        <v>1985</v>
      </c>
      <c r="D557" s="387"/>
      <c r="E557" s="311" t="s">
        <v>218</v>
      </c>
      <c r="F557" s="387">
        <v>2</v>
      </c>
      <c r="G557" s="387">
        <v>1</v>
      </c>
      <c r="H557" s="391">
        <v>396.4</v>
      </c>
      <c r="I557" s="391">
        <v>361.4</v>
      </c>
      <c r="J557" s="391">
        <v>361.4</v>
      </c>
      <c r="K557" s="387">
        <v>7</v>
      </c>
      <c r="L557" s="314">
        <f t="shared" si="188"/>
        <v>32453</v>
      </c>
      <c r="M557" s="314">
        <v>0</v>
      </c>
      <c r="N557" s="314">
        <v>9736</v>
      </c>
      <c r="O557" s="314">
        <v>22717</v>
      </c>
      <c r="P557" s="314">
        <v>0</v>
      </c>
      <c r="Q557" s="391">
        <f t="shared" si="189"/>
        <v>89.798007747648043</v>
      </c>
      <c r="R557" s="315">
        <v>7822</v>
      </c>
      <c r="S557" s="316">
        <v>43100</v>
      </c>
    </row>
    <row r="558" spans="1:19" s="1" customFormat="1" ht="31.5">
      <c r="A558" s="387">
        <f t="shared" si="186"/>
        <v>20</v>
      </c>
      <c r="B558" s="915" t="s">
        <v>902</v>
      </c>
      <c r="C558" s="387">
        <v>1987</v>
      </c>
      <c r="D558" s="387"/>
      <c r="E558" s="311" t="s">
        <v>218</v>
      </c>
      <c r="F558" s="387">
        <v>2</v>
      </c>
      <c r="G558" s="387">
        <v>1</v>
      </c>
      <c r="H558" s="391">
        <v>354.6</v>
      </c>
      <c r="I558" s="391">
        <v>354.6</v>
      </c>
      <c r="J558" s="391">
        <v>354.6</v>
      </c>
      <c r="K558" s="387">
        <v>10</v>
      </c>
      <c r="L558" s="314">
        <f t="shared" si="188"/>
        <v>25023</v>
      </c>
      <c r="M558" s="314">
        <v>0</v>
      </c>
      <c r="N558" s="314">
        <v>7507</v>
      </c>
      <c r="O558" s="314">
        <v>17516</v>
      </c>
      <c r="P558" s="314">
        <v>0</v>
      </c>
      <c r="Q558" s="391">
        <f t="shared" si="189"/>
        <v>70.566835871404393</v>
      </c>
      <c r="R558" s="315">
        <v>7822</v>
      </c>
      <c r="S558" s="316">
        <v>43100</v>
      </c>
    </row>
    <row r="559" spans="1:19" s="1" customFormat="1" ht="31.5">
      <c r="A559" s="387">
        <f t="shared" si="186"/>
        <v>21</v>
      </c>
      <c r="B559" s="915" t="s">
        <v>903</v>
      </c>
      <c r="C559" s="387">
        <v>1989</v>
      </c>
      <c r="D559" s="387"/>
      <c r="E559" s="311" t="s">
        <v>218</v>
      </c>
      <c r="F559" s="387">
        <v>2</v>
      </c>
      <c r="G559" s="387">
        <v>1</v>
      </c>
      <c r="H559" s="391">
        <v>432.9</v>
      </c>
      <c r="I559" s="391">
        <v>397.2</v>
      </c>
      <c r="J559" s="391">
        <v>324.7</v>
      </c>
      <c r="K559" s="387">
        <v>19</v>
      </c>
      <c r="L559" s="314">
        <f t="shared" si="188"/>
        <v>25119</v>
      </c>
      <c r="M559" s="314">
        <v>0</v>
      </c>
      <c r="N559" s="314">
        <v>7535</v>
      </c>
      <c r="O559" s="314">
        <v>17584</v>
      </c>
      <c r="P559" s="314">
        <v>0</v>
      </c>
      <c r="Q559" s="391">
        <f t="shared" si="189"/>
        <v>63.240181268882175</v>
      </c>
      <c r="R559" s="315">
        <v>7822</v>
      </c>
      <c r="S559" s="316">
        <v>43100</v>
      </c>
    </row>
    <row r="560" spans="1:19" s="1" customFormat="1" ht="38.450000000000003" customHeight="1">
      <c r="A560" s="387">
        <f t="shared" si="186"/>
        <v>22</v>
      </c>
      <c r="B560" s="915" t="s">
        <v>904</v>
      </c>
      <c r="C560" s="387">
        <v>1971</v>
      </c>
      <c r="D560" s="387"/>
      <c r="E560" s="311" t="s">
        <v>218</v>
      </c>
      <c r="F560" s="387">
        <v>2</v>
      </c>
      <c r="G560" s="387">
        <v>2</v>
      </c>
      <c r="H560" s="391">
        <v>767.1</v>
      </c>
      <c r="I560" s="391">
        <v>701.2</v>
      </c>
      <c r="J560" s="391">
        <v>701.2</v>
      </c>
      <c r="K560" s="387">
        <v>16</v>
      </c>
      <c r="L560" s="314">
        <f t="shared" si="188"/>
        <v>51107</v>
      </c>
      <c r="M560" s="314">
        <v>0</v>
      </c>
      <c r="N560" s="314">
        <v>15332</v>
      </c>
      <c r="O560" s="314">
        <v>35775</v>
      </c>
      <c r="P560" s="314">
        <v>0</v>
      </c>
      <c r="Q560" s="391">
        <f t="shared" si="189"/>
        <v>72.885054192812319</v>
      </c>
      <c r="R560" s="315">
        <v>7822</v>
      </c>
      <c r="S560" s="316">
        <v>43100</v>
      </c>
    </row>
    <row r="561" spans="1:19" s="1" customFormat="1" ht="44.45" customHeight="1">
      <c r="A561" s="387">
        <f t="shared" si="186"/>
        <v>23</v>
      </c>
      <c r="B561" s="915" t="s">
        <v>905</v>
      </c>
      <c r="C561" s="387">
        <v>1969</v>
      </c>
      <c r="D561" s="387"/>
      <c r="E561" s="311" t="s">
        <v>218</v>
      </c>
      <c r="F561" s="387">
        <v>2</v>
      </c>
      <c r="G561" s="387">
        <v>2</v>
      </c>
      <c r="H561" s="391">
        <v>567</v>
      </c>
      <c r="I561" s="391">
        <v>473.9</v>
      </c>
      <c r="J561" s="391">
        <v>473.9</v>
      </c>
      <c r="K561" s="387">
        <v>18</v>
      </c>
      <c r="L561" s="314">
        <f t="shared" si="188"/>
        <v>87488</v>
      </c>
      <c r="M561" s="314">
        <v>0</v>
      </c>
      <c r="N561" s="314">
        <v>26246</v>
      </c>
      <c r="O561" s="314">
        <v>61242</v>
      </c>
      <c r="P561" s="314">
        <v>0</v>
      </c>
      <c r="Q561" s="391">
        <f t="shared" si="189"/>
        <v>184.61278750791308</v>
      </c>
      <c r="R561" s="315">
        <v>7822</v>
      </c>
      <c r="S561" s="316">
        <v>43100</v>
      </c>
    </row>
    <row r="562" spans="1:19" s="1" customFormat="1" ht="31.5">
      <c r="A562" s="387">
        <f t="shared" si="186"/>
        <v>24</v>
      </c>
      <c r="B562" s="915" t="s">
        <v>906</v>
      </c>
      <c r="C562" s="387">
        <v>1969</v>
      </c>
      <c r="D562" s="387"/>
      <c r="E562" s="311" t="s">
        <v>218</v>
      </c>
      <c r="F562" s="387">
        <v>2</v>
      </c>
      <c r="G562" s="387">
        <v>2</v>
      </c>
      <c r="H562" s="391">
        <v>501.6</v>
      </c>
      <c r="I562" s="391">
        <v>477.6</v>
      </c>
      <c r="J562" s="391">
        <v>477.6</v>
      </c>
      <c r="K562" s="387">
        <v>7</v>
      </c>
      <c r="L562" s="314">
        <f t="shared" si="188"/>
        <v>87102</v>
      </c>
      <c r="M562" s="314">
        <v>0</v>
      </c>
      <c r="N562" s="314">
        <v>26130</v>
      </c>
      <c r="O562" s="314">
        <v>60972</v>
      </c>
      <c r="P562" s="314">
        <v>0</v>
      </c>
      <c r="Q562" s="391">
        <f t="shared" si="189"/>
        <v>182.37437185929647</v>
      </c>
      <c r="R562" s="315">
        <v>7822</v>
      </c>
      <c r="S562" s="316">
        <v>43100</v>
      </c>
    </row>
    <row r="563" spans="1:19" s="1" customFormat="1" ht="31.5">
      <c r="A563" s="387">
        <f t="shared" si="186"/>
        <v>25</v>
      </c>
      <c r="B563" s="915" t="s">
        <v>907</v>
      </c>
      <c r="C563" s="387">
        <v>1972</v>
      </c>
      <c r="D563" s="387"/>
      <c r="E563" s="311" t="s">
        <v>218</v>
      </c>
      <c r="F563" s="387">
        <v>2</v>
      </c>
      <c r="G563" s="387">
        <v>2</v>
      </c>
      <c r="H563" s="391">
        <v>767.3</v>
      </c>
      <c r="I563" s="391">
        <v>709.1</v>
      </c>
      <c r="J563" s="391">
        <v>669.7</v>
      </c>
      <c r="K563" s="387">
        <v>22</v>
      </c>
      <c r="L563" s="314">
        <f t="shared" si="188"/>
        <v>53713</v>
      </c>
      <c r="M563" s="314">
        <v>0</v>
      </c>
      <c r="N563" s="314">
        <v>10743</v>
      </c>
      <c r="O563" s="314">
        <v>42970</v>
      </c>
      <c r="P563" s="314">
        <v>0</v>
      </c>
      <c r="Q563" s="391">
        <f t="shared" si="189"/>
        <v>75.748131434212382</v>
      </c>
      <c r="R563" s="315">
        <v>7822</v>
      </c>
      <c r="S563" s="316">
        <v>43100</v>
      </c>
    </row>
    <row r="564" spans="1:19" s="1" customFormat="1" ht="31.5">
      <c r="A564" s="387">
        <f t="shared" si="186"/>
        <v>26</v>
      </c>
      <c r="B564" s="915" t="s">
        <v>908</v>
      </c>
      <c r="C564" s="387">
        <v>1972</v>
      </c>
      <c r="D564" s="387"/>
      <c r="E564" s="311" t="s">
        <v>218</v>
      </c>
      <c r="F564" s="387">
        <v>2</v>
      </c>
      <c r="G564" s="387">
        <v>2</v>
      </c>
      <c r="H564" s="391">
        <v>778.6</v>
      </c>
      <c r="I564" s="391">
        <v>719.6</v>
      </c>
      <c r="J564" s="391">
        <v>719.6</v>
      </c>
      <c r="K564" s="387">
        <v>28</v>
      </c>
      <c r="L564" s="314">
        <f t="shared" si="188"/>
        <v>242578</v>
      </c>
      <c r="M564" s="314">
        <v>0</v>
      </c>
      <c r="N564" s="314">
        <v>72774</v>
      </c>
      <c r="O564" s="314">
        <v>169804</v>
      </c>
      <c r="P564" s="314">
        <v>0</v>
      </c>
      <c r="Q564" s="391">
        <f t="shared" si="189"/>
        <v>337.10116731517508</v>
      </c>
      <c r="R564" s="315">
        <v>7822</v>
      </c>
      <c r="S564" s="316">
        <v>43100</v>
      </c>
    </row>
    <row r="565" spans="1:19" s="1" customFormat="1" ht="31.5">
      <c r="A565" s="387">
        <f t="shared" si="186"/>
        <v>27</v>
      </c>
      <c r="B565" s="915" t="s">
        <v>390</v>
      </c>
      <c r="C565" s="387">
        <v>1973</v>
      </c>
      <c r="D565" s="387"/>
      <c r="E565" s="311" t="s">
        <v>218</v>
      </c>
      <c r="F565" s="387">
        <v>2</v>
      </c>
      <c r="G565" s="387">
        <v>2</v>
      </c>
      <c r="H565" s="391">
        <v>780.6</v>
      </c>
      <c r="I565" s="391">
        <v>716</v>
      </c>
      <c r="J565" s="391">
        <v>716</v>
      </c>
      <c r="K565" s="387">
        <v>18</v>
      </c>
      <c r="L565" s="314">
        <f t="shared" si="188"/>
        <v>52265</v>
      </c>
      <c r="M565" s="314">
        <v>0</v>
      </c>
      <c r="N565" s="314">
        <v>15679</v>
      </c>
      <c r="O565" s="314">
        <v>36586</v>
      </c>
      <c r="P565" s="314">
        <v>0</v>
      </c>
      <c r="Q565" s="391">
        <f t="shared" si="189"/>
        <v>72.995810055865917</v>
      </c>
      <c r="R565" s="315">
        <v>7822</v>
      </c>
      <c r="S565" s="316">
        <v>43100</v>
      </c>
    </row>
    <row r="566" spans="1:19" s="1" customFormat="1" ht="31.5">
      <c r="A566" s="387">
        <f t="shared" si="186"/>
        <v>28</v>
      </c>
      <c r="B566" s="915" t="s">
        <v>909</v>
      </c>
      <c r="C566" s="387">
        <v>1969</v>
      </c>
      <c r="D566" s="387"/>
      <c r="E566" s="311" t="s">
        <v>218</v>
      </c>
      <c r="F566" s="387">
        <v>2</v>
      </c>
      <c r="G566" s="387">
        <v>2</v>
      </c>
      <c r="H566" s="391">
        <v>522.9</v>
      </c>
      <c r="I566" s="391">
        <v>480.5</v>
      </c>
      <c r="J566" s="391">
        <v>480.5</v>
      </c>
      <c r="K566" s="387">
        <v>16</v>
      </c>
      <c r="L566" s="314">
        <f t="shared" si="188"/>
        <v>81602</v>
      </c>
      <c r="M566" s="314">
        <v>0</v>
      </c>
      <c r="N566" s="314">
        <v>24481</v>
      </c>
      <c r="O566" s="314">
        <v>57121</v>
      </c>
      <c r="P566" s="314">
        <v>0</v>
      </c>
      <c r="Q566" s="391">
        <f t="shared" si="189"/>
        <v>169.82726326742977</v>
      </c>
      <c r="R566" s="315">
        <v>7822</v>
      </c>
      <c r="S566" s="316">
        <v>43100</v>
      </c>
    </row>
    <row r="567" spans="1:19" s="1" customFormat="1" ht="31.5">
      <c r="A567" s="387">
        <f t="shared" si="186"/>
        <v>29</v>
      </c>
      <c r="B567" s="915" t="s">
        <v>232</v>
      </c>
      <c r="C567" s="387">
        <v>1970</v>
      </c>
      <c r="D567" s="387"/>
      <c r="E567" s="311" t="s">
        <v>218</v>
      </c>
      <c r="F567" s="387">
        <v>2</v>
      </c>
      <c r="G567" s="387">
        <v>2</v>
      </c>
      <c r="H567" s="391">
        <v>528.20000000000005</v>
      </c>
      <c r="I567" s="391">
        <v>485.6</v>
      </c>
      <c r="J567" s="391">
        <v>485.6</v>
      </c>
      <c r="K567" s="387">
        <v>14</v>
      </c>
      <c r="L567" s="314">
        <f t="shared" si="188"/>
        <v>87295</v>
      </c>
      <c r="M567" s="314">
        <v>0</v>
      </c>
      <c r="N567" s="314">
        <v>26188</v>
      </c>
      <c r="O567" s="314">
        <v>61107</v>
      </c>
      <c r="P567" s="314">
        <v>0</v>
      </c>
      <c r="Q567" s="391">
        <f t="shared" si="189"/>
        <v>179.76729818780888</v>
      </c>
      <c r="R567" s="315">
        <v>7822</v>
      </c>
      <c r="S567" s="316">
        <v>43100</v>
      </c>
    </row>
    <row r="568" spans="1:19" s="1" customFormat="1" ht="36" customHeight="1">
      <c r="A568" s="387">
        <f t="shared" si="186"/>
        <v>30</v>
      </c>
      <c r="B568" s="915" t="s">
        <v>910</v>
      </c>
      <c r="C568" s="387">
        <v>1973</v>
      </c>
      <c r="D568" s="387"/>
      <c r="E568" s="311" t="s">
        <v>218</v>
      </c>
      <c r="F568" s="387">
        <v>2</v>
      </c>
      <c r="G568" s="387">
        <v>2</v>
      </c>
      <c r="H568" s="391">
        <v>772.5</v>
      </c>
      <c r="I568" s="391">
        <v>713.3</v>
      </c>
      <c r="J568" s="391">
        <v>668.6</v>
      </c>
      <c r="K568" s="387">
        <v>19</v>
      </c>
      <c r="L568" s="314">
        <f t="shared" si="188"/>
        <v>51879</v>
      </c>
      <c r="M568" s="314">
        <v>0</v>
      </c>
      <c r="N568" s="314">
        <v>15564</v>
      </c>
      <c r="O568" s="314">
        <v>36315</v>
      </c>
      <c r="P568" s="314">
        <v>0</v>
      </c>
      <c r="Q568" s="391">
        <f t="shared" si="189"/>
        <v>72.730968736856866</v>
      </c>
      <c r="R568" s="315">
        <v>7822</v>
      </c>
      <c r="S568" s="316">
        <v>43100</v>
      </c>
    </row>
    <row r="569" spans="1:19" s="1" customFormat="1" ht="31.5">
      <c r="A569" s="387">
        <f t="shared" si="186"/>
        <v>31</v>
      </c>
      <c r="B569" s="915" t="s">
        <v>911</v>
      </c>
      <c r="C569" s="387">
        <v>1973</v>
      </c>
      <c r="D569" s="387"/>
      <c r="E569" s="311" t="s">
        <v>218</v>
      </c>
      <c r="F569" s="387">
        <v>2</v>
      </c>
      <c r="G569" s="387">
        <v>2</v>
      </c>
      <c r="H569" s="391">
        <v>774</v>
      </c>
      <c r="I569" s="391">
        <v>715.5</v>
      </c>
      <c r="J569" s="391">
        <v>715.5</v>
      </c>
      <c r="K569" s="387">
        <v>22</v>
      </c>
      <c r="L569" s="314">
        <f t="shared" si="188"/>
        <v>51879</v>
      </c>
      <c r="M569" s="314">
        <v>0</v>
      </c>
      <c r="N569" s="314">
        <v>15564</v>
      </c>
      <c r="O569" s="314">
        <v>36315</v>
      </c>
      <c r="P569" s="314">
        <v>0</v>
      </c>
      <c r="Q569" s="391">
        <f t="shared" si="189"/>
        <v>72.507337526205447</v>
      </c>
      <c r="R569" s="315">
        <v>7822</v>
      </c>
      <c r="S569" s="316">
        <v>43100</v>
      </c>
    </row>
    <row r="570" spans="1:19" s="1" customFormat="1" ht="31.5">
      <c r="A570" s="387">
        <f t="shared" si="186"/>
        <v>32</v>
      </c>
      <c r="B570" s="915" t="s">
        <v>912</v>
      </c>
      <c r="C570" s="387">
        <v>1974</v>
      </c>
      <c r="D570" s="387"/>
      <c r="E570" s="311" t="s">
        <v>218</v>
      </c>
      <c r="F570" s="387">
        <v>2</v>
      </c>
      <c r="G570" s="387">
        <v>2</v>
      </c>
      <c r="H570" s="391">
        <v>768.7</v>
      </c>
      <c r="I570" s="391">
        <v>710.7</v>
      </c>
      <c r="J570" s="391">
        <v>710.7</v>
      </c>
      <c r="K570" s="387">
        <v>27</v>
      </c>
      <c r="L570" s="314">
        <f t="shared" si="188"/>
        <v>52072</v>
      </c>
      <c r="M570" s="314">
        <v>0</v>
      </c>
      <c r="N570" s="314">
        <v>15621</v>
      </c>
      <c r="O570" s="314">
        <v>36451</v>
      </c>
      <c r="P570" s="314">
        <v>0</v>
      </c>
      <c r="Q570" s="391">
        <f t="shared" si="189"/>
        <v>73.26860841423948</v>
      </c>
      <c r="R570" s="315">
        <v>7822</v>
      </c>
      <c r="S570" s="316">
        <v>43100</v>
      </c>
    </row>
    <row r="571" spans="1:19" s="1" customFormat="1" ht="31.5">
      <c r="A571" s="387">
        <f t="shared" si="186"/>
        <v>33</v>
      </c>
      <c r="B571" s="915" t="s">
        <v>913</v>
      </c>
      <c r="C571" s="387">
        <v>1974</v>
      </c>
      <c r="D571" s="387"/>
      <c r="E571" s="311" t="s">
        <v>218</v>
      </c>
      <c r="F571" s="387">
        <v>2</v>
      </c>
      <c r="G571" s="387">
        <v>2</v>
      </c>
      <c r="H571" s="391">
        <v>765</v>
      </c>
      <c r="I571" s="391">
        <v>707.5</v>
      </c>
      <c r="J571" s="391">
        <v>707.5</v>
      </c>
      <c r="K571" s="387">
        <v>20</v>
      </c>
      <c r="L571" s="314">
        <f t="shared" si="188"/>
        <v>51879</v>
      </c>
      <c r="M571" s="314">
        <v>0</v>
      </c>
      <c r="N571" s="314">
        <v>15564</v>
      </c>
      <c r="O571" s="314">
        <v>36315</v>
      </c>
      <c r="P571" s="314">
        <v>0</v>
      </c>
      <c r="Q571" s="391">
        <f t="shared" si="189"/>
        <v>73.327208480565375</v>
      </c>
      <c r="R571" s="315">
        <v>7822</v>
      </c>
      <c r="S571" s="316">
        <v>43100</v>
      </c>
    </row>
    <row r="572" spans="1:19" s="1" customFormat="1" ht="39.6" customHeight="1">
      <c r="A572" s="387">
        <f t="shared" si="186"/>
        <v>34</v>
      </c>
      <c r="B572" s="915" t="s">
        <v>914</v>
      </c>
      <c r="C572" s="387">
        <v>1980</v>
      </c>
      <c r="D572" s="387"/>
      <c r="E572" s="311" t="s">
        <v>218</v>
      </c>
      <c r="F572" s="387">
        <v>2</v>
      </c>
      <c r="G572" s="387">
        <v>3</v>
      </c>
      <c r="H572" s="391">
        <v>1055</v>
      </c>
      <c r="I572" s="391">
        <v>957.4</v>
      </c>
      <c r="J572" s="391">
        <v>957.4</v>
      </c>
      <c r="K572" s="387">
        <v>42</v>
      </c>
      <c r="L572" s="314">
        <f t="shared" si="188"/>
        <v>77819</v>
      </c>
      <c r="M572" s="314">
        <v>0</v>
      </c>
      <c r="N572" s="314">
        <v>23346</v>
      </c>
      <c r="O572" s="314">
        <v>54473</v>
      </c>
      <c r="P572" s="314">
        <v>0</v>
      </c>
      <c r="Q572" s="391">
        <f t="shared" si="189"/>
        <v>81.281595989137244</v>
      </c>
      <c r="R572" s="315">
        <v>7822</v>
      </c>
      <c r="S572" s="316">
        <v>43100</v>
      </c>
    </row>
    <row r="573" spans="1:19" s="1" customFormat="1" ht="31.5">
      <c r="A573" s="387">
        <f t="shared" si="186"/>
        <v>35</v>
      </c>
      <c r="B573" s="915" t="s">
        <v>915</v>
      </c>
      <c r="C573" s="387">
        <v>1973</v>
      </c>
      <c r="D573" s="387"/>
      <c r="E573" s="311" t="s">
        <v>218</v>
      </c>
      <c r="F573" s="387">
        <v>2</v>
      </c>
      <c r="G573" s="387">
        <v>2</v>
      </c>
      <c r="H573" s="391">
        <v>778.9</v>
      </c>
      <c r="I573" s="391">
        <v>721.8</v>
      </c>
      <c r="J573" s="391">
        <v>721.8</v>
      </c>
      <c r="K573" s="387">
        <v>27</v>
      </c>
      <c r="L573" s="314">
        <f t="shared" si="188"/>
        <v>51879</v>
      </c>
      <c r="M573" s="314">
        <v>0</v>
      </c>
      <c r="N573" s="314">
        <v>15564</v>
      </c>
      <c r="O573" s="314">
        <v>36315</v>
      </c>
      <c r="P573" s="314">
        <v>0</v>
      </c>
      <c r="Q573" s="391">
        <f t="shared" si="189"/>
        <v>71.874480465502913</v>
      </c>
      <c r="R573" s="315">
        <v>7822</v>
      </c>
      <c r="S573" s="316">
        <v>43100</v>
      </c>
    </row>
    <row r="574" spans="1:19" s="1" customFormat="1" ht="31.5">
      <c r="A574" s="387">
        <f t="shared" si="186"/>
        <v>36</v>
      </c>
      <c r="B574" s="915" t="s">
        <v>916</v>
      </c>
      <c r="C574" s="387">
        <v>1975</v>
      </c>
      <c r="D574" s="387"/>
      <c r="E574" s="311" t="s">
        <v>218</v>
      </c>
      <c r="F574" s="387">
        <v>2</v>
      </c>
      <c r="G574" s="387">
        <v>2</v>
      </c>
      <c r="H574" s="391">
        <v>772.3</v>
      </c>
      <c r="I574" s="391">
        <v>713.3</v>
      </c>
      <c r="J574" s="391">
        <v>713.3</v>
      </c>
      <c r="K574" s="387">
        <v>28</v>
      </c>
      <c r="L574" s="314">
        <f t="shared" si="188"/>
        <v>51783</v>
      </c>
      <c r="M574" s="314">
        <v>0</v>
      </c>
      <c r="N574" s="314">
        <v>15535</v>
      </c>
      <c r="O574" s="314">
        <v>36248</v>
      </c>
      <c r="P574" s="314">
        <v>0</v>
      </c>
      <c r="Q574" s="391">
        <f t="shared" si="189"/>
        <v>72.596383008551811</v>
      </c>
      <c r="R574" s="315">
        <v>7822</v>
      </c>
      <c r="S574" s="316">
        <v>43100</v>
      </c>
    </row>
    <row r="575" spans="1:19" s="1" customFormat="1" ht="31.5">
      <c r="A575" s="387">
        <f t="shared" si="186"/>
        <v>37</v>
      </c>
      <c r="B575" s="915" t="s">
        <v>917</v>
      </c>
      <c r="C575" s="387">
        <v>1978</v>
      </c>
      <c r="D575" s="387"/>
      <c r="E575" s="311" t="s">
        <v>218</v>
      </c>
      <c r="F575" s="387">
        <v>2</v>
      </c>
      <c r="G575" s="387">
        <v>2</v>
      </c>
      <c r="H575" s="391">
        <v>795.8</v>
      </c>
      <c r="I575" s="391">
        <v>734</v>
      </c>
      <c r="J575" s="391">
        <v>734</v>
      </c>
      <c r="K575" s="387">
        <v>21</v>
      </c>
      <c r="L575" s="314">
        <f t="shared" si="188"/>
        <v>51011</v>
      </c>
      <c r="M575" s="314">
        <v>0</v>
      </c>
      <c r="N575" s="314">
        <v>15303</v>
      </c>
      <c r="O575" s="314">
        <v>35708</v>
      </c>
      <c r="P575" s="314">
        <v>0</v>
      </c>
      <c r="Q575" s="391">
        <f t="shared" si="189"/>
        <v>69.497275204359667</v>
      </c>
      <c r="R575" s="315">
        <v>7822</v>
      </c>
      <c r="S575" s="316">
        <v>43100</v>
      </c>
    </row>
    <row r="576" spans="1:19" s="1" customFormat="1" ht="31.5">
      <c r="A576" s="387">
        <f t="shared" si="186"/>
        <v>38</v>
      </c>
      <c r="B576" s="915" t="s">
        <v>918</v>
      </c>
      <c r="C576" s="387">
        <v>1978</v>
      </c>
      <c r="D576" s="387"/>
      <c r="E576" s="311" t="s">
        <v>218</v>
      </c>
      <c r="F576" s="387">
        <v>2</v>
      </c>
      <c r="G576" s="387">
        <v>3</v>
      </c>
      <c r="H576" s="391">
        <v>1025.0999999999999</v>
      </c>
      <c r="I576" s="391">
        <v>945.7</v>
      </c>
      <c r="J576" s="391">
        <v>945.7</v>
      </c>
      <c r="K576" s="387">
        <v>36</v>
      </c>
      <c r="L576" s="314">
        <f t="shared" si="188"/>
        <v>78398</v>
      </c>
      <c r="M576" s="314">
        <v>0</v>
      </c>
      <c r="N576" s="314">
        <v>23519</v>
      </c>
      <c r="O576" s="314">
        <v>54879</v>
      </c>
      <c r="P576" s="314">
        <v>0</v>
      </c>
      <c r="Q576" s="391">
        <f t="shared" si="189"/>
        <v>82.899439568573541</v>
      </c>
      <c r="R576" s="315">
        <v>7822</v>
      </c>
      <c r="S576" s="316">
        <v>43100</v>
      </c>
    </row>
    <row r="577" spans="1:48" s="1" customFormat="1" ht="31.5">
      <c r="A577" s="387">
        <f t="shared" si="186"/>
        <v>39</v>
      </c>
      <c r="B577" s="915" t="s">
        <v>919</v>
      </c>
      <c r="C577" s="387">
        <v>1979</v>
      </c>
      <c r="D577" s="387"/>
      <c r="E577" s="311" t="s">
        <v>218</v>
      </c>
      <c r="F577" s="387">
        <v>2</v>
      </c>
      <c r="G577" s="387">
        <v>3</v>
      </c>
      <c r="H577" s="391">
        <v>1023.9</v>
      </c>
      <c r="I577" s="391">
        <v>938.7</v>
      </c>
      <c r="J577" s="391">
        <v>938.7</v>
      </c>
      <c r="K577" s="387">
        <v>30</v>
      </c>
      <c r="L577" s="314">
        <f t="shared" si="188"/>
        <v>78012</v>
      </c>
      <c r="M577" s="314">
        <v>0</v>
      </c>
      <c r="N577" s="314">
        <v>23404</v>
      </c>
      <c r="O577" s="314">
        <v>54608</v>
      </c>
      <c r="P577" s="314">
        <v>0</v>
      </c>
      <c r="Q577" s="391">
        <f t="shared" si="189"/>
        <v>83.106423777564714</v>
      </c>
      <c r="R577" s="315">
        <v>7822</v>
      </c>
      <c r="S577" s="316">
        <v>43100</v>
      </c>
    </row>
    <row r="578" spans="1:48" s="1" customFormat="1" ht="31.5">
      <c r="A578" s="387">
        <f t="shared" si="186"/>
        <v>40</v>
      </c>
      <c r="B578" s="915" t="s">
        <v>920</v>
      </c>
      <c r="C578" s="387">
        <v>1975</v>
      </c>
      <c r="D578" s="387"/>
      <c r="E578" s="311" t="s">
        <v>218</v>
      </c>
      <c r="F578" s="387" t="s">
        <v>70</v>
      </c>
      <c r="G578" s="387" t="s">
        <v>70</v>
      </c>
      <c r="H578" s="391">
        <v>774.5</v>
      </c>
      <c r="I578" s="391">
        <v>716.2</v>
      </c>
      <c r="J578" s="391">
        <v>716.2</v>
      </c>
      <c r="K578" s="387">
        <v>23</v>
      </c>
      <c r="L578" s="314">
        <f t="shared" si="188"/>
        <v>52265</v>
      </c>
      <c r="M578" s="314">
        <v>0</v>
      </c>
      <c r="N578" s="314">
        <v>15679</v>
      </c>
      <c r="O578" s="314">
        <v>36586</v>
      </c>
      <c r="P578" s="314">
        <v>0</v>
      </c>
      <c r="Q578" s="391">
        <f t="shared" si="189"/>
        <v>72.975425858698685</v>
      </c>
      <c r="R578" s="315">
        <v>7822</v>
      </c>
      <c r="S578" s="316">
        <v>43100</v>
      </c>
    </row>
    <row r="579" spans="1:48" s="1" customFormat="1" ht="31.5">
      <c r="A579" s="387">
        <f t="shared" si="186"/>
        <v>41</v>
      </c>
      <c r="B579" s="915" t="s">
        <v>921</v>
      </c>
      <c r="C579" s="387">
        <v>1976</v>
      </c>
      <c r="D579" s="387"/>
      <c r="E579" s="311" t="s">
        <v>218</v>
      </c>
      <c r="F579" s="387">
        <v>2</v>
      </c>
      <c r="G579" s="387">
        <v>2</v>
      </c>
      <c r="H579" s="391">
        <v>768</v>
      </c>
      <c r="I579" s="391">
        <v>710.9</v>
      </c>
      <c r="J579" s="391">
        <v>710.9</v>
      </c>
      <c r="K579" s="387">
        <v>34</v>
      </c>
      <c r="L579" s="314">
        <f t="shared" si="188"/>
        <v>242964</v>
      </c>
      <c r="M579" s="314">
        <v>0</v>
      </c>
      <c r="N579" s="314">
        <v>72889</v>
      </c>
      <c r="O579" s="314">
        <v>170075</v>
      </c>
      <c r="P579" s="314">
        <v>0</v>
      </c>
      <c r="Q579" s="391">
        <f t="shared" si="189"/>
        <v>341.76958784639191</v>
      </c>
      <c r="R579" s="315">
        <v>7822</v>
      </c>
      <c r="S579" s="316">
        <v>43100</v>
      </c>
    </row>
    <row r="580" spans="1:48" s="1" customFormat="1" ht="31.5">
      <c r="A580" s="387">
        <f t="shared" si="186"/>
        <v>42</v>
      </c>
      <c r="B580" s="915" t="s">
        <v>922</v>
      </c>
      <c r="C580" s="387">
        <v>1976</v>
      </c>
      <c r="D580" s="387"/>
      <c r="E580" s="311" t="s">
        <v>218</v>
      </c>
      <c r="F580" s="387">
        <v>2</v>
      </c>
      <c r="G580" s="387">
        <v>2</v>
      </c>
      <c r="H580" s="391">
        <v>540.5</v>
      </c>
      <c r="I580" s="391">
        <v>497.4</v>
      </c>
      <c r="J580" s="391">
        <v>497.4</v>
      </c>
      <c r="K580" s="387">
        <v>15</v>
      </c>
      <c r="L580" s="314">
        <f t="shared" si="188"/>
        <v>87102</v>
      </c>
      <c r="M580" s="314">
        <v>0</v>
      </c>
      <c r="N580" s="314">
        <v>26130</v>
      </c>
      <c r="O580" s="314">
        <v>60972</v>
      </c>
      <c r="P580" s="314">
        <v>0</v>
      </c>
      <c r="Q580" s="391">
        <f t="shared" si="189"/>
        <v>175.11459589867312</v>
      </c>
      <c r="R580" s="315">
        <v>7822</v>
      </c>
      <c r="S580" s="316">
        <v>43100</v>
      </c>
    </row>
    <row r="581" spans="1:48" s="1" customFormat="1" ht="15.75">
      <c r="A581" s="1373" t="s">
        <v>474</v>
      </c>
      <c r="B581" s="1374"/>
      <c r="C581" s="1374"/>
      <c r="D581" s="1374"/>
      <c r="E581" s="1374"/>
      <c r="F581" s="1374"/>
      <c r="G581" s="1374"/>
      <c r="H581" s="1374"/>
      <c r="I581" s="1374"/>
      <c r="J581" s="1374"/>
      <c r="K581" s="1374"/>
      <c r="L581" s="1374"/>
      <c r="M581" s="1374"/>
      <c r="N581" s="1374"/>
      <c r="O581" s="1374"/>
      <c r="P581" s="1374"/>
      <c r="Q581" s="1374"/>
      <c r="R581" s="1374"/>
      <c r="S581" s="1375"/>
    </row>
    <row r="582" spans="1:48">
      <c r="A582" s="1332" t="s">
        <v>34</v>
      </c>
      <c r="B582" s="1332"/>
      <c r="C582" s="1332"/>
      <c r="D582" s="1332"/>
      <c r="E582" s="1332"/>
      <c r="F582" s="1332"/>
      <c r="G582" s="1332"/>
      <c r="H582" s="1332"/>
      <c r="I582" s="1332"/>
      <c r="J582" s="1332"/>
      <c r="K582" s="1332"/>
      <c r="L582" s="1332"/>
      <c r="M582" s="1332"/>
      <c r="N582" s="1332"/>
      <c r="O582" s="1332"/>
      <c r="P582" s="1332"/>
      <c r="Q582" s="1332"/>
      <c r="R582" s="1332"/>
      <c r="S582" s="1332"/>
    </row>
    <row r="583" spans="1:48" ht="18.75" customHeight="1">
      <c r="A583" s="302"/>
      <c r="B583" s="1334" t="s">
        <v>205</v>
      </c>
      <c r="C583" s="1334"/>
      <c r="D583" s="1334"/>
      <c r="E583" s="1334"/>
      <c r="F583" s="1334"/>
      <c r="G583" s="1334"/>
      <c r="H583" s="104">
        <f t="shared" ref="H583:O583" si="190">H584+H753+H767+H770+H796+H809+H825+H834+H841+H844+H863+H867+H882+H886+H889+H896+H908+H916+H929+H937+H968+H973+H978+H992+H996+H1013+H1007+H1016+H1025+H1028+H1032+H1038+H1043+H1048+H1060</f>
        <v>289715.61</v>
      </c>
      <c r="I583" s="104">
        <f t="shared" si="190"/>
        <v>242939.8</v>
      </c>
      <c r="J583" s="104">
        <f t="shared" si="190"/>
        <v>215863.93000000002</v>
      </c>
      <c r="K583" s="105">
        <f t="shared" si="190"/>
        <v>10295</v>
      </c>
      <c r="L583" s="113">
        <f t="shared" si="190"/>
        <v>608660559.45000005</v>
      </c>
      <c r="M583" s="113">
        <f t="shared" si="190"/>
        <v>0</v>
      </c>
      <c r="N583" s="113">
        <f t="shared" si="190"/>
        <v>2372919.13</v>
      </c>
      <c r="O583" s="113">
        <f t="shared" si="190"/>
        <v>606287640.31999993</v>
      </c>
      <c r="P583" s="113">
        <f>P584+P753+P767+P770+P796+P809+P825+P834+P841+P844+P863+P867+P882+P886+P889+P896+P908+P916+P929+P937+P968+P973+P978+P992+P996+P1013+P1007+P1016+P1025+P1028+P1032+P1043+P1048+P1060</f>
        <v>0</v>
      </c>
      <c r="Q583" s="106" t="s">
        <v>40</v>
      </c>
      <c r="R583" s="106" t="s">
        <v>40</v>
      </c>
      <c r="S583" s="106" t="s">
        <v>40</v>
      </c>
    </row>
    <row r="584" spans="1:48" s="1" customFormat="1" ht="15.75" customHeight="1">
      <c r="A584" s="302"/>
      <c r="B584" s="1334" t="s">
        <v>89</v>
      </c>
      <c r="C584" s="1334"/>
      <c r="D584" s="1334"/>
      <c r="E584" s="1334"/>
      <c r="F584" s="1334"/>
      <c r="G584" s="1334"/>
      <c r="H584" s="104">
        <f>SUM(H585:H752)</f>
        <v>0</v>
      </c>
      <c r="I584" s="104">
        <f t="shared" ref="I584" si="191">SUM(I585:I752)</f>
        <v>0</v>
      </c>
      <c r="J584" s="104">
        <f>SUM(J585:J752)</f>
        <v>0</v>
      </c>
      <c r="K584" s="105">
        <f>SUM(K585:K752)</f>
        <v>0</v>
      </c>
      <c r="L584" s="113">
        <v>336230870.63</v>
      </c>
      <c r="M584" s="113">
        <f t="shared" ref="M584:N584" si="192">SUM(M585:M752)</f>
        <v>0</v>
      </c>
      <c r="N584" s="113">
        <f t="shared" si="192"/>
        <v>0</v>
      </c>
      <c r="O584" s="113">
        <f>SUM(O585:O752)</f>
        <v>336230870.63</v>
      </c>
      <c r="P584" s="113">
        <f t="shared" ref="P584" si="193">SUM(P585:P752)</f>
        <v>0</v>
      </c>
      <c r="Q584" s="106" t="s">
        <v>40</v>
      </c>
      <c r="R584" s="106" t="s">
        <v>40</v>
      </c>
      <c r="S584" s="106" t="s">
        <v>40</v>
      </c>
    </row>
    <row r="585" spans="1:48" s="3" customFormat="1" ht="15.75">
      <c r="A585" s="107">
        <v>1</v>
      </c>
      <c r="B585" s="301" t="s">
        <v>324</v>
      </c>
      <c r="C585" s="108">
        <v>1975</v>
      </c>
      <c r="D585" s="108"/>
      <c r="E585" s="109" t="s">
        <v>219</v>
      </c>
      <c r="F585" s="110">
        <v>5</v>
      </c>
      <c r="G585" s="110">
        <v>10</v>
      </c>
      <c r="H585" s="111"/>
      <c r="I585" s="111"/>
      <c r="J585" s="111"/>
      <c r="K585" s="112"/>
      <c r="L585" s="113">
        <v>5982216</v>
      </c>
      <c r="M585" s="113">
        <v>0</v>
      </c>
      <c r="N585" s="113">
        <v>0</v>
      </c>
      <c r="O585" s="113">
        <f t="shared" ref="O585:O648" si="194">L585</f>
        <v>5982216</v>
      </c>
      <c r="P585" s="113">
        <v>0</v>
      </c>
      <c r="Q585" s="114" t="e">
        <f t="shared" ref="Q585:Q648" si="195">L585/I585</f>
        <v>#DIV/0!</v>
      </c>
      <c r="R585" s="115"/>
      <c r="S585" s="326">
        <v>43465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1:48" customFormat="1" ht="15.75">
      <c r="A586" s="107">
        <f>A585+1</f>
        <v>2</v>
      </c>
      <c r="B586" s="301" t="s">
        <v>325</v>
      </c>
      <c r="C586" s="108">
        <v>1978</v>
      </c>
      <c r="D586" s="108"/>
      <c r="E586" s="109" t="s">
        <v>219</v>
      </c>
      <c r="F586" s="110">
        <v>9</v>
      </c>
      <c r="G586" s="110">
        <v>5</v>
      </c>
      <c r="H586" s="111"/>
      <c r="I586" s="111"/>
      <c r="J586" s="111"/>
      <c r="K586" s="112"/>
      <c r="L586" s="113">
        <v>9379653</v>
      </c>
      <c r="M586" s="113">
        <v>0</v>
      </c>
      <c r="N586" s="113">
        <v>0</v>
      </c>
      <c r="O586" s="113">
        <f t="shared" si="194"/>
        <v>9379653</v>
      </c>
      <c r="P586" s="113">
        <v>0</v>
      </c>
      <c r="Q586" s="114" t="e">
        <f t="shared" si="195"/>
        <v>#DIV/0!</v>
      </c>
      <c r="R586" s="115"/>
      <c r="S586" s="326">
        <v>43465</v>
      </c>
    </row>
    <row r="587" spans="1:48" customFormat="1" ht="15.75">
      <c r="A587" s="107">
        <f t="shared" ref="A587:A650" si="196">A586+1</f>
        <v>3</v>
      </c>
      <c r="B587" s="305" t="s">
        <v>321</v>
      </c>
      <c r="C587" s="108">
        <v>1982</v>
      </c>
      <c r="D587" s="108"/>
      <c r="E587" s="109" t="s">
        <v>219</v>
      </c>
      <c r="F587" s="110">
        <v>9</v>
      </c>
      <c r="G587" s="110">
        <v>2</v>
      </c>
      <c r="H587" s="111"/>
      <c r="I587" s="111"/>
      <c r="J587" s="111"/>
      <c r="K587" s="112"/>
      <c r="L587" s="113">
        <v>3763756</v>
      </c>
      <c r="M587" s="113">
        <v>0</v>
      </c>
      <c r="N587" s="113">
        <v>0</v>
      </c>
      <c r="O587" s="113">
        <f t="shared" si="194"/>
        <v>3763756</v>
      </c>
      <c r="P587" s="113">
        <v>0</v>
      </c>
      <c r="Q587" s="114" t="e">
        <f t="shared" si="195"/>
        <v>#DIV/0!</v>
      </c>
      <c r="R587" s="115"/>
      <c r="S587" s="326">
        <v>43465</v>
      </c>
    </row>
    <row r="588" spans="1:48" customFormat="1" ht="15.75">
      <c r="A588" s="107">
        <f t="shared" si="196"/>
        <v>4</v>
      </c>
      <c r="B588" s="305" t="s">
        <v>346</v>
      </c>
      <c r="C588" s="108">
        <v>1982</v>
      </c>
      <c r="D588" s="108"/>
      <c r="E588" s="109" t="s">
        <v>219</v>
      </c>
      <c r="F588" s="110">
        <v>9</v>
      </c>
      <c r="G588" s="110">
        <v>1</v>
      </c>
      <c r="H588" s="111"/>
      <c r="I588" s="111"/>
      <c r="J588" s="111"/>
      <c r="K588" s="112"/>
      <c r="L588" s="113">
        <v>1095812</v>
      </c>
      <c r="M588" s="113">
        <v>0</v>
      </c>
      <c r="N588" s="113">
        <v>0</v>
      </c>
      <c r="O588" s="113">
        <f t="shared" si="194"/>
        <v>1095812</v>
      </c>
      <c r="P588" s="113">
        <v>0</v>
      </c>
      <c r="Q588" s="114" t="e">
        <f t="shared" si="195"/>
        <v>#DIV/0!</v>
      </c>
      <c r="R588" s="115"/>
      <c r="S588" s="326">
        <v>43465</v>
      </c>
    </row>
    <row r="589" spans="1:48" customFormat="1" ht="15.75">
      <c r="A589" s="107">
        <f t="shared" si="196"/>
        <v>5</v>
      </c>
      <c r="B589" s="305" t="s">
        <v>322</v>
      </c>
      <c r="C589" s="108">
        <v>1976</v>
      </c>
      <c r="D589" s="108"/>
      <c r="E589" s="109" t="s">
        <v>219</v>
      </c>
      <c r="F589" s="110">
        <v>9</v>
      </c>
      <c r="G589" s="110">
        <v>3</v>
      </c>
      <c r="H589" s="111"/>
      <c r="I589" s="111"/>
      <c r="J589" s="111"/>
      <c r="K589" s="112"/>
      <c r="L589" s="113">
        <v>5619141</v>
      </c>
      <c r="M589" s="113">
        <v>0</v>
      </c>
      <c r="N589" s="113">
        <v>0</v>
      </c>
      <c r="O589" s="113">
        <f t="shared" si="194"/>
        <v>5619141</v>
      </c>
      <c r="P589" s="113">
        <v>0</v>
      </c>
      <c r="Q589" s="114" t="e">
        <f t="shared" si="195"/>
        <v>#DIV/0!</v>
      </c>
      <c r="R589" s="115"/>
      <c r="S589" s="326">
        <v>43465</v>
      </c>
    </row>
    <row r="590" spans="1:48" customFormat="1" ht="15.75">
      <c r="A590" s="107">
        <f t="shared" si="196"/>
        <v>6</v>
      </c>
      <c r="B590" s="305" t="s">
        <v>320</v>
      </c>
      <c r="C590" s="107">
        <v>1982</v>
      </c>
      <c r="D590" s="108"/>
      <c r="E590" s="109" t="s">
        <v>219</v>
      </c>
      <c r="F590" s="108">
        <v>9</v>
      </c>
      <c r="G590" s="108">
        <v>2</v>
      </c>
      <c r="H590" s="117"/>
      <c r="I590" s="117"/>
      <c r="J590" s="117"/>
      <c r="K590" s="101"/>
      <c r="L590" s="113">
        <v>3748388</v>
      </c>
      <c r="M590" s="113">
        <v>0</v>
      </c>
      <c r="N590" s="113">
        <v>0</v>
      </c>
      <c r="O590" s="113">
        <f t="shared" si="194"/>
        <v>3748388</v>
      </c>
      <c r="P590" s="113">
        <v>0</v>
      </c>
      <c r="Q590" s="114" t="e">
        <f t="shared" si="195"/>
        <v>#DIV/0!</v>
      </c>
      <c r="R590" s="115"/>
      <c r="S590" s="326">
        <v>43465</v>
      </c>
    </row>
    <row r="591" spans="1:48" customFormat="1" ht="15.75">
      <c r="A591" s="107">
        <f t="shared" si="196"/>
        <v>7</v>
      </c>
      <c r="B591" s="301" t="s">
        <v>327</v>
      </c>
      <c r="C591" s="108">
        <v>1981</v>
      </c>
      <c r="D591" s="108"/>
      <c r="E591" s="109" t="s">
        <v>219</v>
      </c>
      <c r="F591" s="110">
        <v>9</v>
      </c>
      <c r="G591" s="110">
        <v>8</v>
      </c>
      <c r="H591" s="111"/>
      <c r="I591" s="111"/>
      <c r="J591" s="111"/>
      <c r="K591" s="112"/>
      <c r="L591" s="113">
        <v>15157748</v>
      </c>
      <c r="M591" s="113">
        <v>0</v>
      </c>
      <c r="N591" s="113">
        <v>0</v>
      </c>
      <c r="O591" s="113">
        <f t="shared" si="194"/>
        <v>15157748</v>
      </c>
      <c r="P591" s="113">
        <v>0</v>
      </c>
      <c r="Q591" s="114" t="e">
        <f t="shared" si="195"/>
        <v>#DIV/0!</v>
      </c>
      <c r="R591" s="115"/>
      <c r="S591" s="326">
        <v>43465</v>
      </c>
    </row>
    <row r="592" spans="1:48" customFormat="1" ht="31.5">
      <c r="A592" s="107">
        <f t="shared" si="196"/>
        <v>8</v>
      </c>
      <c r="B592" s="301" t="s">
        <v>323</v>
      </c>
      <c r="C592" s="108">
        <v>1954</v>
      </c>
      <c r="D592" s="108"/>
      <c r="E592" s="109" t="s">
        <v>218</v>
      </c>
      <c r="F592" s="110">
        <v>2</v>
      </c>
      <c r="G592" s="110">
        <v>2</v>
      </c>
      <c r="H592" s="111"/>
      <c r="I592" s="111"/>
      <c r="J592" s="111"/>
      <c r="K592" s="112"/>
      <c r="L592" s="113">
        <v>1030213</v>
      </c>
      <c r="M592" s="113">
        <v>0</v>
      </c>
      <c r="N592" s="113">
        <v>0</v>
      </c>
      <c r="O592" s="113">
        <f t="shared" si="194"/>
        <v>1030213</v>
      </c>
      <c r="P592" s="113">
        <v>0</v>
      </c>
      <c r="Q592" s="114" t="e">
        <f t="shared" si="195"/>
        <v>#DIV/0!</v>
      </c>
      <c r="R592" s="115"/>
      <c r="S592" s="326">
        <v>43465</v>
      </c>
    </row>
    <row r="593" spans="1:30" customFormat="1" ht="31.5">
      <c r="A593" s="107">
        <f t="shared" si="196"/>
        <v>9</v>
      </c>
      <c r="B593" s="305" t="s">
        <v>319</v>
      </c>
      <c r="C593" s="118">
        <v>1860</v>
      </c>
      <c r="D593" s="118"/>
      <c r="E593" s="109" t="s">
        <v>218</v>
      </c>
      <c r="F593" s="118">
        <v>3</v>
      </c>
      <c r="G593" s="118">
        <v>1</v>
      </c>
      <c r="H593" s="118"/>
      <c r="I593" s="118"/>
      <c r="J593" s="118"/>
      <c r="K593" s="119"/>
      <c r="L593" s="113">
        <v>530465</v>
      </c>
      <c r="M593" s="113">
        <v>0</v>
      </c>
      <c r="N593" s="113">
        <v>0</v>
      </c>
      <c r="O593" s="113">
        <f t="shared" si="194"/>
        <v>530465</v>
      </c>
      <c r="P593" s="113">
        <v>0</v>
      </c>
      <c r="Q593" s="114" t="e">
        <f t="shared" si="195"/>
        <v>#DIV/0!</v>
      </c>
      <c r="R593" s="115"/>
      <c r="S593" s="326">
        <v>43465</v>
      </c>
    </row>
    <row r="594" spans="1:30" customFormat="1" ht="31.5">
      <c r="A594" s="107">
        <f t="shared" si="196"/>
        <v>10</v>
      </c>
      <c r="B594" s="305" t="s">
        <v>326</v>
      </c>
      <c r="C594" s="108">
        <v>1958</v>
      </c>
      <c r="D594" s="108"/>
      <c r="E594" s="109" t="s">
        <v>218</v>
      </c>
      <c r="F594" s="110">
        <v>2</v>
      </c>
      <c r="G594" s="110">
        <v>2</v>
      </c>
      <c r="H594" s="111"/>
      <c r="I594" s="111"/>
      <c r="J594" s="111"/>
      <c r="K594" s="112"/>
      <c r="L594" s="113">
        <v>1983854</v>
      </c>
      <c r="M594" s="113">
        <v>0</v>
      </c>
      <c r="N594" s="113">
        <v>0</v>
      </c>
      <c r="O594" s="113">
        <f t="shared" si="194"/>
        <v>1983854</v>
      </c>
      <c r="P594" s="113">
        <v>0</v>
      </c>
      <c r="Q594" s="114" t="e">
        <f t="shared" si="195"/>
        <v>#DIV/0!</v>
      </c>
      <c r="R594" s="115"/>
      <c r="S594" s="326">
        <v>43465</v>
      </c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customFormat="1" ht="31.5">
      <c r="A595" s="107">
        <f t="shared" si="196"/>
        <v>11</v>
      </c>
      <c r="B595" s="305" t="s">
        <v>388</v>
      </c>
      <c r="C595" s="108">
        <v>1961</v>
      </c>
      <c r="D595" s="108"/>
      <c r="E595" s="109" t="s">
        <v>218</v>
      </c>
      <c r="F595" s="110">
        <v>5</v>
      </c>
      <c r="G595" s="110">
        <v>2</v>
      </c>
      <c r="H595" s="111"/>
      <c r="I595" s="111"/>
      <c r="J595" s="111"/>
      <c r="K595" s="112"/>
      <c r="L595" s="113">
        <v>1206304</v>
      </c>
      <c r="M595" s="113">
        <v>0</v>
      </c>
      <c r="N595" s="113">
        <v>0</v>
      </c>
      <c r="O595" s="113">
        <f t="shared" si="194"/>
        <v>1206304</v>
      </c>
      <c r="P595" s="113">
        <v>0</v>
      </c>
      <c r="Q595" s="114" t="e">
        <f t="shared" si="195"/>
        <v>#DIV/0!</v>
      </c>
      <c r="R595" s="115"/>
      <c r="S595" s="326">
        <v>43465</v>
      </c>
    </row>
    <row r="596" spans="1:30" customFormat="1" ht="31.5">
      <c r="A596" s="107">
        <f t="shared" si="196"/>
        <v>12</v>
      </c>
      <c r="B596" s="301" t="s">
        <v>419</v>
      </c>
      <c r="C596" s="108">
        <v>1961</v>
      </c>
      <c r="D596" s="116"/>
      <c r="E596" s="109" t="s">
        <v>218</v>
      </c>
      <c r="F596" s="110">
        <v>5</v>
      </c>
      <c r="G596" s="110">
        <v>3</v>
      </c>
      <c r="H596" s="111"/>
      <c r="I596" s="111"/>
      <c r="J596" s="111"/>
      <c r="K596" s="112"/>
      <c r="L596" s="113">
        <v>402530.2</v>
      </c>
      <c r="M596" s="113">
        <v>0</v>
      </c>
      <c r="N596" s="113">
        <v>0</v>
      </c>
      <c r="O596" s="113">
        <f t="shared" si="194"/>
        <v>402530.2</v>
      </c>
      <c r="P596" s="113">
        <v>0</v>
      </c>
      <c r="Q596" s="114" t="e">
        <f t="shared" si="195"/>
        <v>#DIV/0!</v>
      </c>
      <c r="R596" s="115"/>
      <c r="S596" s="326">
        <v>43465</v>
      </c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</row>
    <row r="597" spans="1:30" customFormat="1" ht="31.5">
      <c r="A597" s="107">
        <f t="shared" si="196"/>
        <v>13</v>
      </c>
      <c r="B597" s="301" t="s">
        <v>387</v>
      </c>
      <c r="C597" s="118">
        <v>1967</v>
      </c>
      <c r="D597" s="118"/>
      <c r="E597" s="109" t="s">
        <v>218</v>
      </c>
      <c r="F597" s="118">
        <v>5</v>
      </c>
      <c r="G597" s="118">
        <v>8</v>
      </c>
      <c r="H597" s="111"/>
      <c r="I597" s="111"/>
      <c r="J597" s="111"/>
      <c r="K597" s="112"/>
      <c r="L597" s="113">
        <v>2861497</v>
      </c>
      <c r="M597" s="113">
        <v>0</v>
      </c>
      <c r="N597" s="113">
        <v>0</v>
      </c>
      <c r="O597" s="113">
        <f t="shared" si="194"/>
        <v>2861497</v>
      </c>
      <c r="P597" s="113">
        <v>0</v>
      </c>
      <c r="Q597" s="114" t="e">
        <f t="shared" si="195"/>
        <v>#DIV/0!</v>
      </c>
      <c r="R597" s="115"/>
      <c r="S597" s="326">
        <v>43465</v>
      </c>
    </row>
    <row r="598" spans="1:30" customFormat="1" ht="15.75">
      <c r="A598" s="107">
        <f t="shared" si="196"/>
        <v>14</v>
      </c>
      <c r="B598" s="305" t="s">
        <v>334</v>
      </c>
      <c r="C598" s="108">
        <v>1974</v>
      </c>
      <c r="D598" s="108"/>
      <c r="E598" s="109" t="s">
        <v>219</v>
      </c>
      <c r="F598" s="110">
        <v>5</v>
      </c>
      <c r="G598" s="110">
        <v>4</v>
      </c>
      <c r="H598" s="111"/>
      <c r="I598" s="111"/>
      <c r="J598" s="111"/>
      <c r="K598" s="112"/>
      <c r="L598" s="113">
        <v>1535065.47</v>
      </c>
      <c r="M598" s="113">
        <v>0</v>
      </c>
      <c r="N598" s="113">
        <v>0</v>
      </c>
      <c r="O598" s="113">
        <f t="shared" si="194"/>
        <v>1535065.47</v>
      </c>
      <c r="P598" s="113">
        <v>0</v>
      </c>
      <c r="Q598" s="114" t="e">
        <f t="shared" si="195"/>
        <v>#DIV/0!</v>
      </c>
      <c r="R598" s="115"/>
      <c r="S598" s="326">
        <v>43465</v>
      </c>
    </row>
    <row r="599" spans="1:30" customFormat="1" ht="15.75">
      <c r="A599" s="107">
        <f t="shared" si="196"/>
        <v>15</v>
      </c>
      <c r="B599" s="305" t="s">
        <v>330</v>
      </c>
      <c r="C599" s="118">
        <v>1966</v>
      </c>
      <c r="D599" s="118"/>
      <c r="E599" s="109" t="s">
        <v>219</v>
      </c>
      <c r="F599" s="118">
        <v>5</v>
      </c>
      <c r="G599" s="118">
        <v>4</v>
      </c>
      <c r="H599" s="111"/>
      <c r="I599" s="111"/>
      <c r="J599" s="111"/>
      <c r="K599" s="112"/>
      <c r="L599" s="113">
        <v>930534</v>
      </c>
      <c r="M599" s="113">
        <v>0</v>
      </c>
      <c r="N599" s="113">
        <v>0</v>
      </c>
      <c r="O599" s="113">
        <f t="shared" si="194"/>
        <v>930534</v>
      </c>
      <c r="P599" s="113">
        <v>0</v>
      </c>
      <c r="Q599" s="114" t="e">
        <f t="shared" si="195"/>
        <v>#DIV/0!</v>
      </c>
      <c r="R599" s="115"/>
      <c r="S599" s="326">
        <v>43465</v>
      </c>
    </row>
    <row r="600" spans="1:30" customFormat="1" ht="15.75">
      <c r="A600" s="107">
        <f t="shared" si="196"/>
        <v>16</v>
      </c>
      <c r="B600" s="305" t="s">
        <v>328</v>
      </c>
      <c r="C600" s="118">
        <v>1970</v>
      </c>
      <c r="D600" s="118"/>
      <c r="E600" s="109" t="s">
        <v>219</v>
      </c>
      <c r="F600" s="118">
        <v>5</v>
      </c>
      <c r="G600" s="118">
        <v>4</v>
      </c>
      <c r="H600" s="111"/>
      <c r="I600" s="111"/>
      <c r="J600" s="111"/>
      <c r="K600" s="112"/>
      <c r="L600" s="113">
        <v>662518</v>
      </c>
      <c r="M600" s="113">
        <v>0</v>
      </c>
      <c r="N600" s="113">
        <v>0</v>
      </c>
      <c r="O600" s="113">
        <f t="shared" si="194"/>
        <v>662518</v>
      </c>
      <c r="P600" s="113">
        <v>0</v>
      </c>
      <c r="Q600" s="114" t="e">
        <f t="shared" si="195"/>
        <v>#DIV/0!</v>
      </c>
      <c r="R600" s="115"/>
      <c r="S600" s="326">
        <v>43465</v>
      </c>
    </row>
    <row r="601" spans="1:30" customFormat="1" ht="31.5">
      <c r="A601" s="107">
        <f t="shared" si="196"/>
        <v>17</v>
      </c>
      <c r="B601" s="305" t="s">
        <v>333</v>
      </c>
      <c r="C601" s="108">
        <v>1979</v>
      </c>
      <c r="D601" s="108"/>
      <c r="E601" s="109" t="s">
        <v>218</v>
      </c>
      <c r="F601" s="110">
        <v>5</v>
      </c>
      <c r="G601" s="110">
        <v>4</v>
      </c>
      <c r="H601" s="111"/>
      <c r="I601" s="111"/>
      <c r="J601" s="111"/>
      <c r="K601" s="112"/>
      <c r="L601" s="113">
        <v>2346663</v>
      </c>
      <c r="M601" s="113">
        <v>0</v>
      </c>
      <c r="N601" s="113">
        <v>0</v>
      </c>
      <c r="O601" s="113">
        <f t="shared" si="194"/>
        <v>2346663</v>
      </c>
      <c r="P601" s="113">
        <v>0</v>
      </c>
      <c r="Q601" s="114" t="e">
        <f t="shared" si="195"/>
        <v>#DIV/0!</v>
      </c>
      <c r="R601" s="115"/>
      <c r="S601" s="326">
        <v>43465</v>
      </c>
    </row>
    <row r="602" spans="1:30" customFormat="1" ht="15.75">
      <c r="A602" s="107">
        <f t="shared" si="196"/>
        <v>18</v>
      </c>
      <c r="B602" s="305" t="s">
        <v>331</v>
      </c>
      <c r="C602" s="118">
        <v>1972</v>
      </c>
      <c r="D602" s="118"/>
      <c r="E602" s="109" t="s">
        <v>219</v>
      </c>
      <c r="F602" s="118">
        <v>5</v>
      </c>
      <c r="G602" s="118">
        <v>4</v>
      </c>
      <c r="H602" s="111"/>
      <c r="I602" s="111"/>
      <c r="J602" s="111"/>
      <c r="K602" s="112"/>
      <c r="L602" s="113">
        <v>727019</v>
      </c>
      <c r="M602" s="113">
        <v>0</v>
      </c>
      <c r="N602" s="113">
        <v>0</v>
      </c>
      <c r="O602" s="113">
        <f t="shared" si="194"/>
        <v>727019</v>
      </c>
      <c r="P602" s="113">
        <v>0</v>
      </c>
      <c r="Q602" s="114" t="e">
        <f t="shared" si="195"/>
        <v>#DIV/0!</v>
      </c>
      <c r="R602" s="115"/>
      <c r="S602" s="326">
        <v>43465</v>
      </c>
    </row>
    <row r="603" spans="1:30" customFormat="1" ht="31.5">
      <c r="A603" s="107">
        <f t="shared" si="196"/>
        <v>19</v>
      </c>
      <c r="B603" s="305" t="s">
        <v>329</v>
      </c>
      <c r="C603" s="118">
        <v>1963</v>
      </c>
      <c r="D603" s="118"/>
      <c r="E603" s="109" t="s">
        <v>218</v>
      </c>
      <c r="F603" s="118">
        <v>4</v>
      </c>
      <c r="G603" s="118">
        <v>3</v>
      </c>
      <c r="H603" s="118"/>
      <c r="I603" s="118"/>
      <c r="J603" s="118"/>
      <c r="K603" s="119"/>
      <c r="L603" s="113">
        <v>538121</v>
      </c>
      <c r="M603" s="113">
        <v>0</v>
      </c>
      <c r="N603" s="113">
        <v>0</v>
      </c>
      <c r="O603" s="113">
        <f t="shared" si="194"/>
        <v>538121</v>
      </c>
      <c r="P603" s="113">
        <v>0</v>
      </c>
      <c r="Q603" s="114" t="e">
        <f t="shared" si="195"/>
        <v>#DIV/0!</v>
      </c>
      <c r="R603" s="115"/>
      <c r="S603" s="326">
        <v>43465</v>
      </c>
    </row>
    <row r="604" spans="1:30" customFormat="1" ht="31.5">
      <c r="A604" s="107">
        <f t="shared" si="196"/>
        <v>20</v>
      </c>
      <c r="B604" s="305" t="s">
        <v>332</v>
      </c>
      <c r="C604" s="118">
        <v>1963</v>
      </c>
      <c r="D604" s="118"/>
      <c r="E604" s="109" t="s">
        <v>218</v>
      </c>
      <c r="F604" s="118">
        <v>4</v>
      </c>
      <c r="G604" s="118">
        <v>3</v>
      </c>
      <c r="H604" s="118"/>
      <c r="I604" s="118"/>
      <c r="J604" s="118"/>
      <c r="K604" s="119"/>
      <c r="L604" s="113">
        <v>1756852</v>
      </c>
      <c r="M604" s="113">
        <v>0</v>
      </c>
      <c r="N604" s="113">
        <v>0</v>
      </c>
      <c r="O604" s="113">
        <f t="shared" si="194"/>
        <v>1756852</v>
      </c>
      <c r="P604" s="113">
        <v>0</v>
      </c>
      <c r="Q604" s="114" t="e">
        <f t="shared" si="195"/>
        <v>#DIV/0!</v>
      </c>
      <c r="R604" s="115"/>
      <c r="S604" s="326">
        <v>43465</v>
      </c>
    </row>
    <row r="605" spans="1:30" customFormat="1" ht="15.75">
      <c r="A605" s="107">
        <f t="shared" si="196"/>
        <v>21</v>
      </c>
      <c r="B605" s="305" t="s">
        <v>316</v>
      </c>
      <c r="C605" s="108">
        <v>1974</v>
      </c>
      <c r="D605" s="108"/>
      <c r="E605" s="109" t="s">
        <v>219</v>
      </c>
      <c r="F605" s="110">
        <v>5</v>
      </c>
      <c r="G605" s="110">
        <v>4</v>
      </c>
      <c r="H605" s="111"/>
      <c r="I605" s="111"/>
      <c r="J605" s="111"/>
      <c r="K605" s="112"/>
      <c r="L605" s="113">
        <v>676398.28</v>
      </c>
      <c r="M605" s="113">
        <v>0</v>
      </c>
      <c r="N605" s="113">
        <v>0</v>
      </c>
      <c r="O605" s="113">
        <f t="shared" si="194"/>
        <v>676398.28</v>
      </c>
      <c r="P605" s="113">
        <v>0</v>
      </c>
      <c r="Q605" s="114" t="e">
        <f t="shared" si="195"/>
        <v>#DIV/0!</v>
      </c>
      <c r="R605" s="115"/>
      <c r="S605" s="326">
        <v>43465</v>
      </c>
    </row>
    <row r="606" spans="1:30" customFormat="1" ht="31.5">
      <c r="A606" s="107">
        <f t="shared" si="196"/>
        <v>22</v>
      </c>
      <c r="B606" s="301" t="s">
        <v>313</v>
      </c>
      <c r="C606" s="108">
        <v>1951</v>
      </c>
      <c r="D606" s="108"/>
      <c r="E606" s="109" t="s">
        <v>218</v>
      </c>
      <c r="F606" s="110">
        <v>2</v>
      </c>
      <c r="G606" s="110">
        <v>1</v>
      </c>
      <c r="H606" s="111"/>
      <c r="I606" s="111"/>
      <c r="J606" s="111"/>
      <c r="K606" s="112"/>
      <c r="L606" s="113">
        <v>766539</v>
      </c>
      <c r="M606" s="113">
        <v>0</v>
      </c>
      <c r="N606" s="113">
        <v>0</v>
      </c>
      <c r="O606" s="113">
        <f t="shared" si="194"/>
        <v>766539</v>
      </c>
      <c r="P606" s="113">
        <v>0</v>
      </c>
      <c r="Q606" s="114" t="e">
        <f t="shared" si="195"/>
        <v>#DIV/0!</v>
      </c>
      <c r="R606" s="115"/>
      <c r="S606" s="326">
        <v>43465</v>
      </c>
    </row>
    <row r="607" spans="1:30" customFormat="1" ht="31.5">
      <c r="A607" s="107">
        <f t="shared" si="196"/>
        <v>23</v>
      </c>
      <c r="B607" s="305" t="s">
        <v>312</v>
      </c>
      <c r="C607" s="118">
        <v>1983</v>
      </c>
      <c r="D607" s="118"/>
      <c r="E607" s="109" t="s">
        <v>218</v>
      </c>
      <c r="F607" s="118">
        <v>9</v>
      </c>
      <c r="G607" s="118">
        <v>2</v>
      </c>
      <c r="H607" s="118"/>
      <c r="I607" s="118"/>
      <c r="J607" s="118"/>
      <c r="K607" s="119"/>
      <c r="L607" s="113">
        <v>1186114</v>
      </c>
      <c r="M607" s="113">
        <v>0</v>
      </c>
      <c r="N607" s="113">
        <v>0</v>
      </c>
      <c r="O607" s="113">
        <f t="shared" si="194"/>
        <v>1186114</v>
      </c>
      <c r="P607" s="113">
        <v>0</v>
      </c>
      <c r="Q607" s="114" t="e">
        <f t="shared" si="195"/>
        <v>#DIV/0!</v>
      </c>
      <c r="R607" s="115"/>
      <c r="S607" s="326">
        <v>43465</v>
      </c>
    </row>
    <row r="608" spans="1:30" customFormat="1" ht="31.5">
      <c r="A608" s="107">
        <f t="shared" si="196"/>
        <v>24</v>
      </c>
      <c r="B608" s="301" t="s">
        <v>311</v>
      </c>
      <c r="C608" s="118">
        <v>1958</v>
      </c>
      <c r="D608" s="118"/>
      <c r="E608" s="109" t="s">
        <v>218</v>
      </c>
      <c r="F608" s="118">
        <v>3</v>
      </c>
      <c r="G608" s="118">
        <v>2</v>
      </c>
      <c r="H608" s="118"/>
      <c r="I608" s="118"/>
      <c r="J608" s="118"/>
      <c r="K608" s="119"/>
      <c r="L608" s="113">
        <v>178272.59</v>
      </c>
      <c r="M608" s="113">
        <v>0</v>
      </c>
      <c r="N608" s="113">
        <v>0</v>
      </c>
      <c r="O608" s="113">
        <f t="shared" si="194"/>
        <v>178272.59</v>
      </c>
      <c r="P608" s="113">
        <v>0</v>
      </c>
      <c r="Q608" s="114" t="e">
        <f t="shared" si="195"/>
        <v>#DIV/0!</v>
      </c>
      <c r="R608" s="115"/>
      <c r="S608" s="326">
        <v>43465</v>
      </c>
    </row>
    <row r="609" spans="1:48" customFormat="1" ht="31.5">
      <c r="A609" s="107">
        <f t="shared" si="196"/>
        <v>25</v>
      </c>
      <c r="B609" s="305" t="s">
        <v>315</v>
      </c>
      <c r="C609" s="108">
        <v>1963</v>
      </c>
      <c r="D609" s="108"/>
      <c r="E609" s="109" t="s">
        <v>218</v>
      </c>
      <c r="F609" s="110">
        <v>4</v>
      </c>
      <c r="G609" s="110">
        <v>2</v>
      </c>
      <c r="H609" s="111"/>
      <c r="I609" s="111"/>
      <c r="J609" s="111"/>
      <c r="K609" s="112"/>
      <c r="L609" s="113">
        <v>1087116</v>
      </c>
      <c r="M609" s="113">
        <v>0</v>
      </c>
      <c r="N609" s="113">
        <v>0</v>
      </c>
      <c r="O609" s="113">
        <f t="shared" si="194"/>
        <v>1087116</v>
      </c>
      <c r="P609" s="113">
        <v>0</v>
      </c>
      <c r="Q609" s="114" t="e">
        <f t="shared" si="195"/>
        <v>#DIV/0!</v>
      </c>
      <c r="R609" s="115"/>
      <c r="S609" s="326">
        <v>43465</v>
      </c>
    </row>
    <row r="610" spans="1:48" customFormat="1" ht="31.5">
      <c r="A610" s="107">
        <f t="shared" si="196"/>
        <v>26</v>
      </c>
      <c r="B610" s="305" t="s">
        <v>351</v>
      </c>
      <c r="C610" s="108">
        <v>1984</v>
      </c>
      <c r="D610" s="108"/>
      <c r="E610" s="109" t="s">
        <v>218</v>
      </c>
      <c r="F610" s="110">
        <v>9</v>
      </c>
      <c r="G610" s="110">
        <v>2</v>
      </c>
      <c r="H610" s="111"/>
      <c r="I610" s="111"/>
      <c r="J610" s="111"/>
      <c r="K610" s="112"/>
      <c r="L610" s="113">
        <v>1411363</v>
      </c>
      <c r="M610" s="113">
        <v>0</v>
      </c>
      <c r="N610" s="113">
        <v>0</v>
      </c>
      <c r="O610" s="113">
        <f t="shared" si="194"/>
        <v>1411363</v>
      </c>
      <c r="P610" s="113">
        <v>0</v>
      </c>
      <c r="Q610" s="114" t="e">
        <f t="shared" si="195"/>
        <v>#DIV/0!</v>
      </c>
      <c r="R610" s="115"/>
      <c r="S610" s="326">
        <v>43465</v>
      </c>
    </row>
    <row r="611" spans="1:48" customFormat="1" ht="31.5">
      <c r="A611" s="107">
        <f t="shared" si="196"/>
        <v>27</v>
      </c>
      <c r="B611" s="305" t="s">
        <v>314</v>
      </c>
      <c r="C611" s="108">
        <v>1964</v>
      </c>
      <c r="D611" s="108"/>
      <c r="E611" s="109" t="s">
        <v>218</v>
      </c>
      <c r="F611" s="110">
        <v>4</v>
      </c>
      <c r="G611" s="110">
        <v>2</v>
      </c>
      <c r="H611" s="111"/>
      <c r="I611" s="111"/>
      <c r="J611" s="111"/>
      <c r="K611" s="112"/>
      <c r="L611" s="113">
        <v>1136666</v>
      </c>
      <c r="M611" s="113">
        <v>0</v>
      </c>
      <c r="N611" s="113">
        <v>0</v>
      </c>
      <c r="O611" s="113">
        <f t="shared" si="194"/>
        <v>1136666</v>
      </c>
      <c r="P611" s="113">
        <v>0</v>
      </c>
      <c r="Q611" s="114" t="e">
        <f t="shared" si="195"/>
        <v>#DIV/0!</v>
      </c>
      <c r="R611" s="115"/>
      <c r="S611" s="326">
        <v>43465</v>
      </c>
    </row>
    <row r="612" spans="1:48" customFormat="1" ht="31.5">
      <c r="A612" s="107">
        <f t="shared" si="196"/>
        <v>28</v>
      </c>
      <c r="B612" s="305" t="s">
        <v>369</v>
      </c>
      <c r="C612" s="118">
        <v>1959</v>
      </c>
      <c r="D612" s="118"/>
      <c r="E612" s="109" t="s">
        <v>218</v>
      </c>
      <c r="F612" s="118">
        <v>4</v>
      </c>
      <c r="G612" s="118">
        <v>6</v>
      </c>
      <c r="H612" s="118"/>
      <c r="I612" s="118"/>
      <c r="J612" s="118"/>
      <c r="K612" s="119"/>
      <c r="L612" s="113">
        <v>1385674</v>
      </c>
      <c r="M612" s="113">
        <v>0</v>
      </c>
      <c r="N612" s="113">
        <v>0</v>
      </c>
      <c r="O612" s="113">
        <f t="shared" si="194"/>
        <v>1385674</v>
      </c>
      <c r="P612" s="113">
        <v>0</v>
      </c>
      <c r="Q612" s="114" t="e">
        <f t="shared" si="195"/>
        <v>#DIV/0!</v>
      </c>
      <c r="R612" s="115"/>
      <c r="S612" s="326">
        <v>43465</v>
      </c>
    </row>
    <row r="613" spans="1:48" customFormat="1" ht="31.5">
      <c r="A613" s="107">
        <f t="shared" si="196"/>
        <v>29</v>
      </c>
      <c r="B613" s="305" t="s">
        <v>370</v>
      </c>
      <c r="C613" s="118">
        <v>1937</v>
      </c>
      <c r="D613" s="118"/>
      <c r="E613" s="109" t="s">
        <v>218</v>
      </c>
      <c r="F613" s="118">
        <v>4</v>
      </c>
      <c r="G613" s="118">
        <v>9</v>
      </c>
      <c r="H613" s="118"/>
      <c r="I613" s="118"/>
      <c r="J613" s="118"/>
      <c r="K613" s="119"/>
      <c r="L613" s="113">
        <v>4619990</v>
      </c>
      <c r="M613" s="113">
        <v>0</v>
      </c>
      <c r="N613" s="113">
        <v>0</v>
      </c>
      <c r="O613" s="113">
        <f t="shared" si="194"/>
        <v>4619990</v>
      </c>
      <c r="P613" s="113">
        <v>0</v>
      </c>
      <c r="Q613" s="114" t="e">
        <f t="shared" si="195"/>
        <v>#DIV/0!</v>
      </c>
      <c r="R613" s="115"/>
      <c r="S613" s="326">
        <v>43465</v>
      </c>
    </row>
    <row r="614" spans="1:48" customFormat="1" ht="31.5">
      <c r="A614" s="107">
        <f t="shared" si="196"/>
        <v>30</v>
      </c>
      <c r="B614" s="305" t="s">
        <v>373</v>
      </c>
      <c r="C614" s="118">
        <v>1960</v>
      </c>
      <c r="D614" s="118"/>
      <c r="E614" s="109" t="s">
        <v>218</v>
      </c>
      <c r="F614" s="118">
        <v>4</v>
      </c>
      <c r="G614" s="118">
        <v>3</v>
      </c>
      <c r="H614" s="118"/>
      <c r="I614" s="118"/>
      <c r="J614" s="118"/>
      <c r="K614" s="119"/>
      <c r="L614" s="113">
        <v>1865304</v>
      </c>
      <c r="M614" s="113">
        <v>0</v>
      </c>
      <c r="N614" s="113">
        <v>0</v>
      </c>
      <c r="O614" s="113">
        <f t="shared" si="194"/>
        <v>1865304</v>
      </c>
      <c r="P614" s="113">
        <v>0</v>
      </c>
      <c r="Q614" s="114" t="e">
        <f t="shared" si="195"/>
        <v>#DIV/0!</v>
      </c>
      <c r="R614" s="115"/>
      <c r="S614" s="326">
        <v>43465</v>
      </c>
    </row>
    <row r="615" spans="1:48" customFormat="1" ht="31.5">
      <c r="A615" s="107">
        <f t="shared" si="196"/>
        <v>31</v>
      </c>
      <c r="B615" s="305" t="s">
        <v>381</v>
      </c>
      <c r="C615" s="108">
        <v>1961</v>
      </c>
      <c r="D615" s="108"/>
      <c r="E615" s="109" t="s">
        <v>218</v>
      </c>
      <c r="F615" s="110">
        <v>5</v>
      </c>
      <c r="G615" s="110">
        <v>4</v>
      </c>
      <c r="H615" s="111"/>
      <c r="I615" s="111"/>
      <c r="J615" s="111"/>
      <c r="K615" s="112"/>
      <c r="L615" s="113">
        <v>1870910</v>
      </c>
      <c r="M615" s="113">
        <v>0</v>
      </c>
      <c r="N615" s="113">
        <v>0</v>
      </c>
      <c r="O615" s="113">
        <f t="shared" si="194"/>
        <v>1870910</v>
      </c>
      <c r="P615" s="113">
        <v>0</v>
      </c>
      <c r="Q615" s="114" t="e">
        <f t="shared" si="195"/>
        <v>#DIV/0!</v>
      </c>
      <c r="R615" s="115"/>
      <c r="S615" s="326">
        <v>43465</v>
      </c>
    </row>
    <row r="616" spans="1:48" customFormat="1" ht="31.5">
      <c r="A616" s="107">
        <f t="shared" si="196"/>
        <v>32</v>
      </c>
      <c r="B616" s="305" t="s">
        <v>382</v>
      </c>
      <c r="C616" s="108">
        <v>1960</v>
      </c>
      <c r="D616" s="108"/>
      <c r="E616" s="109" t="s">
        <v>218</v>
      </c>
      <c r="F616" s="110">
        <v>5</v>
      </c>
      <c r="G616" s="110">
        <v>4</v>
      </c>
      <c r="H616" s="111"/>
      <c r="I616" s="111"/>
      <c r="J616" s="111"/>
      <c r="K616" s="112"/>
      <c r="L616" s="113">
        <v>1533757</v>
      </c>
      <c r="M616" s="113">
        <v>0</v>
      </c>
      <c r="N616" s="113">
        <v>0</v>
      </c>
      <c r="O616" s="113">
        <f t="shared" si="194"/>
        <v>1533757</v>
      </c>
      <c r="P616" s="113">
        <v>0</v>
      </c>
      <c r="Q616" s="114" t="e">
        <f t="shared" si="195"/>
        <v>#DIV/0!</v>
      </c>
      <c r="R616" s="115"/>
      <c r="S616" s="326">
        <v>43465</v>
      </c>
    </row>
    <row r="617" spans="1:48" customFormat="1" ht="31.5">
      <c r="A617" s="107">
        <f t="shared" si="196"/>
        <v>33</v>
      </c>
      <c r="B617" s="305" t="s">
        <v>371</v>
      </c>
      <c r="C617" s="118">
        <v>1960</v>
      </c>
      <c r="D617" s="118"/>
      <c r="E617" s="109" t="s">
        <v>218</v>
      </c>
      <c r="F617" s="118">
        <v>5</v>
      </c>
      <c r="G617" s="118">
        <v>4</v>
      </c>
      <c r="H617" s="118"/>
      <c r="I617" s="118"/>
      <c r="J617" s="118"/>
      <c r="K617" s="119"/>
      <c r="L617" s="113">
        <v>939858</v>
      </c>
      <c r="M617" s="113">
        <v>0</v>
      </c>
      <c r="N617" s="113">
        <v>0</v>
      </c>
      <c r="O617" s="113">
        <f t="shared" si="194"/>
        <v>939858</v>
      </c>
      <c r="P617" s="113">
        <v>0</v>
      </c>
      <c r="Q617" s="114" t="e">
        <f t="shared" si="195"/>
        <v>#DIV/0!</v>
      </c>
      <c r="R617" s="115"/>
      <c r="S617" s="326">
        <v>43465</v>
      </c>
    </row>
    <row r="618" spans="1:48" customFormat="1" ht="15.75">
      <c r="A618" s="107">
        <f t="shared" si="196"/>
        <v>34</v>
      </c>
      <c r="B618" s="301" t="s">
        <v>377</v>
      </c>
      <c r="C618" s="108">
        <v>1973</v>
      </c>
      <c r="D618" s="108"/>
      <c r="E618" s="109" t="s">
        <v>219</v>
      </c>
      <c r="F618" s="110">
        <v>5</v>
      </c>
      <c r="G618" s="110">
        <v>6</v>
      </c>
      <c r="H618" s="111"/>
      <c r="I618" s="111"/>
      <c r="J618" s="111"/>
      <c r="K618" s="112"/>
      <c r="L618" s="113">
        <v>2368392</v>
      </c>
      <c r="M618" s="113">
        <v>0</v>
      </c>
      <c r="N618" s="113">
        <v>0</v>
      </c>
      <c r="O618" s="113">
        <f t="shared" si="194"/>
        <v>2368392</v>
      </c>
      <c r="P618" s="113">
        <v>0</v>
      </c>
      <c r="Q618" s="114" t="e">
        <f t="shared" si="195"/>
        <v>#DIV/0!</v>
      </c>
      <c r="R618" s="115"/>
      <c r="S618" s="326">
        <v>43465</v>
      </c>
    </row>
    <row r="619" spans="1:48" customFormat="1" ht="31.5">
      <c r="A619" s="107">
        <f t="shared" si="196"/>
        <v>35</v>
      </c>
      <c r="B619" s="301" t="s">
        <v>378</v>
      </c>
      <c r="C619" s="108">
        <v>1961</v>
      </c>
      <c r="D619" s="108"/>
      <c r="E619" s="109" t="s">
        <v>218</v>
      </c>
      <c r="F619" s="110">
        <v>5</v>
      </c>
      <c r="G619" s="110">
        <v>2</v>
      </c>
      <c r="H619" s="111"/>
      <c r="I619" s="111"/>
      <c r="J619" s="111"/>
      <c r="K619" s="112"/>
      <c r="L619" s="113">
        <v>2433930.91</v>
      </c>
      <c r="M619" s="113">
        <v>0</v>
      </c>
      <c r="N619" s="113">
        <v>0</v>
      </c>
      <c r="O619" s="113">
        <f t="shared" si="194"/>
        <v>2433930.91</v>
      </c>
      <c r="P619" s="113">
        <v>0</v>
      </c>
      <c r="Q619" s="114" t="e">
        <f t="shared" si="195"/>
        <v>#DIV/0!</v>
      </c>
      <c r="R619" s="115"/>
      <c r="S619" s="326">
        <v>43465</v>
      </c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</row>
    <row r="620" spans="1:48" customFormat="1" ht="31.5">
      <c r="A620" s="107">
        <f t="shared" si="196"/>
        <v>36</v>
      </c>
      <c r="B620" s="305" t="s">
        <v>383</v>
      </c>
      <c r="C620" s="108">
        <v>1964</v>
      </c>
      <c r="D620" s="108"/>
      <c r="E620" s="109" t="s">
        <v>218</v>
      </c>
      <c r="F620" s="110">
        <v>5</v>
      </c>
      <c r="G620" s="110">
        <v>4</v>
      </c>
      <c r="H620" s="111"/>
      <c r="I620" s="111"/>
      <c r="J620" s="111"/>
      <c r="K620" s="112"/>
      <c r="L620" s="113">
        <v>1721850</v>
      </c>
      <c r="M620" s="113">
        <v>0</v>
      </c>
      <c r="N620" s="113">
        <v>0</v>
      </c>
      <c r="O620" s="113">
        <f t="shared" si="194"/>
        <v>1721850</v>
      </c>
      <c r="P620" s="113">
        <v>0</v>
      </c>
      <c r="Q620" s="114" t="e">
        <f t="shared" si="195"/>
        <v>#DIV/0!</v>
      </c>
      <c r="R620" s="115"/>
      <c r="S620" s="326">
        <v>43465</v>
      </c>
    </row>
    <row r="621" spans="1:48" s="3" customFormat="1" ht="31.5">
      <c r="A621" s="107">
        <f t="shared" si="196"/>
        <v>37</v>
      </c>
      <c r="B621" s="305" t="s">
        <v>368</v>
      </c>
      <c r="C621" s="118">
        <v>1957</v>
      </c>
      <c r="D621" s="118"/>
      <c r="E621" s="109" t="s">
        <v>218</v>
      </c>
      <c r="F621" s="118">
        <v>4</v>
      </c>
      <c r="G621" s="118">
        <v>4</v>
      </c>
      <c r="H621" s="118"/>
      <c r="I621" s="118"/>
      <c r="J621" s="118"/>
      <c r="K621" s="119"/>
      <c r="L621" s="113">
        <v>814117</v>
      </c>
      <c r="M621" s="113">
        <v>0</v>
      </c>
      <c r="N621" s="113">
        <v>0</v>
      </c>
      <c r="O621" s="113">
        <f t="shared" si="194"/>
        <v>814117</v>
      </c>
      <c r="P621" s="113">
        <v>0</v>
      </c>
      <c r="Q621" s="114" t="e">
        <f t="shared" si="195"/>
        <v>#DIV/0!</v>
      </c>
      <c r="R621" s="115"/>
      <c r="S621" s="326">
        <v>43465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1:48" customFormat="1" ht="31.5">
      <c r="A622" s="107">
        <f t="shared" si="196"/>
        <v>38</v>
      </c>
      <c r="B622" s="305" t="s">
        <v>375</v>
      </c>
      <c r="C622" s="108">
        <v>1957</v>
      </c>
      <c r="D622" s="108"/>
      <c r="E622" s="109" t="s">
        <v>218</v>
      </c>
      <c r="F622" s="110">
        <v>4</v>
      </c>
      <c r="G622" s="110">
        <v>4</v>
      </c>
      <c r="H622" s="111"/>
      <c r="I622" s="111"/>
      <c r="J622" s="111"/>
      <c r="K622" s="112"/>
      <c r="L622" s="113">
        <v>3045081</v>
      </c>
      <c r="M622" s="113">
        <v>0</v>
      </c>
      <c r="N622" s="113">
        <v>0</v>
      </c>
      <c r="O622" s="113">
        <f t="shared" si="194"/>
        <v>3045081</v>
      </c>
      <c r="P622" s="113">
        <v>0</v>
      </c>
      <c r="Q622" s="114" t="e">
        <f t="shared" si="195"/>
        <v>#DIV/0!</v>
      </c>
      <c r="R622" s="115"/>
      <c r="S622" s="326">
        <v>43465</v>
      </c>
    </row>
    <row r="623" spans="1:48" customFormat="1" ht="31.5">
      <c r="A623" s="107">
        <f t="shared" si="196"/>
        <v>39</v>
      </c>
      <c r="B623" s="305" t="s">
        <v>380</v>
      </c>
      <c r="C623" s="108">
        <v>1954</v>
      </c>
      <c r="D623" s="108"/>
      <c r="E623" s="109" t="s">
        <v>218</v>
      </c>
      <c r="F623" s="110">
        <v>3</v>
      </c>
      <c r="G623" s="110">
        <v>3</v>
      </c>
      <c r="H623" s="111"/>
      <c r="I623" s="111"/>
      <c r="J623" s="111"/>
      <c r="K623" s="112"/>
      <c r="L623" s="113">
        <v>2244806</v>
      </c>
      <c r="M623" s="113">
        <v>0</v>
      </c>
      <c r="N623" s="113">
        <v>0</v>
      </c>
      <c r="O623" s="113">
        <f t="shared" si="194"/>
        <v>2244806</v>
      </c>
      <c r="P623" s="113">
        <v>0</v>
      </c>
      <c r="Q623" s="114" t="e">
        <f t="shared" si="195"/>
        <v>#DIV/0!</v>
      </c>
      <c r="R623" s="115"/>
      <c r="S623" s="326">
        <v>43465</v>
      </c>
    </row>
    <row r="624" spans="1:48" customFormat="1" ht="31.5">
      <c r="A624" s="107">
        <f t="shared" si="196"/>
        <v>40</v>
      </c>
      <c r="B624" s="305" t="s">
        <v>374</v>
      </c>
      <c r="C624" s="108">
        <v>1963</v>
      </c>
      <c r="D624" s="108"/>
      <c r="E624" s="109" t="s">
        <v>218</v>
      </c>
      <c r="F624" s="110">
        <v>4</v>
      </c>
      <c r="G624" s="110">
        <v>2</v>
      </c>
      <c r="H624" s="111"/>
      <c r="I624" s="111"/>
      <c r="J624" s="111"/>
      <c r="K624" s="112"/>
      <c r="L624" s="113">
        <v>1361273</v>
      </c>
      <c r="M624" s="113">
        <v>0</v>
      </c>
      <c r="N624" s="113">
        <v>0</v>
      </c>
      <c r="O624" s="113">
        <f t="shared" si="194"/>
        <v>1361273</v>
      </c>
      <c r="P624" s="113">
        <v>0</v>
      </c>
      <c r="Q624" s="114" t="e">
        <f t="shared" si="195"/>
        <v>#DIV/0!</v>
      </c>
      <c r="R624" s="115"/>
      <c r="S624" s="326">
        <v>43465</v>
      </c>
    </row>
    <row r="625" spans="1:48" customFormat="1" ht="31.5">
      <c r="A625" s="107">
        <f t="shared" si="196"/>
        <v>41</v>
      </c>
      <c r="B625" s="305" t="s">
        <v>469</v>
      </c>
      <c r="C625" s="108">
        <v>1959</v>
      </c>
      <c r="D625" s="108"/>
      <c r="E625" s="109" t="s">
        <v>218</v>
      </c>
      <c r="F625" s="110">
        <v>4</v>
      </c>
      <c r="G625" s="110">
        <v>4</v>
      </c>
      <c r="H625" s="111"/>
      <c r="I625" s="111"/>
      <c r="J625" s="111"/>
      <c r="K625" s="112"/>
      <c r="L625" s="113">
        <v>2421596</v>
      </c>
      <c r="M625" s="113">
        <v>0</v>
      </c>
      <c r="N625" s="113">
        <v>0</v>
      </c>
      <c r="O625" s="113">
        <f t="shared" si="194"/>
        <v>2421596</v>
      </c>
      <c r="P625" s="113">
        <v>0</v>
      </c>
      <c r="Q625" s="114" t="e">
        <f t="shared" si="195"/>
        <v>#DIV/0!</v>
      </c>
      <c r="R625" s="115"/>
      <c r="S625" s="326">
        <v>43465</v>
      </c>
    </row>
    <row r="626" spans="1:48" customFormat="1" ht="31.5">
      <c r="A626" s="107">
        <f t="shared" si="196"/>
        <v>42</v>
      </c>
      <c r="B626" s="305" t="s">
        <v>379</v>
      </c>
      <c r="C626" s="108">
        <v>1967</v>
      </c>
      <c r="D626" s="108"/>
      <c r="E626" s="109" t="s">
        <v>218</v>
      </c>
      <c r="F626" s="110">
        <v>6</v>
      </c>
      <c r="G626" s="110">
        <v>5</v>
      </c>
      <c r="H626" s="111"/>
      <c r="I626" s="111"/>
      <c r="J626" s="111"/>
      <c r="K626" s="112"/>
      <c r="L626" s="113">
        <v>2056315</v>
      </c>
      <c r="M626" s="113">
        <v>0</v>
      </c>
      <c r="N626" s="113">
        <v>0</v>
      </c>
      <c r="O626" s="113">
        <f t="shared" si="194"/>
        <v>2056315</v>
      </c>
      <c r="P626" s="113">
        <v>0</v>
      </c>
      <c r="Q626" s="114" t="e">
        <f t="shared" si="195"/>
        <v>#DIV/0!</v>
      </c>
      <c r="R626" s="115"/>
      <c r="S626" s="326">
        <v>43465</v>
      </c>
    </row>
    <row r="627" spans="1:48" customFormat="1" ht="31.5">
      <c r="A627" s="107">
        <f t="shared" si="196"/>
        <v>43</v>
      </c>
      <c r="B627" s="305" t="s">
        <v>372</v>
      </c>
      <c r="C627" s="118">
        <v>1975</v>
      </c>
      <c r="D627" s="118"/>
      <c r="E627" s="109" t="s">
        <v>218</v>
      </c>
      <c r="F627" s="118">
        <v>9</v>
      </c>
      <c r="G627" s="118">
        <v>5</v>
      </c>
      <c r="H627" s="118"/>
      <c r="I627" s="118"/>
      <c r="J627" s="118"/>
      <c r="K627" s="119"/>
      <c r="L627" s="113">
        <v>9473593</v>
      </c>
      <c r="M627" s="113">
        <v>0</v>
      </c>
      <c r="N627" s="113">
        <v>0</v>
      </c>
      <c r="O627" s="113">
        <f t="shared" si="194"/>
        <v>9473593</v>
      </c>
      <c r="P627" s="113">
        <v>0</v>
      </c>
      <c r="Q627" s="114" t="e">
        <f t="shared" si="195"/>
        <v>#DIV/0!</v>
      </c>
      <c r="R627" s="115"/>
      <c r="S627" s="326">
        <v>43465</v>
      </c>
    </row>
    <row r="628" spans="1:48" customFormat="1" ht="31.5">
      <c r="A628" s="107">
        <f t="shared" si="196"/>
        <v>44</v>
      </c>
      <c r="B628" s="301" t="s">
        <v>344</v>
      </c>
      <c r="C628" s="107">
        <v>1968</v>
      </c>
      <c r="D628" s="108"/>
      <c r="E628" s="109" t="s">
        <v>218</v>
      </c>
      <c r="F628" s="108">
        <v>5</v>
      </c>
      <c r="G628" s="108">
        <v>6</v>
      </c>
      <c r="H628" s="117"/>
      <c r="I628" s="117"/>
      <c r="J628" s="102"/>
      <c r="K628" s="101"/>
      <c r="L628" s="113">
        <v>4441828</v>
      </c>
      <c r="M628" s="113">
        <v>0</v>
      </c>
      <c r="N628" s="113">
        <v>0</v>
      </c>
      <c r="O628" s="113">
        <f t="shared" si="194"/>
        <v>4441828</v>
      </c>
      <c r="P628" s="113">
        <v>0</v>
      </c>
      <c r="Q628" s="114" t="e">
        <f t="shared" si="195"/>
        <v>#DIV/0!</v>
      </c>
      <c r="R628" s="115"/>
      <c r="S628" s="326">
        <v>43465</v>
      </c>
    </row>
    <row r="629" spans="1:48" customFormat="1" ht="15.75">
      <c r="A629" s="107">
        <f t="shared" si="196"/>
        <v>45</v>
      </c>
      <c r="B629" s="305" t="s">
        <v>348</v>
      </c>
      <c r="C629" s="108">
        <v>1977</v>
      </c>
      <c r="D629" s="108"/>
      <c r="E629" s="109" t="s">
        <v>219</v>
      </c>
      <c r="F629" s="110">
        <v>5</v>
      </c>
      <c r="G629" s="110">
        <v>8</v>
      </c>
      <c r="H629" s="111"/>
      <c r="I629" s="111"/>
      <c r="J629" s="111"/>
      <c r="K629" s="112"/>
      <c r="L629" s="113">
        <v>3051089</v>
      </c>
      <c r="M629" s="113">
        <v>0</v>
      </c>
      <c r="N629" s="113">
        <v>0</v>
      </c>
      <c r="O629" s="113">
        <f t="shared" si="194"/>
        <v>3051089</v>
      </c>
      <c r="P629" s="113">
        <v>0</v>
      </c>
      <c r="Q629" s="114" t="e">
        <f t="shared" si="195"/>
        <v>#DIV/0!</v>
      </c>
      <c r="R629" s="115"/>
      <c r="S629" s="326">
        <v>43465</v>
      </c>
    </row>
    <row r="630" spans="1:48" customFormat="1" ht="31.5">
      <c r="A630" s="107">
        <f t="shared" si="196"/>
        <v>46</v>
      </c>
      <c r="B630" s="301" t="s">
        <v>386</v>
      </c>
      <c r="C630" s="118">
        <v>1956</v>
      </c>
      <c r="D630" s="118"/>
      <c r="E630" s="109" t="s">
        <v>218</v>
      </c>
      <c r="F630" s="118">
        <v>2</v>
      </c>
      <c r="G630" s="118">
        <v>2</v>
      </c>
      <c r="H630" s="118"/>
      <c r="I630" s="118"/>
      <c r="J630" s="118"/>
      <c r="K630" s="119"/>
      <c r="L630" s="113">
        <v>869749</v>
      </c>
      <c r="M630" s="113">
        <v>0</v>
      </c>
      <c r="N630" s="113">
        <v>0</v>
      </c>
      <c r="O630" s="113">
        <f t="shared" si="194"/>
        <v>869749</v>
      </c>
      <c r="P630" s="113">
        <v>0</v>
      </c>
      <c r="Q630" s="114" t="e">
        <f t="shared" si="195"/>
        <v>#DIV/0!</v>
      </c>
      <c r="R630" s="115"/>
      <c r="S630" s="326">
        <v>43465</v>
      </c>
    </row>
    <row r="631" spans="1:48" customFormat="1" ht="31.5">
      <c r="A631" s="107">
        <f t="shared" si="196"/>
        <v>47</v>
      </c>
      <c r="B631" s="301" t="s">
        <v>461</v>
      </c>
      <c r="C631" s="108">
        <v>1956</v>
      </c>
      <c r="D631" s="108"/>
      <c r="E631" s="109" t="s">
        <v>218</v>
      </c>
      <c r="F631" s="110">
        <v>2</v>
      </c>
      <c r="G631" s="110">
        <v>2</v>
      </c>
      <c r="H631" s="111"/>
      <c r="I631" s="111"/>
      <c r="J631" s="111"/>
      <c r="K631" s="112"/>
      <c r="L631" s="113">
        <v>869880</v>
      </c>
      <c r="M631" s="113">
        <v>0</v>
      </c>
      <c r="N631" s="113">
        <v>0</v>
      </c>
      <c r="O631" s="113">
        <f t="shared" si="194"/>
        <v>869880</v>
      </c>
      <c r="P631" s="113">
        <v>0</v>
      </c>
      <c r="Q631" s="114" t="e">
        <f t="shared" si="195"/>
        <v>#DIV/0!</v>
      </c>
      <c r="R631" s="115"/>
      <c r="S631" s="326">
        <v>43465</v>
      </c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</row>
    <row r="632" spans="1:48" customFormat="1" ht="31.5">
      <c r="A632" s="107">
        <f t="shared" si="196"/>
        <v>48</v>
      </c>
      <c r="B632" s="305" t="s">
        <v>462</v>
      </c>
      <c r="C632" s="108">
        <v>1959</v>
      </c>
      <c r="D632" s="116"/>
      <c r="E632" s="109" t="s">
        <v>218</v>
      </c>
      <c r="F632" s="110">
        <v>2</v>
      </c>
      <c r="G632" s="110">
        <v>2</v>
      </c>
      <c r="H632" s="111"/>
      <c r="I632" s="111"/>
      <c r="J632" s="111"/>
      <c r="K632" s="112"/>
      <c r="L632" s="113">
        <v>172302</v>
      </c>
      <c r="M632" s="113">
        <v>0</v>
      </c>
      <c r="N632" s="113">
        <v>0</v>
      </c>
      <c r="O632" s="113">
        <f t="shared" si="194"/>
        <v>172302</v>
      </c>
      <c r="P632" s="113">
        <v>0</v>
      </c>
      <c r="Q632" s="114" t="e">
        <f t="shared" si="195"/>
        <v>#DIV/0!</v>
      </c>
      <c r="R632" s="115"/>
      <c r="S632" s="326">
        <v>43465</v>
      </c>
    </row>
    <row r="633" spans="1:48" customFormat="1" ht="31.5">
      <c r="A633" s="107">
        <f t="shared" si="196"/>
        <v>49</v>
      </c>
      <c r="B633" s="305" t="s">
        <v>389</v>
      </c>
      <c r="C633" s="108">
        <v>1910</v>
      </c>
      <c r="D633" s="108"/>
      <c r="E633" s="109" t="s">
        <v>218</v>
      </c>
      <c r="F633" s="110">
        <v>4</v>
      </c>
      <c r="G633" s="110">
        <v>1</v>
      </c>
      <c r="H633" s="111"/>
      <c r="I633" s="111"/>
      <c r="J633" s="111"/>
      <c r="K633" s="112"/>
      <c r="L633" s="113">
        <v>3706393</v>
      </c>
      <c r="M633" s="113">
        <v>0</v>
      </c>
      <c r="N633" s="113">
        <v>0</v>
      </c>
      <c r="O633" s="113">
        <f t="shared" si="194"/>
        <v>3706393</v>
      </c>
      <c r="P633" s="113">
        <v>0</v>
      </c>
      <c r="Q633" s="114" t="e">
        <f t="shared" si="195"/>
        <v>#DIV/0!</v>
      </c>
      <c r="R633" s="115"/>
      <c r="S633" s="326">
        <v>43465</v>
      </c>
    </row>
    <row r="634" spans="1:48" customFormat="1" ht="31.5">
      <c r="A634" s="107">
        <f t="shared" si="196"/>
        <v>50</v>
      </c>
      <c r="B634" s="305" t="s">
        <v>317</v>
      </c>
      <c r="C634" s="118">
        <v>1914</v>
      </c>
      <c r="D634" s="118"/>
      <c r="E634" s="109" t="s">
        <v>218</v>
      </c>
      <c r="F634" s="118">
        <v>4</v>
      </c>
      <c r="G634" s="118">
        <v>5</v>
      </c>
      <c r="H634" s="118"/>
      <c r="I634" s="118"/>
      <c r="J634" s="118"/>
      <c r="K634" s="119"/>
      <c r="L634" s="113">
        <v>698585</v>
      </c>
      <c r="M634" s="113">
        <v>0</v>
      </c>
      <c r="N634" s="113">
        <v>0</v>
      </c>
      <c r="O634" s="113">
        <f t="shared" si="194"/>
        <v>698585</v>
      </c>
      <c r="P634" s="113">
        <v>0</v>
      </c>
      <c r="Q634" s="114" t="e">
        <f t="shared" si="195"/>
        <v>#DIV/0!</v>
      </c>
      <c r="R634" s="115"/>
      <c r="S634" s="326">
        <v>43465</v>
      </c>
    </row>
    <row r="635" spans="1:48" customFormat="1" ht="31.5">
      <c r="A635" s="107">
        <f t="shared" si="196"/>
        <v>51</v>
      </c>
      <c r="B635" s="305" t="s">
        <v>384</v>
      </c>
      <c r="C635" s="118" t="s">
        <v>190</v>
      </c>
      <c r="D635" s="118"/>
      <c r="E635" s="109" t="s">
        <v>218</v>
      </c>
      <c r="F635" s="118">
        <v>2</v>
      </c>
      <c r="G635" s="118">
        <v>3</v>
      </c>
      <c r="H635" s="118"/>
      <c r="I635" s="118"/>
      <c r="J635" s="118"/>
      <c r="K635" s="119"/>
      <c r="L635" s="113">
        <v>951740</v>
      </c>
      <c r="M635" s="113">
        <v>0</v>
      </c>
      <c r="N635" s="113">
        <v>0</v>
      </c>
      <c r="O635" s="113">
        <f t="shared" si="194"/>
        <v>951740</v>
      </c>
      <c r="P635" s="113">
        <v>0</v>
      </c>
      <c r="Q635" s="114" t="e">
        <f t="shared" si="195"/>
        <v>#DIV/0!</v>
      </c>
      <c r="R635" s="115"/>
      <c r="S635" s="326">
        <v>43465</v>
      </c>
    </row>
    <row r="636" spans="1:48" customFormat="1" ht="31.5">
      <c r="A636" s="107">
        <f t="shared" si="196"/>
        <v>52</v>
      </c>
      <c r="B636" s="301" t="s">
        <v>247</v>
      </c>
      <c r="C636" s="118">
        <v>1953</v>
      </c>
      <c r="D636" s="118"/>
      <c r="E636" s="109" t="s">
        <v>218</v>
      </c>
      <c r="F636" s="118">
        <v>3</v>
      </c>
      <c r="G636" s="118">
        <v>3</v>
      </c>
      <c r="H636" s="118"/>
      <c r="I636" s="118"/>
      <c r="J636" s="118"/>
      <c r="K636" s="119"/>
      <c r="L636" s="113">
        <v>2056139</v>
      </c>
      <c r="M636" s="113">
        <v>0</v>
      </c>
      <c r="N636" s="113">
        <v>0</v>
      </c>
      <c r="O636" s="113">
        <f t="shared" si="194"/>
        <v>2056139</v>
      </c>
      <c r="P636" s="113">
        <v>0</v>
      </c>
      <c r="Q636" s="114" t="e">
        <f t="shared" si="195"/>
        <v>#DIV/0!</v>
      </c>
      <c r="R636" s="115"/>
      <c r="S636" s="326">
        <v>43465</v>
      </c>
    </row>
    <row r="637" spans="1:48" customFormat="1" ht="31.5">
      <c r="A637" s="107">
        <f t="shared" si="196"/>
        <v>53</v>
      </c>
      <c r="B637" s="305" t="s">
        <v>274</v>
      </c>
      <c r="C637" s="107">
        <v>1958</v>
      </c>
      <c r="D637" s="108"/>
      <c r="E637" s="109" t="s">
        <v>218</v>
      </c>
      <c r="F637" s="108">
        <v>2</v>
      </c>
      <c r="G637" s="108">
        <v>2</v>
      </c>
      <c r="H637" s="117"/>
      <c r="I637" s="117"/>
      <c r="J637" s="117"/>
      <c r="K637" s="101"/>
      <c r="L637" s="113">
        <v>1321356</v>
      </c>
      <c r="M637" s="113">
        <v>0</v>
      </c>
      <c r="N637" s="113">
        <v>0</v>
      </c>
      <c r="O637" s="113">
        <f t="shared" si="194"/>
        <v>1321356</v>
      </c>
      <c r="P637" s="113">
        <v>0</v>
      </c>
      <c r="Q637" s="114" t="e">
        <f t="shared" si="195"/>
        <v>#DIV/0!</v>
      </c>
      <c r="R637" s="115"/>
      <c r="S637" s="326">
        <v>43465</v>
      </c>
    </row>
    <row r="638" spans="1:48" customFormat="1" ht="31.5">
      <c r="A638" s="107">
        <f t="shared" si="196"/>
        <v>54</v>
      </c>
      <c r="B638" s="305" t="s">
        <v>338</v>
      </c>
      <c r="C638" s="118">
        <v>1959</v>
      </c>
      <c r="D638" s="118"/>
      <c r="E638" s="109" t="s">
        <v>218</v>
      </c>
      <c r="F638" s="118">
        <v>2</v>
      </c>
      <c r="G638" s="118">
        <v>2</v>
      </c>
      <c r="H638" s="118"/>
      <c r="I638" s="118"/>
      <c r="J638" s="118"/>
      <c r="K638" s="119"/>
      <c r="L638" s="113">
        <v>1679278</v>
      </c>
      <c r="M638" s="113">
        <v>0</v>
      </c>
      <c r="N638" s="113">
        <v>0</v>
      </c>
      <c r="O638" s="113">
        <f t="shared" si="194"/>
        <v>1679278</v>
      </c>
      <c r="P638" s="113">
        <v>0</v>
      </c>
      <c r="Q638" s="114" t="e">
        <f t="shared" si="195"/>
        <v>#DIV/0!</v>
      </c>
      <c r="R638" s="115"/>
      <c r="S638" s="326">
        <v>43465</v>
      </c>
    </row>
    <row r="639" spans="1:48" customFormat="1" ht="31.5">
      <c r="A639" s="107">
        <f t="shared" si="196"/>
        <v>55</v>
      </c>
      <c r="B639" s="305" t="s">
        <v>272</v>
      </c>
      <c r="C639" s="118">
        <v>1959</v>
      </c>
      <c r="D639" s="118"/>
      <c r="E639" s="109" t="s">
        <v>218</v>
      </c>
      <c r="F639" s="118">
        <v>2</v>
      </c>
      <c r="G639" s="118">
        <v>2</v>
      </c>
      <c r="H639" s="118"/>
      <c r="I639" s="118"/>
      <c r="J639" s="118"/>
      <c r="K639" s="119"/>
      <c r="L639" s="113">
        <v>1100896</v>
      </c>
      <c r="M639" s="113">
        <v>0</v>
      </c>
      <c r="N639" s="113">
        <v>0</v>
      </c>
      <c r="O639" s="113">
        <f t="shared" si="194"/>
        <v>1100896</v>
      </c>
      <c r="P639" s="113">
        <v>0</v>
      </c>
      <c r="Q639" s="114" t="e">
        <f t="shared" si="195"/>
        <v>#DIV/0!</v>
      </c>
      <c r="R639" s="115"/>
      <c r="S639" s="326">
        <v>43465</v>
      </c>
    </row>
    <row r="640" spans="1:48" customFormat="1" ht="31.5">
      <c r="A640" s="107">
        <f t="shared" si="196"/>
        <v>56</v>
      </c>
      <c r="B640" s="305" t="s">
        <v>337</v>
      </c>
      <c r="C640" s="118">
        <v>1959</v>
      </c>
      <c r="D640" s="118"/>
      <c r="E640" s="109" t="s">
        <v>218</v>
      </c>
      <c r="F640" s="118">
        <v>2</v>
      </c>
      <c r="G640" s="118">
        <v>2</v>
      </c>
      <c r="H640" s="118"/>
      <c r="I640" s="118"/>
      <c r="J640" s="118"/>
      <c r="K640" s="119"/>
      <c r="L640" s="113">
        <v>1729707</v>
      </c>
      <c r="M640" s="113">
        <v>0</v>
      </c>
      <c r="N640" s="113">
        <v>0</v>
      </c>
      <c r="O640" s="113">
        <f t="shared" si="194"/>
        <v>1729707</v>
      </c>
      <c r="P640" s="113">
        <v>0</v>
      </c>
      <c r="Q640" s="114" t="e">
        <f t="shared" si="195"/>
        <v>#DIV/0!</v>
      </c>
      <c r="R640" s="115"/>
      <c r="S640" s="326">
        <v>43465</v>
      </c>
    </row>
    <row r="641" spans="1:19" customFormat="1" ht="31.5">
      <c r="A641" s="107">
        <f t="shared" si="196"/>
        <v>57</v>
      </c>
      <c r="B641" s="301" t="s">
        <v>257</v>
      </c>
      <c r="C641" s="118">
        <v>1959</v>
      </c>
      <c r="D641" s="118"/>
      <c r="E641" s="109" t="s">
        <v>218</v>
      </c>
      <c r="F641" s="118">
        <v>2</v>
      </c>
      <c r="G641" s="118">
        <v>2</v>
      </c>
      <c r="H641" s="118"/>
      <c r="I641" s="118"/>
      <c r="J641" s="118"/>
      <c r="K641" s="119"/>
      <c r="L641" s="113">
        <v>451222.57</v>
      </c>
      <c r="M641" s="113">
        <v>0</v>
      </c>
      <c r="N641" s="113">
        <v>0</v>
      </c>
      <c r="O641" s="113">
        <f t="shared" si="194"/>
        <v>451222.57</v>
      </c>
      <c r="P641" s="113">
        <v>0</v>
      </c>
      <c r="Q641" s="114" t="e">
        <f t="shared" si="195"/>
        <v>#DIV/0!</v>
      </c>
      <c r="R641" s="115"/>
      <c r="S641" s="326">
        <v>43465</v>
      </c>
    </row>
    <row r="642" spans="1:19" customFormat="1" ht="31.5">
      <c r="A642" s="107">
        <f t="shared" si="196"/>
        <v>58</v>
      </c>
      <c r="B642" s="305" t="s">
        <v>307</v>
      </c>
      <c r="C642" s="108">
        <v>1959</v>
      </c>
      <c r="D642" s="108"/>
      <c r="E642" s="109" t="s">
        <v>218</v>
      </c>
      <c r="F642" s="110">
        <v>2</v>
      </c>
      <c r="G642" s="110">
        <v>1</v>
      </c>
      <c r="H642" s="111"/>
      <c r="I642" s="111"/>
      <c r="J642" s="111"/>
      <c r="K642" s="112"/>
      <c r="L642" s="113">
        <v>703675.57</v>
      </c>
      <c r="M642" s="113">
        <v>0</v>
      </c>
      <c r="N642" s="113">
        <v>0</v>
      </c>
      <c r="O642" s="113">
        <f t="shared" si="194"/>
        <v>703675.57</v>
      </c>
      <c r="P642" s="113">
        <v>0</v>
      </c>
      <c r="Q642" s="114" t="e">
        <f t="shared" si="195"/>
        <v>#DIV/0!</v>
      </c>
      <c r="R642" s="115"/>
      <c r="S642" s="326">
        <v>43465</v>
      </c>
    </row>
    <row r="643" spans="1:19" customFormat="1" ht="31.5">
      <c r="A643" s="107">
        <f t="shared" si="196"/>
        <v>59</v>
      </c>
      <c r="B643" s="305" t="s">
        <v>268</v>
      </c>
      <c r="C643" s="118">
        <v>1959</v>
      </c>
      <c r="D643" s="118"/>
      <c r="E643" s="109" t="s">
        <v>218</v>
      </c>
      <c r="F643" s="118">
        <v>4</v>
      </c>
      <c r="G643" s="118">
        <v>3</v>
      </c>
      <c r="H643" s="118"/>
      <c r="I643" s="118"/>
      <c r="J643" s="118"/>
      <c r="K643" s="119"/>
      <c r="L643" s="113">
        <v>1053533.22</v>
      </c>
      <c r="M643" s="113">
        <v>0</v>
      </c>
      <c r="N643" s="113">
        <v>0</v>
      </c>
      <c r="O643" s="113">
        <f t="shared" si="194"/>
        <v>1053533.22</v>
      </c>
      <c r="P643" s="113">
        <v>0</v>
      </c>
      <c r="Q643" s="114" t="e">
        <f t="shared" si="195"/>
        <v>#DIV/0!</v>
      </c>
      <c r="R643" s="115"/>
      <c r="S643" s="326">
        <v>43465</v>
      </c>
    </row>
    <row r="644" spans="1:19" customFormat="1" ht="31.5">
      <c r="A644" s="107">
        <f t="shared" si="196"/>
        <v>60</v>
      </c>
      <c r="B644" s="301" t="s">
        <v>246</v>
      </c>
      <c r="C644" s="118">
        <v>1979</v>
      </c>
      <c r="D644" s="118"/>
      <c r="E644" s="109" t="s">
        <v>218</v>
      </c>
      <c r="F644" s="118">
        <v>9</v>
      </c>
      <c r="G644" s="118">
        <v>1</v>
      </c>
      <c r="H644" s="118"/>
      <c r="I644" s="118"/>
      <c r="J644" s="118"/>
      <c r="K644" s="119"/>
      <c r="L644" s="113">
        <v>1253738</v>
      </c>
      <c r="M644" s="113">
        <v>0</v>
      </c>
      <c r="N644" s="113">
        <v>0</v>
      </c>
      <c r="O644" s="113">
        <f t="shared" si="194"/>
        <v>1253738</v>
      </c>
      <c r="P644" s="113">
        <v>0</v>
      </c>
      <c r="Q644" s="114" t="e">
        <f t="shared" si="195"/>
        <v>#DIV/0!</v>
      </c>
      <c r="R644" s="115"/>
      <c r="S644" s="326">
        <v>43465</v>
      </c>
    </row>
    <row r="645" spans="1:19" customFormat="1" ht="15.75">
      <c r="A645" s="107">
        <f t="shared" si="196"/>
        <v>61</v>
      </c>
      <c r="B645" s="305" t="s">
        <v>470</v>
      </c>
      <c r="C645" s="108">
        <v>1984</v>
      </c>
      <c r="D645" s="108"/>
      <c r="E645" s="109" t="s">
        <v>219</v>
      </c>
      <c r="F645" s="110">
        <v>9</v>
      </c>
      <c r="G645" s="110">
        <v>1</v>
      </c>
      <c r="H645" s="111"/>
      <c r="I645" s="111"/>
      <c r="J645" s="111"/>
      <c r="K645" s="112"/>
      <c r="L645" s="113">
        <v>1870046</v>
      </c>
      <c r="M645" s="113">
        <v>0</v>
      </c>
      <c r="N645" s="113">
        <v>0</v>
      </c>
      <c r="O645" s="113">
        <f t="shared" si="194"/>
        <v>1870046</v>
      </c>
      <c r="P645" s="113">
        <v>0</v>
      </c>
      <c r="Q645" s="114" t="e">
        <f t="shared" si="195"/>
        <v>#DIV/0!</v>
      </c>
      <c r="R645" s="115"/>
      <c r="S645" s="326">
        <v>43465</v>
      </c>
    </row>
    <row r="646" spans="1:19" customFormat="1" ht="15.75">
      <c r="A646" s="107">
        <f t="shared" si="196"/>
        <v>62</v>
      </c>
      <c r="B646" s="305" t="s">
        <v>350</v>
      </c>
      <c r="C646" s="108">
        <v>1984</v>
      </c>
      <c r="D646" s="108"/>
      <c r="E646" s="109" t="s">
        <v>219</v>
      </c>
      <c r="F646" s="110">
        <v>9</v>
      </c>
      <c r="G646" s="110">
        <v>2</v>
      </c>
      <c r="H646" s="111"/>
      <c r="I646" s="111"/>
      <c r="J646" s="111"/>
      <c r="K646" s="112"/>
      <c r="L646" s="113">
        <v>3720676</v>
      </c>
      <c r="M646" s="113">
        <v>0</v>
      </c>
      <c r="N646" s="113">
        <v>0</v>
      </c>
      <c r="O646" s="113">
        <f t="shared" si="194"/>
        <v>3720676</v>
      </c>
      <c r="P646" s="113">
        <v>0</v>
      </c>
      <c r="Q646" s="114" t="e">
        <f t="shared" si="195"/>
        <v>#DIV/0!</v>
      </c>
      <c r="R646" s="115"/>
      <c r="S646" s="326">
        <v>43465</v>
      </c>
    </row>
    <row r="647" spans="1:19" customFormat="1" ht="31.5">
      <c r="A647" s="107">
        <f t="shared" si="196"/>
        <v>63</v>
      </c>
      <c r="B647" s="305" t="s">
        <v>251</v>
      </c>
      <c r="C647" s="118">
        <v>1977</v>
      </c>
      <c r="D647" s="118"/>
      <c r="E647" s="109" t="s">
        <v>218</v>
      </c>
      <c r="F647" s="118">
        <v>5</v>
      </c>
      <c r="G647" s="118">
        <v>6</v>
      </c>
      <c r="H647" s="118"/>
      <c r="I647" s="118"/>
      <c r="J647" s="118"/>
      <c r="K647" s="119"/>
      <c r="L647" s="113">
        <v>3687908</v>
      </c>
      <c r="M647" s="113">
        <v>0</v>
      </c>
      <c r="N647" s="113">
        <v>0</v>
      </c>
      <c r="O647" s="113">
        <f t="shared" si="194"/>
        <v>3687908</v>
      </c>
      <c r="P647" s="113">
        <v>0</v>
      </c>
      <c r="Q647" s="114" t="e">
        <f t="shared" si="195"/>
        <v>#DIV/0!</v>
      </c>
      <c r="R647" s="115"/>
      <c r="S647" s="326">
        <v>43465</v>
      </c>
    </row>
    <row r="648" spans="1:19" customFormat="1" ht="31.5">
      <c r="A648" s="107">
        <f t="shared" si="196"/>
        <v>64</v>
      </c>
      <c r="B648" s="305" t="s">
        <v>226</v>
      </c>
      <c r="C648" s="118">
        <v>1933</v>
      </c>
      <c r="D648" s="118"/>
      <c r="E648" s="109" t="s">
        <v>218</v>
      </c>
      <c r="F648" s="118">
        <v>4</v>
      </c>
      <c r="G648" s="118">
        <v>5</v>
      </c>
      <c r="H648" s="118"/>
      <c r="I648" s="118"/>
      <c r="J648" s="118"/>
      <c r="K648" s="119"/>
      <c r="L648" s="113">
        <v>1760967.35</v>
      </c>
      <c r="M648" s="113">
        <v>0</v>
      </c>
      <c r="N648" s="113">
        <v>0</v>
      </c>
      <c r="O648" s="113">
        <f t="shared" si="194"/>
        <v>1760967.35</v>
      </c>
      <c r="P648" s="113">
        <v>0</v>
      </c>
      <c r="Q648" s="114" t="e">
        <f t="shared" si="195"/>
        <v>#DIV/0!</v>
      </c>
      <c r="R648" s="115"/>
      <c r="S648" s="326">
        <v>43465</v>
      </c>
    </row>
    <row r="649" spans="1:19" customFormat="1" ht="31.5">
      <c r="A649" s="107">
        <f t="shared" si="196"/>
        <v>65</v>
      </c>
      <c r="B649" s="305" t="s">
        <v>271</v>
      </c>
      <c r="C649" s="118">
        <v>1961</v>
      </c>
      <c r="D649" s="118"/>
      <c r="E649" s="109" t="s">
        <v>218</v>
      </c>
      <c r="F649" s="118">
        <v>5</v>
      </c>
      <c r="G649" s="118">
        <v>4</v>
      </c>
      <c r="H649" s="118"/>
      <c r="I649" s="118"/>
      <c r="J649" s="118"/>
      <c r="K649" s="119"/>
      <c r="L649" s="113">
        <v>881947</v>
      </c>
      <c r="M649" s="113">
        <v>0</v>
      </c>
      <c r="N649" s="113">
        <v>0</v>
      </c>
      <c r="O649" s="113">
        <f t="shared" ref="O649:O712" si="197">L649</f>
        <v>881947</v>
      </c>
      <c r="P649" s="113">
        <v>0</v>
      </c>
      <c r="Q649" s="114" t="e">
        <f t="shared" ref="Q649:Q712" si="198">L649/I649</f>
        <v>#DIV/0!</v>
      </c>
      <c r="R649" s="115"/>
      <c r="S649" s="326">
        <v>43465</v>
      </c>
    </row>
    <row r="650" spans="1:19" customFormat="1" ht="31.5">
      <c r="A650" s="107">
        <f t="shared" si="196"/>
        <v>66</v>
      </c>
      <c r="B650" s="305" t="s">
        <v>287</v>
      </c>
      <c r="C650" s="108">
        <v>1960</v>
      </c>
      <c r="D650" s="108"/>
      <c r="E650" s="109" t="s">
        <v>218</v>
      </c>
      <c r="F650" s="110">
        <v>2</v>
      </c>
      <c r="G650" s="110">
        <v>2</v>
      </c>
      <c r="H650" s="111"/>
      <c r="I650" s="111"/>
      <c r="J650" s="111"/>
      <c r="K650" s="112"/>
      <c r="L650" s="113">
        <v>517739</v>
      </c>
      <c r="M650" s="113">
        <v>0</v>
      </c>
      <c r="N650" s="113">
        <v>0</v>
      </c>
      <c r="O650" s="113">
        <f t="shared" si="197"/>
        <v>517739</v>
      </c>
      <c r="P650" s="113">
        <v>0</v>
      </c>
      <c r="Q650" s="114" t="e">
        <f t="shared" si="198"/>
        <v>#DIV/0!</v>
      </c>
      <c r="R650" s="115"/>
      <c r="S650" s="326">
        <v>43465</v>
      </c>
    </row>
    <row r="651" spans="1:19" customFormat="1" ht="31.5">
      <c r="A651" s="107">
        <f t="shared" ref="A651:A714" si="199">A650+1</f>
        <v>67</v>
      </c>
      <c r="B651" s="301" t="s">
        <v>289</v>
      </c>
      <c r="C651" s="108">
        <v>1966</v>
      </c>
      <c r="D651" s="108"/>
      <c r="E651" s="109" t="s">
        <v>218</v>
      </c>
      <c r="F651" s="110">
        <v>5</v>
      </c>
      <c r="G651" s="110">
        <v>4</v>
      </c>
      <c r="H651" s="111"/>
      <c r="I651" s="111"/>
      <c r="J651" s="111"/>
      <c r="K651" s="112"/>
      <c r="L651" s="113">
        <v>1728895</v>
      </c>
      <c r="M651" s="113">
        <v>0</v>
      </c>
      <c r="N651" s="113">
        <v>0</v>
      </c>
      <c r="O651" s="113">
        <f t="shared" si="197"/>
        <v>1728895</v>
      </c>
      <c r="P651" s="113">
        <v>0</v>
      </c>
      <c r="Q651" s="114" t="e">
        <f t="shared" si="198"/>
        <v>#DIV/0!</v>
      </c>
      <c r="R651" s="115"/>
      <c r="S651" s="326">
        <v>43465</v>
      </c>
    </row>
    <row r="652" spans="1:19" customFormat="1" ht="15.75">
      <c r="A652" s="107">
        <f t="shared" si="199"/>
        <v>68</v>
      </c>
      <c r="B652" s="305" t="s">
        <v>259</v>
      </c>
      <c r="C652" s="118">
        <v>1925</v>
      </c>
      <c r="D652" s="118"/>
      <c r="E652" s="109" t="s">
        <v>221</v>
      </c>
      <c r="F652" s="118">
        <v>2</v>
      </c>
      <c r="G652" s="118">
        <v>2</v>
      </c>
      <c r="H652" s="118"/>
      <c r="I652" s="118"/>
      <c r="J652" s="118"/>
      <c r="K652" s="119"/>
      <c r="L652" s="113">
        <v>682529</v>
      </c>
      <c r="M652" s="113">
        <v>0</v>
      </c>
      <c r="N652" s="113">
        <v>0</v>
      </c>
      <c r="O652" s="113">
        <f t="shared" si="197"/>
        <v>682529</v>
      </c>
      <c r="P652" s="113">
        <v>0</v>
      </c>
      <c r="Q652" s="114" t="e">
        <f t="shared" si="198"/>
        <v>#DIV/0!</v>
      </c>
      <c r="R652" s="115"/>
      <c r="S652" s="326">
        <v>43465</v>
      </c>
    </row>
    <row r="653" spans="1:19" customFormat="1" ht="15.75">
      <c r="A653" s="107">
        <f t="shared" si="199"/>
        <v>69</v>
      </c>
      <c r="B653" s="305" t="s">
        <v>291</v>
      </c>
      <c r="C653" s="108">
        <v>1900</v>
      </c>
      <c r="D653" s="108"/>
      <c r="E653" s="109" t="s">
        <v>221</v>
      </c>
      <c r="F653" s="110">
        <v>2</v>
      </c>
      <c r="G653" s="110">
        <v>2</v>
      </c>
      <c r="H653" s="111"/>
      <c r="I653" s="111"/>
      <c r="J653" s="111"/>
      <c r="K653" s="112"/>
      <c r="L653" s="113">
        <v>582157</v>
      </c>
      <c r="M653" s="113">
        <v>0</v>
      </c>
      <c r="N653" s="113">
        <v>0</v>
      </c>
      <c r="O653" s="113">
        <f t="shared" si="197"/>
        <v>582157</v>
      </c>
      <c r="P653" s="113">
        <v>0</v>
      </c>
      <c r="Q653" s="114" t="e">
        <f t="shared" si="198"/>
        <v>#DIV/0!</v>
      </c>
      <c r="R653" s="115"/>
      <c r="S653" s="326">
        <v>43465</v>
      </c>
    </row>
    <row r="654" spans="1:19" customFormat="1" ht="31.5">
      <c r="A654" s="107">
        <f t="shared" si="199"/>
        <v>70</v>
      </c>
      <c r="B654" s="305" t="s">
        <v>224</v>
      </c>
      <c r="C654" s="118">
        <v>1934</v>
      </c>
      <c r="D654" s="118"/>
      <c r="E654" s="109" t="s">
        <v>218</v>
      </c>
      <c r="F654" s="118">
        <v>3</v>
      </c>
      <c r="G654" s="118">
        <v>5</v>
      </c>
      <c r="H654" s="118"/>
      <c r="I654" s="118"/>
      <c r="J654" s="118"/>
      <c r="K654" s="119"/>
      <c r="L654" s="113">
        <v>701704</v>
      </c>
      <c r="M654" s="113">
        <v>0</v>
      </c>
      <c r="N654" s="113">
        <v>0</v>
      </c>
      <c r="O654" s="113">
        <f t="shared" si="197"/>
        <v>701704</v>
      </c>
      <c r="P654" s="113">
        <v>0</v>
      </c>
      <c r="Q654" s="114" t="e">
        <f t="shared" si="198"/>
        <v>#DIV/0!</v>
      </c>
      <c r="R654" s="115"/>
      <c r="S654" s="326">
        <v>43465</v>
      </c>
    </row>
    <row r="655" spans="1:19" customFormat="1" ht="15.75">
      <c r="A655" s="107">
        <f t="shared" si="199"/>
        <v>71</v>
      </c>
      <c r="B655" s="305" t="s">
        <v>261</v>
      </c>
      <c r="C655" s="118">
        <v>1970</v>
      </c>
      <c r="D655" s="118"/>
      <c r="E655" s="109" t="s">
        <v>219</v>
      </c>
      <c r="F655" s="118">
        <v>5</v>
      </c>
      <c r="G655" s="118">
        <v>6</v>
      </c>
      <c r="H655" s="118"/>
      <c r="I655" s="118"/>
      <c r="J655" s="118"/>
      <c r="K655" s="119"/>
      <c r="L655" s="113">
        <v>1969149</v>
      </c>
      <c r="M655" s="113">
        <v>0</v>
      </c>
      <c r="N655" s="113">
        <v>0</v>
      </c>
      <c r="O655" s="113">
        <f t="shared" si="197"/>
        <v>1969149</v>
      </c>
      <c r="P655" s="113">
        <v>0</v>
      </c>
      <c r="Q655" s="114" t="e">
        <f t="shared" si="198"/>
        <v>#DIV/0!</v>
      </c>
      <c r="R655" s="115"/>
      <c r="S655" s="326">
        <v>43465</v>
      </c>
    </row>
    <row r="656" spans="1:19" customFormat="1" ht="31.5">
      <c r="A656" s="107">
        <f t="shared" si="199"/>
        <v>72</v>
      </c>
      <c r="B656" s="305" t="s">
        <v>239</v>
      </c>
      <c r="C656" s="118">
        <v>1956</v>
      </c>
      <c r="D656" s="118"/>
      <c r="E656" s="109" t="s">
        <v>218</v>
      </c>
      <c r="F656" s="118">
        <v>3</v>
      </c>
      <c r="G656" s="118">
        <v>3</v>
      </c>
      <c r="H656" s="118"/>
      <c r="I656" s="118"/>
      <c r="J656" s="118"/>
      <c r="K656" s="119"/>
      <c r="L656" s="113">
        <v>1023088</v>
      </c>
      <c r="M656" s="113">
        <v>0</v>
      </c>
      <c r="N656" s="113">
        <v>0</v>
      </c>
      <c r="O656" s="113">
        <f t="shared" si="197"/>
        <v>1023088</v>
      </c>
      <c r="P656" s="113">
        <v>0</v>
      </c>
      <c r="Q656" s="114" t="e">
        <f t="shared" si="198"/>
        <v>#DIV/0!</v>
      </c>
      <c r="R656" s="115"/>
      <c r="S656" s="326">
        <v>43465</v>
      </c>
    </row>
    <row r="657" spans="1:30" customFormat="1" ht="31.5">
      <c r="A657" s="107">
        <f t="shared" si="199"/>
        <v>73</v>
      </c>
      <c r="B657" s="305" t="s">
        <v>336</v>
      </c>
      <c r="C657" s="118">
        <v>1957</v>
      </c>
      <c r="D657" s="118"/>
      <c r="E657" s="109" t="s">
        <v>218</v>
      </c>
      <c r="F657" s="118">
        <v>3</v>
      </c>
      <c r="G657" s="118">
        <v>3</v>
      </c>
      <c r="H657" s="118"/>
      <c r="I657" s="118"/>
      <c r="J657" s="118"/>
      <c r="K657" s="119"/>
      <c r="L657" s="113">
        <v>3334570</v>
      </c>
      <c r="M657" s="113">
        <v>0</v>
      </c>
      <c r="N657" s="113">
        <v>0</v>
      </c>
      <c r="O657" s="113">
        <f t="shared" si="197"/>
        <v>3334570</v>
      </c>
      <c r="P657" s="113">
        <v>0</v>
      </c>
      <c r="Q657" s="114" t="e">
        <f t="shared" si="198"/>
        <v>#DIV/0!</v>
      </c>
      <c r="R657" s="115"/>
      <c r="S657" s="326">
        <v>43465</v>
      </c>
    </row>
    <row r="658" spans="1:30" customFormat="1" ht="31.5">
      <c r="A658" s="107">
        <f t="shared" si="199"/>
        <v>74</v>
      </c>
      <c r="B658" s="305" t="s">
        <v>306</v>
      </c>
      <c r="C658" s="108">
        <v>1970</v>
      </c>
      <c r="D658" s="108"/>
      <c r="E658" s="109" t="s">
        <v>218</v>
      </c>
      <c r="F658" s="110">
        <v>5</v>
      </c>
      <c r="G658" s="110">
        <v>2</v>
      </c>
      <c r="H658" s="111"/>
      <c r="I658" s="111"/>
      <c r="J658" s="111"/>
      <c r="K658" s="112"/>
      <c r="L658" s="113">
        <v>1127374.33</v>
      </c>
      <c r="M658" s="113">
        <v>0</v>
      </c>
      <c r="N658" s="113">
        <v>0</v>
      </c>
      <c r="O658" s="113">
        <f t="shared" si="197"/>
        <v>1127374.33</v>
      </c>
      <c r="P658" s="113">
        <v>0</v>
      </c>
      <c r="Q658" s="114" t="e">
        <f t="shared" si="198"/>
        <v>#DIV/0!</v>
      </c>
      <c r="R658" s="115"/>
      <c r="S658" s="326">
        <v>43465</v>
      </c>
    </row>
    <row r="659" spans="1:30" customFormat="1" ht="15.75">
      <c r="A659" s="107">
        <f t="shared" si="199"/>
        <v>75</v>
      </c>
      <c r="B659" s="301" t="s">
        <v>234</v>
      </c>
      <c r="C659" s="118">
        <v>1968</v>
      </c>
      <c r="D659" s="118"/>
      <c r="E659" s="109" t="s">
        <v>219</v>
      </c>
      <c r="F659" s="118">
        <v>5</v>
      </c>
      <c r="G659" s="118">
        <v>6</v>
      </c>
      <c r="H659" s="111"/>
      <c r="I659" s="118"/>
      <c r="J659" s="118"/>
      <c r="K659" s="119"/>
      <c r="L659" s="113">
        <v>1161456</v>
      </c>
      <c r="M659" s="113">
        <v>0</v>
      </c>
      <c r="N659" s="113">
        <v>0</v>
      </c>
      <c r="O659" s="113">
        <f t="shared" si="197"/>
        <v>1161456</v>
      </c>
      <c r="P659" s="113">
        <v>0</v>
      </c>
      <c r="Q659" s="114" t="e">
        <f t="shared" si="198"/>
        <v>#DIV/0!</v>
      </c>
      <c r="R659" s="115"/>
      <c r="S659" s="326">
        <v>43465</v>
      </c>
    </row>
    <row r="660" spans="1:30" customFormat="1" ht="31.5">
      <c r="A660" s="107">
        <f t="shared" si="199"/>
        <v>76</v>
      </c>
      <c r="B660" s="301" t="s">
        <v>277</v>
      </c>
      <c r="C660" s="107">
        <v>1971</v>
      </c>
      <c r="D660" s="108"/>
      <c r="E660" s="109" t="s">
        <v>218</v>
      </c>
      <c r="F660" s="108">
        <v>5</v>
      </c>
      <c r="G660" s="108">
        <v>4</v>
      </c>
      <c r="H660" s="117"/>
      <c r="I660" s="117"/>
      <c r="J660" s="117"/>
      <c r="K660" s="101"/>
      <c r="L660" s="113">
        <v>1197250.23</v>
      </c>
      <c r="M660" s="113">
        <v>0</v>
      </c>
      <c r="N660" s="113">
        <v>0</v>
      </c>
      <c r="O660" s="113">
        <f t="shared" si="197"/>
        <v>1197250.23</v>
      </c>
      <c r="P660" s="113">
        <v>0</v>
      </c>
      <c r="Q660" s="114" t="e">
        <f t="shared" si="198"/>
        <v>#DIV/0!</v>
      </c>
      <c r="R660" s="115"/>
      <c r="S660" s="326">
        <v>43465</v>
      </c>
    </row>
    <row r="661" spans="1:30" customFormat="1" ht="31.5">
      <c r="A661" s="107">
        <f t="shared" si="199"/>
        <v>77</v>
      </c>
      <c r="B661" s="305" t="s">
        <v>303</v>
      </c>
      <c r="C661" s="108">
        <v>1954</v>
      </c>
      <c r="D661" s="108"/>
      <c r="E661" s="109" t="s">
        <v>218</v>
      </c>
      <c r="F661" s="110">
        <v>4</v>
      </c>
      <c r="G661" s="110">
        <v>3</v>
      </c>
      <c r="H661" s="111"/>
      <c r="I661" s="111"/>
      <c r="J661" s="111"/>
      <c r="K661" s="112"/>
      <c r="L661" s="113">
        <v>2784233</v>
      </c>
      <c r="M661" s="113">
        <v>0</v>
      </c>
      <c r="N661" s="113">
        <v>0</v>
      </c>
      <c r="O661" s="113">
        <f t="shared" si="197"/>
        <v>2784233</v>
      </c>
      <c r="P661" s="113">
        <v>0</v>
      </c>
      <c r="Q661" s="114" t="e">
        <f t="shared" si="198"/>
        <v>#DIV/0!</v>
      </c>
      <c r="R661" s="115"/>
      <c r="S661" s="326">
        <v>43465</v>
      </c>
    </row>
    <row r="662" spans="1:30" customFormat="1" ht="31.5">
      <c r="A662" s="107">
        <f t="shared" si="199"/>
        <v>78</v>
      </c>
      <c r="B662" s="305" t="s">
        <v>293</v>
      </c>
      <c r="C662" s="108">
        <v>1968</v>
      </c>
      <c r="D662" s="108"/>
      <c r="E662" s="109" t="s">
        <v>218</v>
      </c>
      <c r="F662" s="110">
        <v>5</v>
      </c>
      <c r="G662" s="110">
        <v>4</v>
      </c>
      <c r="H662" s="111"/>
      <c r="I662" s="111"/>
      <c r="J662" s="111"/>
      <c r="K662" s="112"/>
      <c r="L662" s="113">
        <v>2369961</v>
      </c>
      <c r="M662" s="113">
        <v>0</v>
      </c>
      <c r="N662" s="113">
        <v>0</v>
      </c>
      <c r="O662" s="113">
        <f t="shared" si="197"/>
        <v>2369961</v>
      </c>
      <c r="P662" s="113">
        <v>0</v>
      </c>
      <c r="Q662" s="114" t="e">
        <f t="shared" si="198"/>
        <v>#DIV/0!</v>
      </c>
      <c r="R662" s="115"/>
      <c r="S662" s="326">
        <v>43465</v>
      </c>
    </row>
    <row r="663" spans="1:30" customFormat="1" ht="31.5">
      <c r="A663" s="107">
        <f t="shared" si="199"/>
        <v>79</v>
      </c>
      <c r="B663" s="301" t="s">
        <v>463</v>
      </c>
      <c r="C663" s="107">
        <v>1959</v>
      </c>
      <c r="D663" s="108"/>
      <c r="E663" s="109" t="s">
        <v>218</v>
      </c>
      <c r="F663" s="108">
        <v>2</v>
      </c>
      <c r="G663" s="108">
        <v>1</v>
      </c>
      <c r="H663" s="117"/>
      <c r="I663" s="117"/>
      <c r="J663" s="117"/>
      <c r="K663" s="101"/>
      <c r="L663" s="113">
        <v>672819</v>
      </c>
      <c r="M663" s="113">
        <v>0</v>
      </c>
      <c r="N663" s="113">
        <v>0</v>
      </c>
      <c r="O663" s="113">
        <f t="shared" si="197"/>
        <v>672819</v>
      </c>
      <c r="P663" s="113">
        <v>0</v>
      </c>
      <c r="Q663" s="114" t="e">
        <f t="shared" si="198"/>
        <v>#DIV/0!</v>
      </c>
      <c r="R663" s="115"/>
      <c r="S663" s="326">
        <v>43465</v>
      </c>
    </row>
    <row r="664" spans="1:30" customFormat="1" ht="15.75">
      <c r="A664" s="107">
        <f t="shared" si="199"/>
        <v>80</v>
      </c>
      <c r="B664" s="305" t="s">
        <v>340</v>
      </c>
      <c r="C664" s="107">
        <v>1968</v>
      </c>
      <c r="D664" s="108"/>
      <c r="E664" s="109" t="s">
        <v>219</v>
      </c>
      <c r="F664" s="108">
        <v>5</v>
      </c>
      <c r="G664" s="108">
        <v>5</v>
      </c>
      <c r="H664" s="117"/>
      <c r="I664" s="117"/>
      <c r="J664" s="117"/>
      <c r="K664" s="101"/>
      <c r="L664" s="113">
        <v>1651491</v>
      </c>
      <c r="M664" s="113">
        <v>0</v>
      </c>
      <c r="N664" s="113">
        <v>0</v>
      </c>
      <c r="O664" s="113">
        <f t="shared" si="197"/>
        <v>1651491</v>
      </c>
      <c r="P664" s="113">
        <v>0</v>
      </c>
      <c r="Q664" s="114" t="e">
        <f t="shared" si="198"/>
        <v>#DIV/0!</v>
      </c>
      <c r="R664" s="115"/>
      <c r="S664" s="326">
        <v>43465</v>
      </c>
    </row>
    <row r="665" spans="1:30" customFormat="1" ht="31.5">
      <c r="A665" s="107">
        <f t="shared" si="199"/>
        <v>81</v>
      </c>
      <c r="B665" s="301" t="s">
        <v>254</v>
      </c>
      <c r="C665" s="118">
        <v>1962</v>
      </c>
      <c r="D665" s="118"/>
      <c r="E665" s="109" t="s">
        <v>218</v>
      </c>
      <c r="F665" s="118">
        <v>3</v>
      </c>
      <c r="G665" s="118">
        <v>3</v>
      </c>
      <c r="H665" s="118"/>
      <c r="I665" s="118"/>
      <c r="J665" s="118"/>
      <c r="K665" s="119"/>
      <c r="L665" s="113">
        <v>1432926</v>
      </c>
      <c r="M665" s="113">
        <v>0</v>
      </c>
      <c r="N665" s="113">
        <v>0</v>
      </c>
      <c r="O665" s="113">
        <f t="shared" si="197"/>
        <v>1432926</v>
      </c>
      <c r="P665" s="113">
        <v>0</v>
      </c>
      <c r="Q665" s="114" t="e">
        <f t="shared" si="198"/>
        <v>#DIV/0!</v>
      </c>
      <c r="R665" s="115"/>
      <c r="S665" s="326">
        <v>43465</v>
      </c>
    </row>
    <row r="666" spans="1:30" customFormat="1" ht="31.5">
      <c r="A666" s="107">
        <f t="shared" si="199"/>
        <v>82</v>
      </c>
      <c r="B666" s="301" t="s">
        <v>343</v>
      </c>
      <c r="C666" s="107">
        <v>1955</v>
      </c>
      <c r="D666" s="108"/>
      <c r="E666" s="109" t="s">
        <v>218</v>
      </c>
      <c r="F666" s="108">
        <v>2</v>
      </c>
      <c r="G666" s="108">
        <v>2</v>
      </c>
      <c r="H666" s="117"/>
      <c r="I666" s="117"/>
      <c r="J666" s="117"/>
      <c r="K666" s="101"/>
      <c r="L666" s="113">
        <v>1137886</v>
      </c>
      <c r="M666" s="113">
        <v>0</v>
      </c>
      <c r="N666" s="113">
        <v>0</v>
      </c>
      <c r="O666" s="113">
        <f t="shared" si="197"/>
        <v>1137886</v>
      </c>
      <c r="P666" s="113">
        <v>0</v>
      </c>
      <c r="Q666" s="114" t="e">
        <f t="shared" si="198"/>
        <v>#DIV/0!</v>
      </c>
      <c r="R666" s="115"/>
      <c r="S666" s="326">
        <v>43465</v>
      </c>
    </row>
    <row r="667" spans="1:30" customFormat="1" ht="31.5">
      <c r="A667" s="107">
        <f t="shared" si="199"/>
        <v>83</v>
      </c>
      <c r="B667" s="305" t="s">
        <v>305</v>
      </c>
      <c r="C667" s="108">
        <v>1971</v>
      </c>
      <c r="D667" s="108"/>
      <c r="E667" s="109" t="s">
        <v>218</v>
      </c>
      <c r="F667" s="110">
        <v>5</v>
      </c>
      <c r="G667" s="110">
        <v>4</v>
      </c>
      <c r="H667" s="111"/>
      <c r="I667" s="111"/>
      <c r="J667" s="111"/>
      <c r="K667" s="112"/>
      <c r="L667" s="113">
        <v>1814838</v>
      </c>
      <c r="M667" s="113">
        <v>0</v>
      </c>
      <c r="N667" s="113">
        <v>0</v>
      </c>
      <c r="O667" s="113">
        <f t="shared" si="197"/>
        <v>1814838</v>
      </c>
      <c r="P667" s="113">
        <v>0</v>
      </c>
      <c r="Q667" s="114" t="e">
        <f t="shared" si="198"/>
        <v>#DIV/0!</v>
      </c>
      <c r="R667" s="115"/>
      <c r="S667" s="326">
        <v>43465</v>
      </c>
    </row>
    <row r="668" spans="1:30" customFormat="1" ht="31.5">
      <c r="A668" s="107">
        <f t="shared" si="199"/>
        <v>84</v>
      </c>
      <c r="B668" s="305" t="s">
        <v>345</v>
      </c>
      <c r="C668" s="108">
        <v>1970</v>
      </c>
      <c r="D668" s="108"/>
      <c r="E668" s="109" t="s">
        <v>218</v>
      </c>
      <c r="F668" s="110">
        <v>5</v>
      </c>
      <c r="G668" s="110">
        <v>4</v>
      </c>
      <c r="H668" s="111"/>
      <c r="I668" s="111"/>
      <c r="J668" s="111"/>
      <c r="K668" s="112"/>
      <c r="L668" s="113">
        <v>1544359.54</v>
      </c>
      <c r="M668" s="113">
        <v>0</v>
      </c>
      <c r="N668" s="113">
        <v>0</v>
      </c>
      <c r="O668" s="113">
        <f t="shared" si="197"/>
        <v>1544359.54</v>
      </c>
      <c r="P668" s="113">
        <v>0</v>
      </c>
      <c r="Q668" s="114" t="e">
        <f t="shared" si="198"/>
        <v>#DIV/0!</v>
      </c>
      <c r="R668" s="115"/>
      <c r="S668" s="326">
        <v>43465</v>
      </c>
    </row>
    <row r="669" spans="1:30" customFormat="1" ht="31.5">
      <c r="A669" s="107">
        <f t="shared" si="199"/>
        <v>85</v>
      </c>
      <c r="B669" s="301" t="s">
        <v>447</v>
      </c>
      <c r="C669" s="108">
        <v>1987</v>
      </c>
      <c r="D669" s="108"/>
      <c r="E669" s="109" t="s">
        <v>219</v>
      </c>
      <c r="F669" s="110">
        <v>9</v>
      </c>
      <c r="G669" s="110">
        <v>1</v>
      </c>
      <c r="H669" s="111"/>
      <c r="I669" s="111"/>
      <c r="J669" s="111"/>
      <c r="K669" s="112"/>
      <c r="L669" s="113">
        <v>1787034</v>
      </c>
      <c r="M669" s="113">
        <v>0</v>
      </c>
      <c r="N669" s="113">
        <v>0</v>
      </c>
      <c r="O669" s="113">
        <f t="shared" si="197"/>
        <v>1787034</v>
      </c>
      <c r="P669" s="113">
        <v>0</v>
      </c>
      <c r="Q669" s="114" t="e">
        <f t="shared" si="198"/>
        <v>#DIV/0!</v>
      </c>
      <c r="R669" s="115"/>
      <c r="S669" s="326">
        <v>43465</v>
      </c>
    </row>
    <row r="670" spans="1:30" customFormat="1" ht="31.5">
      <c r="A670" s="107">
        <f t="shared" si="199"/>
        <v>86</v>
      </c>
      <c r="B670" s="301" t="s">
        <v>223</v>
      </c>
      <c r="C670" s="118">
        <v>1983</v>
      </c>
      <c r="D670" s="118"/>
      <c r="E670" s="109" t="s">
        <v>219</v>
      </c>
      <c r="F670" s="118">
        <v>9</v>
      </c>
      <c r="G670" s="118">
        <v>4</v>
      </c>
      <c r="H670" s="118"/>
      <c r="I670" s="118"/>
      <c r="J670" s="118"/>
      <c r="K670" s="119"/>
      <c r="L670" s="113">
        <v>437998.57</v>
      </c>
      <c r="M670" s="113">
        <v>0</v>
      </c>
      <c r="N670" s="113">
        <v>0</v>
      </c>
      <c r="O670" s="113">
        <f t="shared" si="197"/>
        <v>437998.57</v>
      </c>
      <c r="P670" s="113">
        <v>0</v>
      </c>
      <c r="Q670" s="114" t="e">
        <f t="shared" si="198"/>
        <v>#DIV/0!</v>
      </c>
      <c r="R670" s="115"/>
      <c r="S670" s="326">
        <v>43465</v>
      </c>
      <c r="T670" s="3"/>
      <c r="U670" s="3"/>
      <c r="V670" s="3"/>
      <c r="W670" s="3"/>
      <c r="X670" s="3"/>
      <c r="Y670" s="3"/>
    </row>
    <row r="671" spans="1:30" customFormat="1" ht="31.5">
      <c r="A671" s="107">
        <f t="shared" si="199"/>
        <v>87</v>
      </c>
      <c r="B671" s="301" t="s">
        <v>446</v>
      </c>
      <c r="C671" s="108">
        <v>1976</v>
      </c>
      <c r="D671" s="108"/>
      <c r="E671" s="109" t="s">
        <v>219</v>
      </c>
      <c r="F671" s="110">
        <v>5</v>
      </c>
      <c r="G671" s="110">
        <v>4</v>
      </c>
      <c r="H671" s="111"/>
      <c r="I671" s="111"/>
      <c r="J671" s="111"/>
      <c r="K671" s="112"/>
      <c r="L671" s="113">
        <v>1116228</v>
      </c>
      <c r="M671" s="113">
        <v>0</v>
      </c>
      <c r="N671" s="113">
        <v>0</v>
      </c>
      <c r="O671" s="113">
        <f t="shared" si="197"/>
        <v>1116228</v>
      </c>
      <c r="P671" s="113">
        <v>0</v>
      </c>
      <c r="Q671" s="114" t="e">
        <f t="shared" si="198"/>
        <v>#DIV/0!</v>
      </c>
      <c r="R671" s="115"/>
      <c r="S671" s="326">
        <v>43465</v>
      </c>
      <c r="Z671" s="3"/>
      <c r="AA671" s="3"/>
      <c r="AB671" s="3"/>
      <c r="AC671" s="3"/>
      <c r="AD671" s="3"/>
    </row>
    <row r="672" spans="1:30" customFormat="1" ht="31.5">
      <c r="A672" s="107">
        <f t="shared" si="199"/>
        <v>88</v>
      </c>
      <c r="B672" s="301" t="s">
        <v>448</v>
      </c>
      <c r="C672" s="108">
        <v>1983</v>
      </c>
      <c r="D672" s="108"/>
      <c r="E672" s="109" t="s">
        <v>219</v>
      </c>
      <c r="F672" s="110">
        <v>5</v>
      </c>
      <c r="G672" s="110">
        <v>3</v>
      </c>
      <c r="H672" s="111"/>
      <c r="I672" s="111"/>
      <c r="J672" s="111"/>
      <c r="K672" s="112"/>
      <c r="L672" s="113">
        <v>1313728</v>
      </c>
      <c r="M672" s="113">
        <v>0</v>
      </c>
      <c r="N672" s="113">
        <v>0</v>
      </c>
      <c r="O672" s="113">
        <f t="shared" si="197"/>
        <v>1313728</v>
      </c>
      <c r="P672" s="113">
        <v>0</v>
      </c>
      <c r="Q672" s="114" t="e">
        <f t="shared" si="198"/>
        <v>#DIV/0!</v>
      </c>
      <c r="R672" s="115"/>
      <c r="S672" s="326">
        <v>43465</v>
      </c>
      <c r="T672" s="62"/>
      <c r="U672" s="62"/>
      <c r="V672" s="62"/>
      <c r="W672" s="62"/>
      <c r="X672" s="62"/>
      <c r="Y672" s="62"/>
    </row>
    <row r="673" spans="1:30" customFormat="1" ht="31.5">
      <c r="A673" s="107">
        <f t="shared" si="199"/>
        <v>89</v>
      </c>
      <c r="B673" s="305" t="s">
        <v>241</v>
      </c>
      <c r="C673" s="118">
        <v>1958</v>
      </c>
      <c r="D673" s="118"/>
      <c r="E673" s="109" t="s">
        <v>218</v>
      </c>
      <c r="F673" s="118">
        <v>2</v>
      </c>
      <c r="G673" s="118">
        <v>1</v>
      </c>
      <c r="H673" s="118"/>
      <c r="I673" s="118"/>
      <c r="J673" s="118"/>
      <c r="K673" s="119"/>
      <c r="L673" s="113">
        <v>359651</v>
      </c>
      <c r="M673" s="113">
        <v>0</v>
      </c>
      <c r="N673" s="113">
        <v>0</v>
      </c>
      <c r="O673" s="113">
        <f t="shared" si="197"/>
        <v>359651</v>
      </c>
      <c r="P673" s="113">
        <v>0</v>
      </c>
      <c r="Q673" s="114" t="e">
        <f t="shared" si="198"/>
        <v>#DIV/0!</v>
      </c>
      <c r="R673" s="115"/>
      <c r="S673" s="326">
        <v>43465</v>
      </c>
      <c r="Z673" s="62"/>
      <c r="AA673" s="62"/>
      <c r="AB673" s="62"/>
      <c r="AC673" s="62"/>
      <c r="AD673" s="62"/>
    </row>
    <row r="674" spans="1:30" customFormat="1" ht="15.75">
      <c r="A674" s="107">
        <f t="shared" si="199"/>
        <v>90</v>
      </c>
      <c r="B674" s="305" t="s">
        <v>233</v>
      </c>
      <c r="C674" s="118">
        <v>1965</v>
      </c>
      <c r="D674" s="118"/>
      <c r="E674" s="109" t="s">
        <v>219</v>
      </c>
      <c r="F674" s="118">
        <v>5</v>
      </c>
      <c r="G674" s="118">
        <v>5</v>
      </c>
      <c r="H674" s="118"/>
      <c r="I674" s="118"/>
      <c r="J674" s="118"/>
      <c r="K674" s="119"/>
      <c r="L674" s="113">
        <v>906779</v>
      </c>
      <c r="M674" s="113">
        <v>0</v>
      </c>
      <c r="N674" s="113">
        <v>0</v>
      </c>
      <c r="O674" s="113">
        <f t="shared" si="197"/>
        <v>906779</v>
      </c>
      <c r="P674" s="113">
        <v>0</v>
      </c>
      <c r="Q674" s="114" t="e">
        <f t="shared" si="198"/>
        <v>#DIV/0!</v>
      </c>
      <c r="R674" s="115"/>
      <c r="S674" s="326">
        <v>43465</v>
      </c>
    </row>
    <row r="675" spans="1:30" customFormat="1" ht="31.5">
      <c r="A675" s="107">
        <f t="shared" si="199"/>
        <v>91</v>
      </c>
      <c r="B675" s="305" t="s">
        <v>278</v>
      </c>
      <c r="C675" s="107">
        <v>1958</v>
      </c>
      <c r="D675" s="108"/>
      <c r="E675" s="109" t="s">
        <v>218</v>
      </c>
      <c r="F675" s="108">
        <v>2</v>
      </c>
      <c r="G675" s="108">
        <v>1</v>
      </c>
      <c r="H675" s="117"/>
      <c r="I675" s="117"/>
      <c r="J675" s="117"/>
      <c r="K675" s="101"/>
      <c r="L675" s="113">
        <v>886559</v>
      </c>
      <c r="M675" s="113">
        <v>0</v>
      </c>
      <c r="N675" s="113">
        <v>0</v>
      </c>
      <c r="O675" s="113">
        <f t="shared" si="197"/>
        <v>886559</v>
      </c>
      <c r="P675" s="113">
        <v>0</v>
      </c>
      <c r="Q675" s="114" t="e">
        <f t="shared" si="198"/>
        <v>#DIV/0!</v>
      </c>
      <c r="R675" s="115"/>
      <c r="S675" s="326">
        <v>43465</v>
      </c>
    </row>
    <row r="676" spans="1:30" customFormat="1" ht="31.5">
      <c r="A676" s="107">
        <f t="shared" si="199"/>
        <v>92</v>
      </c>
      <c r="B676" s="305" t="s">
        <v>347</v>
      </c>
      <c r="C676" s="108">
        <v>1959</v>
      </c>
      <c r="D676" s="108"/>
      <c r="E676" s="109" t="s">
        <v>218</v>
      </c>
      <c r="F676" s="110">
        <v>2</v>
      </c>
      <c r="G676" s="110">
        <v>1</v>
      </c>
      <c r="H676" s="111"/>
      <c r="I676" s="111"/>
      <c r="J676" s="111"/>
      <c r="K676" s="112"/>
      <c r="L676" s="113">
        <v>642210</v>
      </c>
      <c r="M676" s="113">
        <v>0</v>
      </c>
      <c r="N676" s="113">
        <v>0</v>
      </c>
      <c r="O676" s="113">
        <f t="shared" si="197"/>
        <v>642210</v>
      </c>
      <c r="P676" s="113">
        <v>0</v>
      </c>
      <c r="Q676" s="114" t="e">
        <f t="shared" si="198"/>
        <v>#DIV/0!</v>
      </c>
      <c r="R676" s="115"/>
      <c r="S676" s="326">
        <v>43465</v>
      </c>
    </row>
    <row r="677" spans="1:30" customFormat="1" ht="31.5">
      <c r="A677" s="107">
        <f t="shared" si="199"/>
        <v>93</v>
      </c>
      <c r="B677" s="301" t="s">
        <v>266</v>
      </c>
      <c r="C677" s="118">
        <v>1957</v>
      </c>
      <c r="D677" s="118"/>
      <c r="E677" s="109" t="s">
        <v>218</v>
      </c>
      <c r="F677" s="118">
        <v>4</v>
      </c>
      <c r="G677" s="118">
        <v>3</v>
      </c>
      <c r="H677" s="118"/>
      <c r="I677" s="118"/>
      <c r="J677" s="118"/>
      <c r="K677" s="119"/>
      <c r="L677" s="113">
        <v>1952489</v>
      </c>
      <c r="M677" s="113">
        <v>0</v>
      </c>
      <c r="N677" s="113">
        <v>0</v>
      </c>
      <c r="O677" s="113">
        <f t="shared" si="197"/>
        <v>1952489</v>
      </c>
      <c r="P677" s="113">
        <v>0</v>
      </c>
      <c r="Q677" s="114" t="e">
        <f t="shared" si="198"/>
        <v>#DIV/0!</v>
      </c>
      <c r="R677" s="115"/>
      <c r="S677" s="326">
        <v>43465</v>
      </c>
    </row>
    <row r="678" spans="1:30" customFormat="1" ht="15.75">
      <c r="A678" s="107">
        <f t="shared" si="199"/>
        <v>94</v>
      </c>
      <c r="B678" s="301" t="s">
        <v>310</v>
      </c>
      <c r="C678" s="108">
        <v>1983</v>
      </c>
      <c r="D678" s="108"/>
      <c r="E678" s="109" t="s">
        <v>219</v>
      </c>
      <c r="F678" s="110">
        <v>9</v>
      </c>
      <c r="G678" s="110">
        <v>8</v>
      </c>
      <c r="H678" s="111"/>
      <c r="I678" s="111"/>
      <c r="J678" s="111"/>
      <c r="K678" s="112"/>
      <c r="L678" s="113">
        <v>15157748</v>
      </c>
      <c r="M678" s="113">
        <v>0</v>
      </c>
      <c r="N678" s="113">
        <v>0</v>
      </c>
      <c r="O678" s="113">
        <f t="shared" si="197"/>
        <v>15157748</v>
      </c>
      <c r="P678" s="113">
        <v>0</v>
      </c>
      <c r="Q678" s="114" t="e">
        <f t="shared" si="198"/>
        <v>#DIV/0!</v>
      </c>
      <c r="R678" s="115"/>
      <c r="S678" s="326">
        <v>43465</v>
      </c>
    </row>
    <row r="679" spans="1:30" customFormat="1" ht="31.5">
      <c r="A679" s="107">
        <f t="shared" si="199"/>
        <v>95</v>
      </c>
      <c r="B679" s="305" t="s">
        <v>281</v>
      </c>
      <c r="C679" s="107">
        <v>1959</v>
      </c>
      <c r="D679" s="108"/>
      <c r="E679" s="109" t="s">
        <v>218</v>
      </c>
      <c r="F679" s="108">
        <v>4</v>
      </c>
      <c r="G679" s="108">
        <v>5</v>
      </c>
      <c r="H679" s="117"/>
      <c r="I679" s="117"/>
      <c r="J679" s="117"/>
      <c r="K679" s="101"/>
      <c r="L679" s="113">
        <v>2542298.37</v>
      </c>
      <c r="M679" s="113">
        <v>0</v>
      </c>
      <c r="N679" s="113">
        <v>0</v>
      </c>
      <c r="O679" s="113">
        <f t="shared" si="197"/>
        <v>2542298.37</v>
      </c>
      <c r="P679" s="113">
        <v>0</v>
      </c>
      <c r="Q679" s="114" t="e">
        <f t="shared" si="198"/>
        <v>#DIV/0!</v>
      </c>
      <c r="R679" s="115"/>
      <c r="S679" s="326">
        <v>43465</v>
      </c>
    </row>
    <row r="680" spans="1:30" customFormat="1" ht="15.75">
      <c r="A680" s="107">
        <f t="shared" si="199"/>
        <v>96</v>
      </c>
      <c r="B680" s="301" t="s">
        <v>248</v>
      </c>
      <c r="C680" s="118">
        <v>1983</v>
      </c>
      <c r="D680" s="118"/>
      <c r="E680" s="109" t="s">
        <v>219</v>
      </c>
      <c r="F680" s="118">
        <v>9</v>
      </c>
      <c r="G680" s="118">
        <v>1</v>
      </c>
      <c r="H680" s="118"/>
      <c r="I680" s="118"/>
      <c r="J680" s="118"/>
      <c r="K680" s="119"/>
      <c r="L680" s="113">
        <v>1114586</v>
      </c>
      <c r="M680" s="113">
        <v>0</v>
      </c>
      <c r="N680" s="113">
        <v>0</v>
      </c>
      <c r="O680" s="113">
        <f t="shared" si="197"/>
        <v>1114586</v>
      </c>
      <c r="P680" s="113">
        <v>0</v>
      </c>
      <c r="Q680" s="114" t="e">
        <f t="shared" si="198"/>
        <v>#DIV/0!</v>
      </c>
      <c r="R680" s="115"/>
      <c r="S680" s="326">
        <v>43465</v>
      </c>
      <c r="T680" s="3"/>
      <c r="U680" s="3"/>
      <c r="V680" s="3"/>
      <c r="W680" s="3"/>
      <c r="X680" s="3"/>
      <c r="Y680" s="3"/>
    </row>
    <row r="681" spans="1:30" customFormat="1" ht="15.75">
      <c r="A681" s="107">
        <f t="shared" si="199"/>
        <v>97</v>
      </c>
      <c r="B681" s="301" t="s">
        <v>301</v>
      </c>
      <c r="C681" s="108">
        <v>1975</v>
      </c>
      <c r="D681" s="108"/>
      <c r="E681" s="109" t="s">
        <v>219</v>
      </c>
      <c r="F681" s="110">
        <v>9</v>
      </c>
      <c r="G681" s="110">
        <v>3</v>
      </c>
      <c r="H681" s="111"/>
      <c r="I681" s="111"/>
      <c r="J681" s="111"/>
      <c r="K681" s="112"/>
      <c r="L681" s="113">
        <v>5623853</v>
      </c>
      <c r="M681" s="113">
        <v>0</v>
      </c>
      <c r="N681" s="113">
        <v>0</v>
      </c>
      <c r="O681" s="113">
        <f t="shared" si="197"/>
        <v>5623853</v>
      </c>
      <c r="P681" s="113">
        <v>0</v>
      </c>
      <c r="Q681" s="114" t="e">
        <f t="shared" si="198"/>
        <v>#DIV/0!</v>
      </c>
      <c r="R681" s="115"/>
      <c r="S681" s="326">
        <v>43465</v>
      </c>
      <c r="Z681" s="3"/>
      <c r="AA681" s="3"/>
      <c r="AB681" s="3"/>
      <c r="AC681" s="3"/>
      <c r="AD681" s="3"/>
    </row>
    <row r="682" spans="1:30" customFormat="1" ht="15.75">
      <c r="A682" s="107">
        <f t="shared" si="199"/>
        <v>98</v>
      </c>
      <c r="B682" s="301" t="s">
        <v>244</v>
      </c>
      <c r="C682" s="118">
        <v>1976</v>
      </c>
      <c r="D682" s="118"/>
      <c r="E682" s="109" t="s">
        <v>219</v>
      </c>
      <c r="F682" s="118">
        <v>9</v>
      </c>
      <c r="G682" s="118">
        <v>4</v>
      </c>
      <c r="H682" s="118"/>
      <c r="I682" s="118"/>
      <c r="J682" s="118"/>
      <c r="K682" s="119"/>
      <c r="L682" s="113">
        <v>2721106</v>
      </c>
      <c r="M682" s="113">
        <v>0</v>
      </c>
      <c r="N682" s="113">
        <v>0</v>
      </c>
      <c r="O682" s="113">
        <f t="shared" si="197"/>
        <v>2721106</v>
      </c>
      <c r="P682" s="113">
        <v>0</v>
      </c>
      <c r="Q682" s="114" t="e">
        <f t="shared" si="198"/>
        <v>#DIV/0!</v>
      </c>
      <c r="R682" s="115"/>
      <c r="S682" s="326">
        <v>43465</v>
      </c>
    </row>
    <row r="683" spans="1:30" customFormat="1" ht="15.75">
      <c r="A683" s="107">
        <f t="shared" si="199"/>
        <v>99</v>
      </c>
      <c r="B683" s="305" t="s">
        <v>288</v>
      </c>
      <c r="C683" s="107">
        <v>1973</v>
      </c>
      <c r="D683" s="108"/>
      <c r="E683" s="109" t="s">
        <v>219</v>
      </c>
      <c r="F683" s="108">
        <v>9</v>
      </c>
      <c r="G683" s="108">
        <v>6</v>
      </c>
      <c r="H683" s="117"/>
      <c r="I683" s="117"/>
      <c r="J683" s="117"/>
      <c r="K683" s="101"/>
      <c r="L683" s="113">
        <v>9789326.5500000007</v>
      </c>
      <c r="M683" s="113">
        <v>0</v>
      </c>
      <c r="N683" s="113">
        <v>0</v>
      </c>
      <c r="O683" s="113">
        <f t="shared" si="197"/>
        <v>9789326.5500000007</v>
      </c>
      <c r="P683" s="113">
        <v>0</v>
      </c>
      <c r="Q683" s="114" t="e">
        <f t="shared" si="198"/>
        <v>#DIV/0!</v>
      </c>
      <c r="R683" s="115"/>
      <c r="S683" s="326">
        <v>43465</v>
      </c>
    </row>
    <row r="684" spans="1:30" customFormat="1" ht="31.5">
      <c r="A684" s="107">
        <f t="shared" si="199"/>
        <v>100</v>
      </c>
      <c r="B684" s="305" t="s">
        <v>249</v>
      </c>
      <c r="C684" s="118" t="s">
        <v>190</v>
      </c>
      <c r="D684" s="118"/>
      <c r="E684" s="109" t="s">
        <v>218</v>
      </c>
      <c r="F684" s="118">
        <v>3</v>
      </c>
      <c r="G684" s="118">
        <v>3</v>
      </c>
      <c r="H684" s="118"/>
      <c r="I684" s="118"/>
      <c r="J684" s="118"/>
      <c r="K684" s="119"/>
      <c r="L684" s="113">
        <v>1615074</v>
      </c>
      <c r="M684" s="113">
        <v>0</v>
      </c>
      <c r="N684" s="113">
        <v>0</v>
      </c>
      <c r="O684" s="113">
        <f t="shared" si="197"/>
        <v>1615074</v>
      </c>
      <c r="P684" s="113">
        <v>0</v>
      </c>
      <c r="Q684" s="114" t="e">
        <f t="shared" si="198"/>
        <v>#DIV/0!</v>
      </c>
      <c r="R684" s="115"/>
      <c r="S684" s="326">
        <v>43465</v>
      </c>
    </row>
    <row r="685" spans="1:30" customFormat="1" ht="31.5">
      <c r="A685" s="107">
        <f t="shared" si="199"/>
        <v>101</v>
      </c>
      <c r="B685" s="301" t="s">
        <v>265</v>
      </c>
      <c r="C685" s="118">
        <v>1953</v>
      </c>
      <c r="D685" s="118"/>
      <c r="E685" s="109" t="s">
        <v>218</v>
      </c>
      <c r="F685" s="118">
        <v>2</v>
      </c>
      <c r="G685" s="118">
        <v>2</v>
      </c>
      <c r="H685" s="118"/>
      <c r="I685" s="118"/>
      <c r="J685" s="118"/>
      <c r="K685" s="119"/>
      <c r="L685" s="113">
        <v>824390</v>
      </c>
      <c r="M685" s="113">
        <v>0</v>
      </c>
      <c r="N685" s="113">
        <v>0</v>
      </c>
      <c r="O685" s="113">
        <f t="shared" si="197"/>
        <v>824390</v>
      </c>
      <c r="P685" s="113">
        <v>0</v>
      </c>
      <c r="Q685" s="114" t="e">
        <f t="shared" si="198"/>
        <v>#DIV/0!</v>
      </c>
      <c r="R685" s="115"/>
      <c r="S685" s="326">
        <v>43465</v>
      </c>
    </row>
    <row r="686" spans="1:30" customFormat="1" ht="15.75">
      <c r="A686" s="107">
        <f t="shared" si="199"/>
        <v>102</v>
      </c>
      <c r="B686" s="305" t="s">
        <v>292</v>
      </c>
      <c r="C686" s="108">
        <v>1951</v>
      </c>
      <c r="D686" s="108"/>
      <c r="E686" s="109" t="s">
        <v>220</v>
      </c>
      <c r="F686" s="110">
        <v>2</v>
      </c>
      <c r="G686" s="110">
        <v>3</v>
      </c>
      <c r="H686" s="111"/>
      <c r="I686" s="111"/>
      <c r="J686" s="111"/>
      <c r="K686" s="112"/>
      <c r="L686" s="113">
        <v>2661189</v>
      </c>
      <c r="M686" s="113">
        <v>0</v>
      </c>
      <c r="N686" s="113">
        <v>0</v>
      </c>
      <c r="O686" s="113">
        <f t="shared" si="197"/>
        <v>2661189</v>
      </c>
      <c r="P686" s="113">
        <v>0</v>
      </c>
      <c r="Q686" s="114" t="e">
        <f t="shared" si="198"/>
        <v>#DIV/0!</v>
      </c>
      <c r="R686" s="115"/>
      <c r="S686" s="326">
        <v>43465</v>
      </c>
    </row>
    <row r="687" spans="1:30" s="62" customFormat="1" ht="31.5">
      <c r="A687" s="107">
        <f t="shared" si="199"/>
        <v>103</v>
      </c>
      <c r="B687" s="305" t="s">
        <v>276</v>
      </c>
      <c r="C687" s="107">
        <v>1959</v>
      </c>
      <c r="D687" s="108"/>
      <c r="E687" s="109" t="s">
        <v>218</v>
      </c>
      <c r="F687" s="108">
        <v>2</v>
      </c>
      <c r="G687" s="108">
        <v>1</v>
      </c>
      <c r="H687" s="117"/>
      <c r="I687" s="117"/>
      <c r="J687" s="117"/>
      <c r="K687" s="101"/>
      <c r="L687" s="113">
        <v>278220</v>
      </c>
      <c r="M687" s="113">
        <v>0</v>
      </c>
      <c r="N687" s="113">
        <v>0</v>
      </c>
      <c r="O687" s="113">
        <f t="shared" si="197"/>
        <v>278220</v>
      </c>
      <c r="P687" s="113">
        <v>0</v>
      </c>
      <c r="Q687" s="114" t="e">
        <f t="shared" si="198"/>
        <v>#DIV/0!</v>
      </c>
      <c r="R687" s="115"/>
      <c r="S687" s="326">
        <v>43465</v>
      </c>
      <c r="T687"/>
      <c r="U687"/>
      <c r="V687"/>
      <c r="W687"/>
      <c r="X687"/>
      <c r="Y687"/>
      <c r="Z687"/>
      <c r="AA687"/>
      <c r="AB687"/>
      <c r="AC687"/>
      <c r="AD687"/>
    </row>
    <row r="688" spans="1:30" customFormat="1" ht="31.5">
      <c r="A688" s="107">
        <f t="shared" si="199"/>
        <v>104</v>
      </c>
      <c r="B688" s="301" t="s">
        <v>229</v>
      </c>
      <c r="C688" s="118">
        <v>1928</v>
      </c>
      <c r="D688" s="118"/>
      <c r="E688" s="109" t="s">
        <v>218</v>
      </c>
      <c r="F688" s="118">
        <v>3</v>
      </c>
      <c r="G688" s="118">
        <v>6</v>
      </c>
      <c r="H688" s="118"/>
      <c r="I688" s="118"/>
      <c r="J688" s="118"/>
      <c r="K688" s="119"/>
      <c r="L688" s="113">
        <v>2511472</v>
      </c>
      <c r="M688" s="113">
        <v>0</v>
      </c>
      <c r="N688" s="113">
        <v>0</v>
      </c>
      <c r="O688" s="113">
        <f t="shared" si="197"/>
        <v>2511472</v>
      </c>
      <c r="P688" s="113">
        <v>0</v>
      </c>
      <c r="Q688" s="114" t="e">
        <f t="shared" si="198"/>
        <v>#DIV/0!</v>
      </c>
      <c r="R688" s="115"/>
      <c r="S688" s="326">
        <v>43465</v>
      </c>
    </row>
    <row r="689" spans="1:30" customFormat="1" ht="31.5">
      <c r="A689" s="107">
        <f t="shared" si="199"/>
        <v>105</v>
      </c>
      <c r="B689" s="301" t="s">
        <v>309</v>
      </c>
      <c r="C689" s="108">
        <v>1964</v>
      </c>
      <c r="D689" s="108"/>
      <c r="E689" s="109" t="s">
        <v>218</v>
      </c>
      <c r="F689" s="110">
        <v>4</v>
      </c>
      <c r="G689" s="110">
        <v>2</v>
      </c>
      <c r="H689" s="111"/>
      <c r="I689" s="111"/>
      <c r="J689" s="111"/>
      <c r="K689" s="112"/>
      <c r="L689" s="113">
        <v>871988</v>
      </c>
      <c r="M689" s="113">
        <v>0</v>
      </c>
      <c r="N689" s="113">
        <v>0</v>
      </c>
      <c r="O689" s="113">
        <f t="shared" si="197"/>
        <v>871988</v>
      </c>
      <c r="P689" s="113">
        <v>0</v>
      </c>
      <c r="Q689" s="114" t="e">
        <f t="shared" si="198"/>
        <v>#DIV/0!</v>
      </c>
      <c r="R689" s="115"/>
      <c r="S689" s="326">
        <v>43465</v>
      </c>
    </row>
    <row r="690" spans="1:30" customFormat="1" ht="31.5">
      <c r="A690" s="107">
        <f t="shared" si="199"/>
        <v>106</v>
      </c>
      <c r="B690" s="301" t="s">
        <v>308</v>
      </c>
      <c r="C690" s="108">
        <v>1966</v>
      </c>
      <c r="D690" s="108"/>
      <c r="E690" s="109" t="s">
        <v>218</v>
      </c>
      <c r="F690" s="110">
        <v>4</v>
      </c>
      <c r="G690" s="110">
        <v>4</v>
      </c>
      <c r="H690" s="111"/>
      <c r="I690" s="111"/>
      <c r="J690" s="111"/>
      <c r="K690" s="112"/>
      <c r="L690" s="113">
        <v>2113335</v>
      </c>
      <c r="M690" s="113">
        <v>0</v>
      </c>
      <c r="N690" s="113">
        <v>0</v>
      </c>
      <c r="O690" s="113">
        <f t="shared" si="197"/>
        <v>2113335</v>
      </c>
      <c r="P690" s="113">
        <v>0</v>
      </c>
      <c r="Q690" s="114" t="e">
        <f t="shared" si="198"/>
        <v>#DIV/0!</v>
      </c>
      <c r="R690" s="115"/>
      <c r="S690" s="326">
        <v>43465</v>
      </c>
    </row>
    <row r="691" spans="1:30" customFormat="1" ht="31.5">
      <c r="A691" s="107">
        <f t="shared" si="199"/>
        <v>107</v>
      </c>
      <c r="B691" s="305" t="s">
        <v>296</v>
      </c>
      <c r="C691" s="108">
        <v>1960</v>
      </c>
      <c r="D691" s="108"/>
      <c r="E691" s="109" t="s">
        <v>218</v>
      </c>
      <c r="F691" s="110">
        <v>2</v>
      </c>
      <c r="G691" s="110">
        <v>2</v>
      </c>
      <c r="H691" s="111"/>
      <c r="I691" s="111"/>
      <c r="J691" s="111"/>
      <c r="K691" s="112"/>
      <c r="L691" s="113">
        <v>996585</v>
      </c>
      <c r="M691" s="113">
        <v>0</v>
      </c>
      <c r="N691" s="113">
        <v>0</v>
      </c>
      <c r="O691" s="113">
        <f t="shared" si="197"/>
        <v>996585</v>
      </c>
      <c r="P691" s="113">
        <v>0</v>
      </c>
      <c r="Q691" s="114" t="e">
        <f t="shared" si="198"/>
        <v>#DIV/0!</v>
      </c>
      <c r="R691" s="115"/>
      <c r="S691" s="326">
        <v>43465</v>
      </c>
    </row>
    <row r="692" spans="1:30" customFormat="1" ht="31.5">
      <c r="A692" s="107">
        <f t="shared" si="199"/>
        <v>108</v>
      </c>
      <c r="B692" s="305" t="s">
        <v>240</v>
      </c>
      <c r="C692" s="118">
        <v>1955</v>
      </c>
      <c r="D692" s="118"/>
      <c r="E692" s="109" t="s">
        <v>218</v>
      </c>
      <c r="F692" s="118">
        <v>2</v>
      </c>
      <c r="G692" s="118">
        <v>2</v>
      </c>
      <c r="H692" s="118"/>
      <c r="I692" s="118"/>
      <c r="J692" s="118"/>
      <c r="K692" s="119"/>
      <c r="L692" s="113">
        <v>637739</v>
      </c>
      <c r="M692" s="113">
        <v>0</v>
      </c>
      <c r="N692" s="113">
        <v>0</v>
      </c>
      <c r="O692" s="113">
        <f t="shared" si="197"/>
        <v>637739</v>
      </c>
      <c r="P692" s="113">
        <v>0</v>
      </c>
      <c r="Q692" s="114" t="e">
        <f t="shared" si="198"/>
        <v>#DIV/0!</v>
      </c>
      <c r="R692" s="115"/>
      <c r="S692" s="326">
        <v>43465</v>
      </c>
    </row>
    <row r="693" spans="1:30" customFormat="1" ht="15.75">
      <c r="A693" s="107">
        <f t="shared" si="199"/>
        <v>109</v>
      </c>
      <c r="B693" s="301" t="s">
        <v>243</v>
      </c>
      <c r="C693" s="118">
        <v>1976</v>
      </c>
      <c r="D693" s="118"/>
      <c r="E693" s="109" t="s">
        <v>219</v>
      </c>
      <c r="F693" s="118">
        <v>9</v>
      </c>
      <c r="G693" s="118">
        <v>2</v>
      </c>
      <c r="H693" s="118"/>
      <c r="I693" s="118"/>
      <c r="J693" s="118"/>
      <c r="K693" s="119"/>
      <c r="L693" s="113">
        <v>1357217</v>
      </c>
      <c r="M693" s="113">
        <v>0</v>
      </c>
      <c r="N693" s="113">
        <v>0</v>
      </c>
      <c r="O693" s="113">
        <f t="shared" si="197"/>
        <v>1357217</v>
      </c>
      <c r="P693" s="113">
        <v>0</v>
      </c>
      <c r="Q693" s="114" t="e">
        <f t="shared" si="198"/>
        <v>#DIV/0!</v>
      </c>
      <c r="R693" s="115"/>
      <c r="S693" s="326">
        <v>43465</v>
      </c>
    </row>
    <row r="694" spans="1:30" customFormat="1" ht="31.5">
      <c r="A694" s="107">
        <f t="shared" si="199"/>
        <v>110</v>
      </c>
      <c r="B694" s="305" t="s">
        <v>269</v>
      </c>
      <c r="C694" s="118">
        <v>1952</v>
      </c>
      <c r="D694" s="118"/>
      <c r="E694" s="109" t="s">
        <v>218</v>
      </c>
      <c r="F694" s="118">
        <v>2</v>
      </c>
      <c r="G694" s="118">
        <v>2</v>
      </c>
      <c r="H694" s="118"/>
      <c r="I694" s="118"/>
      <c r="J694" s="118"/>
      <c r="K694" s="119"/>
      <c r="L694" s="113">
        <v>836226</v>
      </c>
      <c r="M694" s="113">
        <v>0</v>
      </c>
      <c r="N694" s="113">
        <v>0</v>
      </c>
      <c r="O694" s="113">
        <f t="shared" si="197"/>
        <v>836226</v>
      </c>
      <c r="P694" s="113">
        <v>0</v>
      </c>
      <c r="Q694" s="114" t="e">
        <f t="shared" si="198"/>
        <v>#DIV/0!</v>
      </c>
      <c r="R694" s="115"/>
      <c r="S694" s="326">
        <v>43465</v>
      </c>
    </row>
    <row r="695" spans="1:30" customFormat="1" ht="31.5">
      <c r="A695" s="107">
        <f t="shared" si="199"/>
        <v>111</v>
      </c>
      <c r="B695" s="305" t="s">
        <v>299</v>
      </c>
      <c r="C695" s="108">
        <v>1952</v>
      </c>
      <c r="D695" s="108"/>
      <c r="E695" s="109" t="s">
        <v>218</v>
      </c>
      <c r="F695" s="110">
        <v>2</v>
      </c>
      <c r="G695" s="110">
        <v>2</v>
      </c>
      <c r="H695" s="111"/>
      <c r="I695" s="111"/>
      <c r="J695" s="111"/>
      <c r="K695" s="112"/>
      <c r="L695" s="113">
        <v>640078</v>
      </c>
      <c r="M695" s="113">
        <v>0</v>
      </c>
      <c r="N695" s="113">
        <v>0</v>
      </c>
      <c r="O695" s="113">
        <f t="shared" si="197"/>
        <v>640078</v>
      </c>
      <c r="P695" s="113">
        <v>0</v>
      </c>
      <c r="Q695" s="114" t="e">
        <f t="shared" si="198"/>
        <v>#DIV/0!</v>
      </c>
      <c r="R695" s="115"/>
      <c r="S695" s="326">
        <v>43465</v>
      </c>
    </row>
    <row r="696" spans="1:30" customFormat="1" ht="31.5">
      <c r="A696" s="107">
        <f t="shared" si="199"/>
        <v>112</v>
      </c>
      <c r="B696" s="301" t="s">
        <v>236</v>
      </c>
      <c r="C696" s="118">
        <v>1959</v>
      </c>
      <c r="D696" s="118"/>
      <c r="E696" s="109" t="s">
        <v>218</v>
      </c>
      <c r="F696" s="118">
        <v>2</v>
      </c>
      <c r="G696" s="118">
        <v>2</v>
      </c>
      <c r="H696" s="118"/>
      <c r="I696" s="118"/>
      <c r="J696" s="118"/>
      <c r="K696" s="119"/>
      <c r="L696" s="113">
        <v>202649</v>
      </c>
      <c r="M696" s="113">
        <v>0</v>
      </c>
      <c r="N696" s="113">
        <v>0</v>
      </c>
      <c r="O696" s="113">
        <f t="shared" si="197"/>
        <v>202649</v>
      </c>
      <c r="P696" s="113">
        <v>0</v>
      </c>
      <c r="Q696" s="114" t="e">
        <f t="shared" si="198"/>
        <v>#DIV/0!</v>
      </c>
      <c r="R696" s="115"/>
      <c r="S696" s="326">
        <v>43465</v>
      </c>
    </row>
    <row r="697" spans="1:30" customFormat="1" ht="31.5">
      <c r="A697" s="107">
        <f t="shared" si="199"/>
        <v>113</v>
      </c>
      <c r="B697" s="305" t="s">
        <v>285</v>
      </c>
      <c r="C697" s="108">
        <v>1954</v>
      </c>
      <c r="D697" s="108"/>
      <c r="E697" s="109" t="s">
        <v>218</v>
      </c>
      <c r="F697" s="121" t="s">
        <v>191</v>
      </c>
      <c r="G697" s="110">
        <v>10</v>
      </c>
      <c r="H697" s="111"/>
      <c r="I697" s="111"/>
      <c r="J697" s="111"/>
      <c r="K697" s="112"/>
      <c r="L697" s="113">
        <v>7892437</v>
      </c>
      <c r="M697" s="113">
        <v>0</v>
      </c>
      <c r="N697" s="113">
        <v>0</v>
      </c>
      <c r="O697" s="113">
        <f t="shared" si="197"/>
        <v>7892437</v>
      </c>
      <c r="P697" s="113">
        <v>0</v>
      </c>
      <c r="Q697" s="114" t="e">
        <f t="shared" si="198"/>
        <v>#DIV/0!</v>
      </c>
      <c r="R697" s="115"/>
      <c r="S697" s="326">
        <v>43465</v>
      </c>
    </row>
    <row r="698" spans="1:30" customFormat="1" ht="31.5">
      <c r="A698" s="107">
        <f t="shared" si="199"/>
        <v>114</v>
      </c>
      <c r="B698" s="305" t="s">
        <v>237</v>
      </c>
      <c r="C698" s="118">
        <v>1950</v>
      </c>
      <c r="D698" s="118"/>
      <c r="E698" s="109" t="s">
        <v>218</v>
      </c>
      <c r="F698" s="118">
        <v>2</v>
      </c>
      <c r="G698" s="118">
        <v>1</v>
      </c>
      <c r="H698" s="118"/>
      <c r="I698" s="118"/>
      <c r="J698" s="118"/>
      <c r="K698" s="119"/>
      <c r="L698" s="113">
        <v>523389</v>
      </c>
      <c r="M698" s="113">
        <v>0</v>
      </c>
      <c r="N698" s="113">
        <v>0</v>
      </c>
      <c r="O698" s="113">
        <f t="shared" si="197"/>
        <v>523389</v>
      </c>
      <c r="P698" s="113">
        <v>0</v>
      </c>
      <c r="Q698" s="114" t="e">
        <f t="shared" si="198"/>
        <v>#DIV/0!</v>
      </c>
      <c r="R698" s="115"/>
      <c r="S698" s="326">
        <v>43465</v>
      </c>
    </row>
    <row r="699" spans="1:30" customFormat="1" ht="15.75">
      <c r="A699" s="107">
        <f t="shared" si="199"/>
        <v>115</v>
      </c>
      <c r="B699" s="305" t="s">
        <v>264</v>
      </c>
      <c r="C699" s="118">
        <v>1950</v>
      </c>
      <c r="D699" s="118"/>
      <c r="E699" s="109" t="s">
        <v>220</v>
      </c>
      <c r="F699" s="118">
        <v>2</v>
      </c>
      <c r="G699" s="118">
        <v>3</v>
      </c>
      <c r="H699" s="118"/>
      <c r="I699" s="118"/>
      <c r="J699" s="118"/>
      <c r="K699" s="119"/>
      <c r="L699" s="113">
        <v>1038920</v>
      </c>
      <c r="M699" s="113">
        <v>0</v>
      </c>
      <c r="N699" s="113">
        <v>0</v>
      </c>
      <c r="O699" s="113">
        <f t="shared" si="197"/>
        <v>1038920</v>
      </c>
      <c r="P699" s="113">
        <v>0</v>
      </c>
      <c r="Q699" s="114" t="e">
        <f t="shared" si="198"/>
        <v>#DIV/0!</v>
      </c>
      <c r="R699" s="115"/>
      <c r="S699" s="326">
        <v>43465</v>
      </c>
    </row>
    <row r="700" spans="1:30" s="3" customFormat="1" ht="15.75">
      <c r="A700" s="107">
        <f t="shared" si="199"/>
        <v>116</v>
      </c>
      <c r="B700" s="305" t="s">
        <v>258</v>
      </c>
      <c r="C700" s="118">
        <v>1950</v>
      </c>
      <c r="D700" s="118"/>
      <c r="E700" s="109" t="s">
        <v>220</v>
      </c>
      <c r="F700" s="118">
        <v>2</v>
      </c>
      <c r="G700" s="118">
        <v>2</v>
      </c>
      <c r="H700" s="118"/>
      <c r="I700" s="118"/>
      <c r="J700" s="118"/>
      <c r="K700" s="119"/>
      <c r="L700" s="113">
        <v>1742553</v>
      </c>
      <c r="M700" s="113">
        <v>0</v>
      </c>
      <c r="N700" s="113">
        <v>0</v>
      </c>
      <c r="O700" s="113">
        <f t="shared" si="197"/>
        <v>1742553</v>
      </c>
      <c r="P700" s="113">
        <v>0</v>
      </c>
      <c r="Q700" s="114" t="e">
        <f t="shared" si="198"/>
        <v>#DIV/0!</v>
      </c>
      <c r="R700" s="115"/>
      <c r="S700" s="326">
        <v>43465</v>
      </c>
      <c r="T700"/>
      <c r="U700"/>
      <c r="V700"/>
      <c r="W700"/>
      <c r="X700"/>
      <c r="Y700"/>
      <c r="Z700"/>
      <c r="AA700"/>
      <c r="AB700"/>
      <c r="AC700"/>
      <c r="AD700"/>
    </row>
    <row r="701" spans="1:30" customFormat="1" ht="31.5">
      <c r="A701" s="107">
        <f t="shared" si="199"/>
        <v>117</v>
      </c>
      <c r="B701" s="305" t="s">
        <v>250</v>
      </c>
      <c r="C701" s="118">
        <v>1948</v>
      </c>
      <c r="D701" s="118"/>
      <c r="E701" s="109" t="s">
        <v>218</v>
      </c>
      <c r="F701" s="118">
        <v>2</v>
      </c>
      <c r="G701" s="118">
        <v>3</v>
      </c>
      <c r="H701" s="118"/>
      <c r="I701" s="118"/>
      <c r="J701" s="118"/>
      <c r="K701" s="119"/>
      <c r="L701" s="113">
        <v>2124581</v>
      </c>
      <c r="M701" s="113">
        <v>0</v>
      </c>
      <c r="N701" s="113">
        <v>0</v>
      </c>
      <c r="O701" s="113">
        <f t="shared" si="197"/>
        <v>2124581</v>
      </c>
      <c r="P701" s="113">
        <v>0</v>
      </c>
      <c r="Q701" s="114" t="e">
        <f t="shared" si="198"/>
        <v>#DIV/0!</v>
      </c>
      <c r="R701" s="115"/>
      <c r="S701" s="326">
        <v>43465</v>
      </c>
    </row>
    <row r="702" spans="1:30" customFormat="1" ht="15.75">
      <c r="A702" s="107">
        <f t="shared" si="199"/>
        <v>118</v>
      </c>
      <c r="B702" s="305" t="s">
        <v>282</v>
      </c>
      <c r="C702" s="107">
        <v>1948</v>
      </c>
      <c r="D702" s="108"/>
      <c r="E702" s="109" t="s">
        <v>220</v>
      </c>
      <c r="F702" s="108">
        <v>2</v>
      </c>
      <c r="G702" s="108">
        <v>3</v>
      </c>
      <c r="H702" s="117"/>
      <c r="I702" s="117"/>
      <c r="J702" s="117"/>
      <c r="K702" s="101"/>
      <c r="L702" s="113">
        <v>2347478</v>
      </c>
      <c r="M702" s="113">
        <v>0</v>
      </c>
      <c r="N702" s="113">
        <v>0</v>
      </c>
      <c r="O702" s="113">
        <f t="shared" si="197"/>
        <v>2347478</v>
      </c>
      <c r="P702" s="113">
        <v>0</v>
      </c>
      <c r="Q702" s="114" t="e">
        <f t="shared" si="198"/>
        <v>#DIV/0!</v>
      </c>
      <c r="R702" s="115"/>
      <c r="S702" s="326">
        <v>43465</v>
      </c>
    </row>
    <row r="703" spans="1:30" customFormat="1" ht="31.5">
      <c r="A703" s="107">
        <f t="shared" si="199"/>
        <v>119</v>
      </c>
      <c r="B703" s="301" t="s">
        <v>267</v>
      </c>
      <c r="C703" s="118">
        <v>1948</v>
      </c>
      <c r="D703" s="118"/>
      <c r="E703" s="109" t="s">
        <v>218</v>
      </c>
      <c r="F703" s="118">
        <v>2</v>
      </c>
      <c r="G703" s="118">
        <v>3</v>
      </c>
      <c r="H703" s="118"/>
      <c r="I703" s="118"/>
      <c r="J703" s="118"/>
      <c r="K703" s="119"/>
      <c r="L703" s="113">
        <v>2468472</v>
      </c>
      <c r="M703" s="113">
        <v>0</v>
      </c>
      <c r="N703" s="113">
        <v>0</v>
      </c>
      <c r="O703" s="113">
        <f t="shared" si="197"/>
        <v>2468472</v>
      </c>
      <c r="P703" s="113">
        <v>0</v>
      </c>
      <c r="Q703" s="114" t="e">
        <f t="shared" si="198"/>
        <v>#DIV/0!</v>
      </c>
      <c r="R703" s="115"/>
      <c r="S703" s="326">
        <v>43465</v>
      </c>
    </row>
    <row r="704" spans="1:30" customFormat="1" ht="31.5">
      <c r="A704" s="107">
        <f t="shared" si="199"/>
        <v>120</v>
      </c>
      <c r="B704" s="305" t="s">
        <v>284</v>
      </c>
      <c r="C704" s="108">
        <v>1950</v>
      </c>
      <c r="D704" s="116"/>
      <c r="E704" s="109" t="s">
        <v>218</v>
      </c>
      <c r="F704" s="110">
        <v>2</v>
      </c>
      <c r="G704" s="110">
        <v>2</v>
      </c>
      <c r="H704" s="111"/>
      <c r="I704" s="111"/>
      <c r="J704" s="111"/>
      <c r="K704" s="112"/>
      <c r="L704" s="113">
        <v>1612780</v>
      </c>
      <c r="M704" s="113">
        <v>0</v>
      </c>
      <c r="N704" s="113">
        <v>0</v>
      </c>
      <c r="O704" s="113">
        <f t="shared" si="197"/>
        <v>1612780</v>
      </c>
      <c r="P704" s="113">
        <v>0</v>
      </c>
      <c r="Q704" s="114" t="e">
        <f t="shared" si="198"/>
        <v>#DIV/0!</v>
      </c>
      <c r="R704" s="115"/>
      <c r="S704" s="326">
        <v>43465</v>
      </c>
    </row>
    <row r="705" spans="1:19" customFormat="1" ht="31.5">
      <c r="A705" s="107">
        <f t="shared" si="199"/>
        <v>121</v>
      </c>
      <c r="B705" s="305" t="s">
        <v>256</v>
      </c>
      <c r="C705" s="118">
        <v>1947</v>
      </c>
      <c r="D705" s="118"/>
      <c r="E705" s="109" t="s">
        <v>218</v>
      </c>
      <c r="F705" s="118">
        <v>2</v>
      </c>
      <c r="G705" s="118">
        <v>2</v>
      </c>
      <c r="H705" s="118"/>
      <c r="I705" s="118"/>
      <c r="J705" s="118"/>
      <c r="K705" s="119"/>
      <c r="L705" s="113">
        <v>2580419</v>
      </c>
      <c r="M705" s="113">
        <v>0</v>
      </c>
      <c r="N705" s="113">
        <v>0</v>
      </c>
      <c r="O705" s="113">
        <f t="shared" si="197"/>
        <v>2580419</v>
      </c>
      <c r="P705" s="113">
        <v>0</v>
      </c>
      <c r="Q705" s="114" t="e">
        <f t="shared" si="198"/>
        <v>#DIV/0!</v>
      </c>
      <c r="R705" s="115"/>
      <c r="S705" s="326">
        <v>43465</v>
      </c>
    </row>
    <row r="706" spans="1:19" customFormat="1" ht="15.75">
      <c r="A706" s="107">
        <f t="shared" si="199"/>
        <v>122</v>
      </c>
      <c r="B706" s="301" t="s">
        <v>335</v>
      </c>
      <c r="C706" s="118">
        <v>1963</v>
      </c>
      <c r="D706" s="118"/>
      <c r="E706" s="109" t="s">
        <v>219</v>
      </c>
      <c r="F706" s="118">
        <v>5</v>
      </c>
      <c r="G706" s="118">
        <v>4</v>
      </c>
      <c r="H706" s="118"/>
      <c r="I706" s="118"/>
      <c r="J706" s="118"/>
      <c r="K706" s="119"/>
      <c r="L706" s="113">
        <v>1681645</v>
      </c>
      <c r="M706" s="113">
        <v>0</v>
      </c>
      <c r="N706" s="113">
        <v>0</v>
      </c>
      <c r="O706" s="113">
        <f t="shared" si="197"/>
        <v>1681645</v>
      </c>
      <c r="P706" s="113">
        <v>0</v>
      </c>
      <c r="Q706" s="114" t="e">
        <f t="shared" si="198"/>
        <v>#DIV/0!</v>
      </c>
      <c r="R706" s="115"/>
      <c r="S706" s="326">
        <v>43465</v>
      </c>
    </row>
    <row r="707" spans="1:19" customFormat="1" ht="31.5">
      <c r="A707" s="107">
        <f t="shared" si="199"/>
        <v>123</v>
      </c>
      <c r="B707" s="305" t="s">
        <v>255</v>
      </c>
      <c r="C707" s="118">
        <v>1950</v>
      </c>
      <c r="D707" s="118"/>
      <c r="E707" s="109" t="s">
        <v>218</v>
      </c>
      <c r="F707" s="118">
        <v>2</v>
      </c>
      <c r="G707" s="118">
        <v>2</v>
      </c>
      <c r="H707" s="118"/>
      <c r="I707" s="118"/>
      <c r="J707" s="118"/>
      <c r="K707" s="119"/>
      <c r="L707" s="113">
        <v>1318880</v>
      </c>
      <c r="M707" s="113">
        <v>0</v>
      </c>
      <c r="N707" s="113">
        <v>0</v>
      </c>
      <c r="O707" s="113">
        <f t="shared" si="197"/>
        <v>1318880</v>
      </c>
      <c r="P707" s="113">
        <v>0</v>
      </c>
      <c r="Q707" s="114" t="e">
        <f t="shared" si="198"/>
        <v>#DIV/0!</v>
      </c>
      <c r="R707" s="115"/>
      <c r="S707" s="326">
        <v>43465</v>
      </c>
    </row>
    <row r="708" spans="1:19" customFormat="1" ht="15.75">
      <c r="A708" s="107">
        <f t="shared" si="199"/>
        <v>124</v>
      </c>
      <c r="B708" s="305" t="s">
        <v>245</v>
      </c>
      <c r="C708" s="118">
        <v>1949</v>
      </c>
      <c r="D708" s="118"/>
      <c r="E708" s="109" t="s">
        <v>220</v>
      </c>
      <c r="F708" s="118">
        <v>2</v>
      </c>
      <c r="G708" s="118">
        <v>1</v>
      </c>
      <c r="H708" s="118"/>
      <c r="I708" s="118"/>
      <c r="J708" s="118"/>
      <c r="K708" s="119"/>
      <c r="L708" s="113">
        <v>1566345</v>
      </c>
      <c r="M708" s="113">
        <v>0</v>
      </c>
      <c r="N708" s="113">
        <v>0</v>
      </c>
      <c r="O708" s="113">
        <f t="shared" si="197"/>
        <v>1566345</v>
      </c>
      <c r="P708" s="113">
        <v>0</v>
      </c>
      <c r="Q708" s="114" t="e">
        <f t="shared" si="198"/>
        <v>#DIV/0!</v>
      </c>
      <c r="R708" s="115"/>
      <c r="S708" s="326">
        <v>43465</v>
      </c>
    </row>
    <row r="709" spans="1:19" customFormat="1" ht="31.5">
      <c r="A709" s="107">
        <f t="shared" si="199"/>
        <v>125</v>
      </c>
      <c r="B709" s="301" t="s">
        <v>449</v>
      </c>
      <c r="C709" s="108">
        <v>1984</v>
      </c>
      <c r="D709" s="108"/>
      <c r="E709" s="109" t="s">
        <v>219</v>
      </c>
      <c r="F709" s="110">
        <v>9</v>
      </c>
      <c r="G709" s="110">
        <v>1</v>
      </c>
      <c r="H709" s="111"/>
      <c r="I709" s="111"/>
      <c r="J709" s="111"/>
      <c r="K709" s="112"/>
      <c r="L709" s="113">
        <v>1910088</v>
      </c>
      <c r="M709" s="113">
        <v>0</v>
      </c>
      <c r="N709" s="113">
        <v>0</v>
      </c>
      <c r="O709" s="113">
        <f t="shared" si="197"/>
        <v>1910088</v>
      </c>
      <c r="P709" s="113">
        <v>0</v>
      </c>
      <c r="Q709" s="114" t="e">
        <f t="shared" si="198"/>
        <v>#DIV/0!</v>
      </c>
      <c r="R709" s="115"/>
      <c r="S709" s="326">
        <v>43465</v>
      </c>
    </row>
    <row r="710" spans="1:19" customFormat="1" ht="31.5">
      <c r="A710" s="107">
        <f t="shared" si="199"/>
        <v>126</v>
      </c>
      <c r="B710" s="305" t="s">
        <v>280</v>
      </c>
      <c r="C710" s="107">
        <v>1966</v>
      </c>
      <c r="D710" s="108"/>
      <c r="E710" s="109" t="s">
        <v>218</v>
      </c>
      <c r="F710" s="108">
        <v>5</v>
      </c>
      <c r="G710" s="108">
        <v>3</v>
      </c>
      <c r="H710" s="117"/>
      <c r="I710" s="117"/>
      <c r="J710" s="117"/>
      <c r="K710" s="101"/>
      <c r="L710" s="113">
        <v>2694957</v>
      </c>
      <c r="M710" s="113">
        <v>0</v>
      </c>
      <c r="N710" s="113">
        <v>0</v>
      </c>
      <c r="O710" s="113">
        <f t="shared" si="197"/>
        <v>2694957</v>
      </c>
      <c r="P710" s="113">
        <v>0</v>
      </c>
      <c r="Q710" s="114" t="e">
        <f t="shared" si="198"/>
        <v>#DIV/0!</v>
      </c>
      <c r="R710" s="115"/>
      <c r="S710" s="326">
        <v>43465</v>
      </c>
    </row>
    <row r="711" spans="1:19" customFormat="1" ht="31.5">
      <c r="A711" s="107">
        <f t="shared" si="199"/>
        <v>127</v>
      </c>
      <c r="B711" s="305" t="s">
        <v>367</v>
      </c>
      <c r="C711" s="118">
        <v>1958</v>
      </c>
      <c r="D711" s="118"/>
      <c r="E711" s="109" t="s">
        <v>218</v>
      </c>
      <c r="F711" s="118">
        <v>2</v>
      </c>
      <c r="G711" s="118">
        <v>1</v>
      </c>
      <c r="H711" s="118"/>
      <c r="I711" s="118"/>
      <c r="J711" s="118"/>
      <c r="K711" s="119"/>
      <c r="L711" s="113">
        <v>580578</v>
      </c>
      <c r="M711" s="113">
        <v>0</v>
      </c>
      <c r="N711" s="113">
        <v>0</v>
      </c>
      <c r="O711" s="113">
        <f t="shared" si="197"/>
        <v>580578</v>
      </c>
      <c r="P711" s="113">
        <v>0</v>
      </c>
      <c r="Q711" s="114" t="e">
        <f t="shared" si="198"/>
        <v>#DIV/0!</v>
      </c>
      <c r="R711" s="115"/>
      <c r="S711" s="326">
        <v>43465</v>
      </c>
    </row>
    <row r="712" spans="1:19" customFormat="1" ht="31.5">
      <c r="A712" s="107">
        <f t="shared" si="199"/>
        <v>128</v>
      </c>
      <c r="B712" s="305" t="s">
        <v>464</v>
      </c>
      <c r="C712" s="118">
        <v>1971</v>
      </c>
      <c r="D712" s="118"/>
      <c r="E712" s="109" t="s">
        <v>218</v>
      </c>
      <c r="F712" s="118">
        <v>2</v>
      </c>
      <c r="G712" s="118">
        <v>1</v>
      </c>
      <c r="H712" s="118"/>
      <c r="I712" s="118"/>
      <c r="J712" s="118"/>
      <c r="K712" s="119"/>
      <c r="L712" s="113">
        <v>615357</v>
      </c>
      <c r="M712" s="113">
        <v>0</v>
      </c>
      <c r="N712" s="113">
        <v>0</v>
      </c>
      <c r="O712" s="113">
        <f t="shared" si="197"/>
        <v>615357</v>
      </c>
      <c r="P712" s="113">
        <v>0</v>
      </c>
      <c r="Q712" s="114" t="e">
        <f t="shared" si="198"/>
        <v>#DIV/0!</v>
      </c>
      <c r="R712" s="115"/>
      <c r="S712" s="326">
        <v>43465</v>
      </c>
    </row>
    <row r="713" spans="1:19" customFormat="1" ht="31.5">
      <c r="A713" s="107">
        <f t="shared" si="199"/>
        <v>129</v>
      </c>
      <c r="B713" s="305" t="s">
        <v>385</v>
      </c>
      <c r="C713" s="118">
        <v>1957</v>
      </c>
      <c r="D713" s="118"/>
      <c r="E713" s="109" t="s">
        <v>218</v>
      </c>
      <c r="F713" s="118">
        <v>2</v>
      </c>
      <c r="G713" s="118">
        <v>1</v>
      </c>
      <c r="H713" s="118"/>
      <c r="I713" s="118"/>
      <c r="J713" s="118"/>
      <c r="K713" s="119"/>
      <c r="L713" s="113">
        <v>269948.13</v>
      </c>
      <c r="M713" s="113">
        <v>0</v>
      </c>
      <c r="N713" s="113">
        <v>0</v>
      </c>
      <c r="O713" s="113">
        <f t="shared" ref="O713:O752" si="200">L713</f>
        <v>269948.13</v>
      </c>
      <c r="P713" s="113">
        <v>0</v>
      </c>
      <c r="Q713" s="114" t="e">
        <f t="shared" ref="Q713:Q752" si="201">L713/I713</f>
        <v>#DIV/0!</v>
      </c>
      <c r="R713" s="115"/>
      <c r="S713" s="326">
        <v>43465</v>
      </c>
    </row>
    <row r="714" spans="1:19" customFormat="1" ht="15.75">
      <c r="A714" s="107">
        <f t="shared" si="199"/>
        <v>130</v>
      </c>
      <c r="B714" s="305" t="s">
        <v>238</v>
      </c>
      <c r="C714" s="118">
        <v>1924</v>
      </c>
      <c r="D714" s="118"/>
      <c r="E714" s="109" t="s">
        <v>221</v>
      </c>
      <c r="F714" s="118">
        <v>2</v>
      </c>
      <c r="G714" s="118">
        <v>2</v>
      </c>
      <c r="H714" s="118"/>
      <c r="I714" s="118"/>
      <c r="J714" s="118"/>
      <c r="K714" s="119"/>
      <c r="L714" s="113">
        <v>807980</v>
      </c>
      <c r="M714" s="113">
        <v>0</v>
      </c>
      <c r="N714" s="113">
        <v>0</v>
      </c>
      <c r="O714" s="113">
        <f t="shared" si="200"/>
        <v>807980</v>
      </c>
      <c r="P714" s="113">
        <v>0</v>
      </c>
      <c r="Q714" s="114" t="e">
        <f t="shared" si="201"/>
        <v>#DIV/0!</v>
      </c>
      <c r="R714" s="115"/>
      <c r="S714" s="326">
        <v>43465</v>
      </c>
    </row>
    <row r="715" spans="1:19" customFormat="1" ht="31.5">
      <c r="A715" s="107">
        <f t="shared" ref="A715:A772" si="202">A714+1</f>
        <v>131</v>
      </c>
      <c r="B715" s="305" t="s">
        <v>273</v>
      </c>
      <c r="C715" s="107">
        <v>1949</v>
      </c>
      <c r="D715" s="108"/>
      <c r="E715" s="109" t="s">
        <v>218</v>
      </c>
      <c r="F715" s="108">
        <v>2</v>
      </c>
      <c r="G715" s="108">
        <v>1</v>
      </c>
      <c r="H715" s="117"/>
      <c r="I715" s="117"/>
      <c r="J715" s="117"/>
      <c r="K715" s="101"/>
      <c r="L715" s="113">
        <v>661525</v>
      </c>
      <c r="M715" s="113">
        <v>0</v>
      </c>
      <c r="N715" s="113">
        <v>0</v>
      </c>
      <c r="O715" s="113">
        <f t="shared" si="200"/>
        <v>661525</v>
      </c>
      <c r="P715" s="113">
        <v>0</v>
      </c>
      <c r="Q715" s="114" t="e">
        <f t="shared" si="201"/>
        <v>#DIV/0!</v>
      </c>
      <c r="R715" s="115"/>
      <c r="S715" s="326">
        <v>43465</v>
      </c>
    </row>
    <row r="716" spans="1:19" customFormat="1" ht="15.75">
      <c r="A716" s="107">
        <f t="shared" si="202"/>
        <v>132</v>
      </c>
      <c r="B716" s="305" t="s">
        <v>297</v>
      </c>
      <c r="C716" s="108">
        <v>1981</v>
      </c>
      <c r="D716" s="108"/>
      <c r="E716" s="109" t="s">
        <v>219</v>
      </c>
      <c r="F716" s="110">
        <v>9</v>
      </c>
      <c r="G716" s="110">
        <v>2</v>
      </c>
      <c r="H716" s="111"/>
      <c r="I716" s="111"/>
      <c r="J716" s="111"/>
      <c r="K716" s="112"/>
      <c r="L716" s="113">
        <v>3719885</v>
      </c>
      <c r="M716" s="113">
        <v>0</v>
      </c>
      <c r="N716" s="113">
        <v>0</v>
      </c>
      <c r="O716" s="113">
        <f t="shared" si="200"/>
        <v>3719885</v>
      </c>
      <c r="P716" s="113">
        <v>0</v>
      </c>
      <c r="Q716" s="114" t="e">
        <f t="shared" si="201"/>
        <v>#DIV/0!</v>
      </c>
      <c r="R716" s="115"/>
      <c r="S716" s="326">
        <v>43465</v>
      </c>
    </row>
    <row r="717" spans="1:19" customFormat="1" ht="31.5">
      <c r="A717" s="107">
        <f t="shared" si="202"/>
        <v>133</v>
      </c>
      <c r="B717" s="305" t="s">
        <v>263</v>
      </c>
      <c r="C717" s="118">
        <v>1949</v>
      </c>
      <c r="D717" s="118"/>
      <c r="E717" s="109" t="s">
        <v>218</v>
      </c>
      <c r="F717" s="118">
        <v>2</v>
      </c>
      <c r="G717" s="118">
        <v>2</v>
      </c>
      <c r="H717" s="118"/>
      <c r="I717" s="118"/>
      <c r="J717" s="118"/>
      <c r="K717" s="119"/>
      <c r="L717" s="113">
        <v>1726391</v>
      </c>
      <c r="M717" s="113">
        <v>0</v>
      </c>
      <c r="N717" s="113">
        <v>0</v>
      </c>
      <c r="O717" s="113">
        <f t="shared" si="200"/>
        <v>1726391</v>
      </c>
      <c r="P717" s="113">
        <v>0</v>
      </c>
      <c r="Q717" s="114" t="e">
        <f t="shared" si="201"/>
        <v>#DIV/0!</v>
      </c>
      <c r="R717" s="115"/>
      <c r="S717" s="326">
        <v>43465</v>
      </c>
    </row>
    <row r="718" spans="1:19" customFormat="1" ht="15.75">
      <c r="A718" s="107">
        <f t="shared" si="202"/>
        <v>134</v>
      </c>
      <c r="B718" s="305" t="s">
        <v>235</v>
      </c>
      <c r="C718" s="118">
        <v>1950</v>
      </c>
      <c r="D718" s="118"/>
      <c r="E718" s="109" t="s">
        <v>220</v>
      </c>
      <c r="F718" s="118">
        <v>2</v>
      </c>
      <c r="G718" s="118">
        <v>1</v>
      </c>
      <c r="H718" s="118"/>
      <c r="I718" s="118"/>
      <c r="J718" s="118"/>
      <c r="K718" s="119"/>
      <c r="L718" s="113">
        <v>1521754</v>
      </c>
      <c r="M718" s="113">
        <v>0</v>
      </c>
      <c r="N718" s="113">
        <v>0</v>
      </c>
      <c r="O718" s="113">
        <f t="shared" si="200"/>
        <v>1521754</v>
      </c>
      <c r="P718" s="113">
        <v>0</v>
      </c>
      <c r="Q718" s="114" t="e">
        <f t="shared" si="201"/>
        <v>#DIV/0!</v>
      </c>
      <c r="R718" s="115"/>
      <c r="S718" s="326">
        <v>43465</v>
      </c>
    </row>
    <row r="719" spans="1:19" customFormat="1" ht="31.5">
      <c r="A719" s="107">
        <f t="shared" si="202"/>
        <v>135</v>
      </c>
      <c r="B719" s="301" t="s">
        <v>227</v>
      </c>
      <c r="C719" s="118">
        <v>1937</v>
      </c>
      <c r="D719" s="118"/>
      <c r="E719" s="109" t="s">
        <v>218</v>
      </c>
      <c r="F719" s="118">
        <v>2</v>
      </c>
      <c r="G719" s="118">
        <v>1</v>
      </c>
      <c r="H719" s="118"/>
      <c r="I719" s="118"/>
      <c r="J719" s="118"/>
      <c r="K719" s="119"/>
      <c r="L719" s="113">
        <v>671505</v>
      </c>
      <c r="M719" s="113">
        <v>0</v>
      </c>
      <c r="N719" s="113">
        <v>0</v>
      </c>
      <c r="O719" s="113">
        <f t="shared" si="200"/>
        <v>671505</v>
      </c>
      <c r="P719" s="113">
        <v>0</v>
      </c>
      <c r="Q719" s="114" t="e">
        <f t="shared" si="201"/>
        <v>#DIV/0!</v>
      </c>
      <c r="R719" s="115"/>
      <c r="S719" s="326">
        <v>43465</v>
      </c>
    </row>
    <row r="720" spans="1:19" customFormat="1" ht="31.5">
      <c r="A720" s="107">
        <f t="shared" si="202"/>
        <v>136</v>
      </c>
      <c r="B720" s="305" t="s">
        <v>339</v>
      </c>
      <c r="C720" s="118">
        <v>1961</v>
      </c>
      <c r="D720" s="118"/>
      <c r="E720" s="109" t="s">
        <v>218</v>
      </c>
      <c r="F720" s="118">
        <v>3</v>
      </c>
      <c r="G720" s="118">
        <v>2</v>
      </c>
      <c r="H720" s="118"/>
      <c r="I720" s="118"/>
      <c r="J720" s="118"/>
      <c r="K720" s="119"/>
      <c r="L720" s="113">
        <v>1081718</v>
      </c>
      <c r="M720" s="113">
        <v>0</v>
      </c>
      <c r="N720" s="113">
        <v>0</v>
      </c>
      <c r="O720" s="113">
        <f t="shared" si="200"/>
        <v>1081718</v>
      </c>
      <c r="P720" s="113">
        <v>0</v>
      </c>
      <c r="Q720" s="114" t="e">
        <f t="shared" si="201"/>
        <v>#DIV/0!</v>
      </c>
      <c r="R720" s="115"/>
      <c r="S720" s="326">
        <v>43465</v>
      </c>
    </row>
    <row r="721" spans="1:19" customFormat="1" ht="15.75">
      <c r="A721" s="107">
        <f t="shared" si="202"/>
        <v>137</v>
      </c>
      <c r="B721" s="305" t="s">
        <v>231</v>
      </c>
      <c r="C721" s="118">
        <v>1960</v>
      </c>
      <c r="D721" s="118"/>
      <c r="E721" s="109" t="s">
        <v>220</v>
      </c>
      <c r="F721" s="118">
        <v>3</v>
      </c>
      <c r="G721" s="118">
        <v>2</v>
      </c>
      <c r="H721" s="118"/>
      <c r="I721" s="118"/>
      <c r="J721" s="118"/>
      <c r="K721" s="119"/>
      <c r="L721" s="113">
        <v>206635</v>
      </c>
      <c r="M721" s="113">
        <v>0</v>
      </c>
      <c r="N721" s="113">
        <v>0</v>
      </c>
      <c r="O721" s="113">
        <f t="shared" si="200"/>
        <v>206635</v>
      </c>
      <c r="P721" s="113">
        <v>0</v>
      </c>
      <c r="Q721" s="114" t="e">
        <f t="shared" si="201"/>
        <v>#DIV/0!</v>
      </c>
      <c r="R721" s="115"/>
      <c r="S721" s="326">
        <v>43465</v>
      </c>
    </row>
    <row r="722" spans="1:19" customFormat="1" ht="15.75">
      <c r="A722" s="107">
        <f t="shared" si="202"/>
        <v>138</v>
      </c>
      <c r="B722" s="301" t="s">
        <v>300</v>
      </c>
      <c r="C722" s="108">
        <v>1961</v>
      </c>
      <c r="D722" s="108"/>
      <c r="E722" s="109" t="s">
        <v>220</v>
      </c>
      <c r="F722" s="110">
        <v>3</v>
      </c>
      <c r="G722" s="110">
        <v>2</v>
      </c>
      <c r="H722" s="111"/>
      <c r="I722" s="111"/>
      <c r="J722" s="111"/>
      <c r="K722" s="112"/>
      <c r="L722" s="113">
        <v>1044081.04</v>
      </c>
      <c r="M722" s="113">
        <v>0</v>
      </c>
      <c r="N722" s="113">
        <v>0</v>
      </c>
      <c r="O722" s="113">
        <f t="shared" si="200"/>
        <v>1044081.04</v>
      </c>
      <c r="P722" s="113">
        <v>0</v>
      </c>
      <c r="Q722" s="114" t="e">
        <f t="shared" si="201"/>
        <v>#DIV/0!</v>
      </c>
      <c r="R722" s="115"/>
      <c r="S722" s="326">
        <v>43465</v>
      </c>
    </row>
    <row r="723" spans="1:19" customFormat="1" ht="31.5">
      <c r="A723" s="107">
        <f t="shared" si="202"/>
        <v>139</v>
      </c>
      <c r="B723" s="301" t="s">
        <v>283</v>
      </c>
      <c r="C723" s="107">
        <v>1959</v>
      </c>
      <c r="D723" s="108"/>
      <c r="E723" s="109" t="s">
        <v>218</v>
      </c>
      <c r="F723" s="108">
        <v>2</v>
      </c>
      <c r="G723" s="108">
        <v>2</v>
      </c>
      <c r="H723" s="117"/>
      <c r="I723" s="117"/>
      <c r="J723" s="117"/>
      <c r="K723" s="101"/>
      <c r="L723" s="113">
        <v>1340000</v>
      </c>
      <c r="M723" s="113">
        <v>0</v>
      </c>
      <c r="N723" s="113">
        <v>0</v>
      </c>
      <c r="O723" s="113">
        <f t="shared" si="200"/>
        <v>1340000</v>
      </c>
      <c r="P723" s="113">
        <v>0</v>
      </c>
      <c r="Q723" s="114" t="e">
        <f t="shared" si="201"/>
        <v>#DIV/0!</v>
      </c>
      <c r="R723" s="115"/>
      <c r="S723" s="326">
        <v>43465</v>
      </c>
    </row>
    <row r="724" spans="1:19" customFormat="1" ht="15.75">
      <c r="A724" s="107">
        <f t="shared" si="202"/>
        <v>140</v>
      </c>
      <c r="B724" s="305" t="s">
        <v>450</v>
      </c>
      <c r="C724" s="107">
        <v>1975</v>
      </c>
      <c r="D724" s="108"/>
      <c r="E724" s="109" t="s">
        <v>219</v>
      </c>
      <c r="F724" s="108">
        <v>5</v>
      </c>
      <c r="G724" s="108">
        <v>6</v>
      </c>
      <c r="H724" s="117"/>
      <c r="I724" s="117"/>
      <c r="J724" s="117"/>
      <c r="K724" s="101"/>
      <c r="L724" s="113">
        <v>2294529</v>
      </c>
      <c r="M724" s="113">
        <v>0</v>
      </c>
      <c r="N724" s="113">
        <v>0</v>
      </c>
      <c r="O724" s="113">
        <f t="shared" si="200"/>
        <v>2294529</v>
      </c>
      <c r="P724" s="113">
        <v>0</v>
      </c>
      <c r="Q724" s="114" t="e">
        <f t="shared" si="201"/>
        <v>#DIV/0!</v>
      </c>
      <c r="R724" s="115"/>
      <c r="S724" s="326">
        <v>43465</v>
      </c>
    </row>
    <row r="725" spans="1:19" customFormat="1" ht="15.75">
      <c r="A725" s="107">
        <f t="shared" si="202"/>
        <v>141</v>
      </c>
      <c r="B725" s="305" t="s">
        <v>230</v>
      </c>
      <c r="C725" s="118">
        <v>1981</v>
      </c>
      <c r="D725" s="118"/>
      <c r="E725" s="109" t="s">
        <v>219</v>
      </c>
      <c r="F725" s="118">
        <v>9</v>
      </c>
      <c r="G725" s="118">
        <v>2</v>
      </c>
      <c r="H725" s="118"/>
      <c r="I725" s="118"/>
      <c r="J725" s="118"/>
      <c r="K725" s="119"/>
      <c r="L725" s="113">
        <v>2615616.2000000002</v>
      </c>
      <c r="M725" s="113">
        <v>0</v>
      </c>
      <c r="N725" s="113">
        <v>0</v>
      </c>
      <c r="O725" s="113">
        <f t="shared" si="200"/>
        <v>2615616.2000000002</v>
      </c>
      <c r="P725" s="113">
        <v>0</v>
      </c>
      <c r="Q725" s="114" t="e">
        <f t="shared" si="201"/>
        <v>#DIV/0!</v>
      </c>
      <c r="R725" s="115"/>
      <c r="S725" s="326">
        <v>43465</v>
      </c>
    </row>
    <row r="726" spans="1:19" customFormat="1" ht="31.5">
      <c r="A726" s="107">
        <f t="shared" si="202"/>
        <v>142</v>
      </c>
      <c r="B726" s="301" t="s">
        <v>295</v>
      </c>
      <c r="C726" s="108">
        <v>1964</v>
      </c>
      <c r="D726" s="108"/>
      <c r="E726" s="109" t="s">
        <v>218</v>
      </c>
      <c r="F726" s="110">
        <v>5</v>
      </c>
      <c r="G726" s="110">
        <v>3</v>
      </c>
      <c r="H726" s="111"/>
      <c r="I726" s="111"/>
      <c r="J726" s="111"/>
      <c r="K726" s="112"/>
      <c r="L726" s="113">
        <v>1561539</v>
      </c>
      <c r="M726" s="113">
        <v>0</v>
      </c>
      <c r="N726" s="113">
        <v>0</v>
      </c>
      <c r="O726" s="113">
        <f t="shared" si="200"/>
        <v>1561539</v>
      </c>
      <c r="P726" s="113">
        <v>0</v>
      </c>
      <c r="Q726" s="114" t="e">
        <f t="shared" si="201"/>
        <v>#DIV/0!</v>
      </c>
      <c r="R726" s="115"/>
      <c r="S726" s="326">
        <v>43465</v>
      </c>
    </row>
    <row r="727" spans="1:19" customFormat="1" ht="31.5">
      <c r="A727" s="107">
        <f t="shared" si="202"/>
        <v>143</v>
      </c>
      <c r="B727" s="305" t="s">
        <v>294</v>
      </c>
      <c r="C727" s="108">
        <v>1960</v>
      </c>
      <c r="D727" s="108"/>
      <c r="E727" s="109" t="s">
        <v>218</v>
      </c>
      <c r="F727" s="110">
        <v>5</v>
      </c>
      <c r="G727" s="110">
        <v>2</v>
      </c>
      <c r="H727" s="111"/>
      <c r="I727" s="111"/>
      <c r="J727" s="111"/>
      <c r="K727" s="112"/>
      <c r="L727" s="113">
        <v>1421187</v>
      </c>
      <c r="M727" s="113">
        <v>0</v>
      </c>
      <c r="N727" s="113">
        <v>0</v>
      </c>
      <c r="O727" s="113">
        <f t="shared" si="200"/>
        <v>1421187</v>
      </c>
      <c r="P727" s="113">
        <v>0</v>
      </c>
      <c r="Q727" s="114" t="e">
        <f t="shared" si="201"/>
        <v>#DIV/0!</v>
      </c>
      <c r="R727" s="115"/>
      <c r="S727" s="326">
        <v>43465</v>
      </c>
    </row>
    <row r="728" spans="1:19" customFormat="1" ht="15.75">
      <c r="A728" s="107">
        <f t="shared" si="202"/>
        <v>144</v>
      </c>
      <c r="B728" s="305" t="s">
        <v>270</v>
      </c>
      <c r="C728" s="118">
        <v>1962</v>
      </c>
      <c r="D728" s="118"/>
      <c r="E728" s="109" t="s">
        <v>219</v>
      </c>
      <c r="F728" s="118">
        <v>4</v>
      </c>
      <c r="G728" s="118">
        <v>4</v>
      </c>
      <c r="H728" s="118"/>
      <c r="I728" s="118"/>
      <c r="J728" s="118"/>
      <c r="K728" s="119"/>
      <c r="L728" s="113">
        <v>2469740</v>
      </c>
      <c r="M728" s="113">
        <v>0</v>
      </c>
      <c r="N728" s="113">
        <v>0</v>
      </c>
      <c r="O728" s="113">
        <f t="shared" si="200"/>
        <v>2469740</v>
      </c>
      <c r="P728" s="113">
        <v>0</v>
      </c>
      <c r="Q728" s="114" t="e">
        <f t="shared" si="201"/>
        <v>#DIV/0!</v>
      </c>
      <c r="R728" s="115"/>
      <c r="S728" s="326">
        <v>43465</v>
      </c>
    </row>
    <row r="729" spans="1:19" customFormat="1" ht="31.5">
      <c r="A729" s="107">
        <f t="shared" si="202"/>
        <v>145</v>
      </c>
      <c r="B729" s="305" t="s">
        <v>252</v>
      </c>
      <c r="C729" s="118">
        <v>1986</v>
      </c>
      <c r="D729" s="118"/>
      <c r="E729" s="109" t="s">
        <v>218</v>
      </c>
      <c r="F729" s="118">
        <v>9</v>
      </c>
      <c r="G729" s="118">
        <v>1</v>
      </c>
      <c r="H729" s="118"/>
      <c r="I729" s="118"/>
      <c r="J729" s="118"/>
      <c r="K729" s="119"/>
      <c r="L729" s="113">
        <v>1104857</v>
      </c>
      <c r="M729" s="113">
        <v>0</v>
      </c>
      <c r="N729" s="113">
        <v>0</v>
      </c>
      <c r="O729" s="113">
        <f t="shared" si="200"/>
        <v>1104857</v>
      </c>
      <c r="P729" s="113">
        <v>0</v>
      </c>
      <c r="Q729" s="114" t="e">
        <f t="shared" si="201"/>
        <v>#DIV/0!</v>
      </c>
      <c r="R729" s="115"/>
      <c r="S729" s="326">
        <v>43465</v>
      </c>
    </row>
    <row r="730" spans="1:19" customFormat="1" ht="31.5">
      <c r="A730" s="107">
        <f t="shared" si="202"/>
        <v>146</v>
      </c>
      <c r="B730" s="305" t="s">
        <v>304</v>
      </c>
      <c r="C730" s="108">
        <v>1989</v>
      </c>
      <c r="D730" s="108"/>
      <c r="E730" s="109" t="s">
        <v>218</v>
      </c>
      <c r="F730" s="110">
        <v>9</v>
      </c>
      <c r="G730" s="110">
        <v>1</v>
      </c>
      <c r="H730" s="111"/>
      <c r="I730" s="111"/>
      <c r="J730" s="111"/>
      <c r="K730" s="112"/>
      <c r="L730" s="113">
        <v>1877378</v>
      </c>
      <c r="M730" s="113">
        <v>0</v>
      </c>
      <c r="N730" s="113">
        <v>0</v>
      </c>
      <c r="O730" s="113">
        <f t="shared" si="200"/>
        <v>1877378</v>
      </c>
      <c r="P730" s="113">
        <v>0</v>
      </c>
      <c r="Q730" s="114" t="e">
        <f t="shared" si="201"/>
        <v>#DIV/0!</v>
      </c>
      <c r="R730" s="115"/>
      <c r="S730" s="326">
        <v>43465</v>
      </c>
    </row>
    <row r="731" spans="1:19" customFormat="1" ht="31.5">
      <c r="A731" s="107">
        <f t="shared" si="202"/>
        <v>147</v>
      </c>
      <c r="B731" s="305" t="s">
        <v>228</v>
      </c>
      <c r="C731" s="118" t="s">
        <v>190</v>
      </c>
      <c r="D731" s="118"/>
      <c r="E731" s="109" t="s">
        <v>218</v>
      </c>
      <c r="F731" s="118">
        <v>4</v>
      </c>
      <c r="G731" s="118">
        <v>2</v>
      </c>
      <c r="H731" s="118"/>
      <c r="I731" s="118"/>
      <c r="J731" s="118"/>
      <c r="K731" s="119"/>
      <c r="L731" s="113">
        <v>2945836</v>
      </c>
      <c r="M731" s="113">
        <v>0</v>
      </c>
      <c r="N731" s="113">
        <v>0</v>
      </c>
      <c r="O731" s="113">
        <f t="shared" si="200"/>
        <v>2945836</v>
      </c>
      <c r="P731" s="113">
        <v>0</v>
      </c>
      <c r="Q731" s="114" t="e">
        <f t="shared" si="201"/>
        <v>#DIV/0!</v>
      </c>
      <c r="R731" s="115"/>
      <c r="S731" s="326">
        <v>43465</v>
      </c>
    </row>
    <row r="732" spans="1:19" customFormat="1" ht="31.5">
      <c r="A732" s="107">
        <f t="shared" si="202"/>
        <v>148</v>
      </c>
      <c r="B732" s="305" t="s">
        <v>225</v>
      </c>
      <c r="C732" s="118">
        <v>1932</v>
      </c>
      <c r="D732" s="118"/>
      <c r="E732" s="109" t="s">
        <v>218</v>
      </c>
      <c r="F732" s="118">
        <v>5</v>
      </c>
      <c r="G732" s="118">
        <v>5</v>
      </c>
      <c r="H732" s="118"/>
      <c r="I732" s="118"/>
      <c r="J732" s="118"/>
      <c r="K732" s="119"/>
      <c r="L732" s="113">
        <v>1118494</v>
      </c>
      <c r="M732" s="113">
        <v>0</v>
      </c>
      <c r="N732" s="113">
        <v>0</v>
      </c>
      <c r="O732" s="113">
        <f t="shared" si="200"/>
        <v>1118494</v>
      </c>
      <c r="P732" s="113">
        <v>0</v>
      </c>
      <c r="Q732" s="114" t="e">
        <f t="shared" si="201"/>
        <v>#DIV/0!</v>
      </c>
      <c r="R732" s="115"/>
      <c r="S732" s="326">
        <v>43465</v>
      </c>
    </row>
    <row r="733" spans="1:19" customFormat="1" ht="31.5">
      <c r="A733" s="107">
        <f t="shared" si="202"/>
        <v>149</v>
      </c>
      <c r="B733" s="305" t="s">
        <v>232</v>
      </c>
      <c r="C733" s="118" t="s">
        <v>190</v>
      </c>
      <c r="D733" s="118"/>
      <c r="E733" s="109" t="s">
        <v>218</v>
      </c>
      <c r="F733" s="118">
        <v>3</v>
      </c>
      <c r="G733" s="118">
        <v>2</v>
      </c>
      <c r="H733" s="118"/>
      <c r="I733" s="118"/>
      <c r="J733" s="118"/>
      <c r="K733" s="119"/>
      <c r="L733" s="113">
        <v>2540427</v>
      </c>
      <c r="M733" s="113">
        <v>0</v>
      </c>
      <c r="N733" s="113">
        <v>0</v>
      </c>
      <c r="O733" s="113">
        <f t="shared" si="200"/>
        <v>2540427</v>
      </c>
      <c r="P733" s="113">
        <v>0</v>
      </c>
      <c r="Q733" s="114" t="e">
        <f t="shared" si="201"/>
        <v>#DIV/0!</v>
      </c>
      <c r="R733" s="115"/>
      <c r="S733" s="326">
        <v>43465</v>
      </c>
    </row>
    <row r="734" spans="1:19" customFormat="1" ht="31.5">
      <c r="A734" s="107">
        <f t="shared" si="202"/>
        <v>150</v>
      </c>
      <c r="B734" s="305" t="s">
        <v>275</v>
      </c>
      <c r="C734" s="107">
        <v>1951</v>
      </c>
      <c r="D734" s="108"/>
      <c r="E734" s="109" t="s">
        <v>218</v>
      </c>
      <c r="F734" s="108">
        <v>3</v>
      </c>
      <c r="G734" s="108">
        <v>3</v>
      </c>
      <c r="H734" s="117"/>
      <c r="I734" s="117"/>
      <c r="J734" s="117"/>
      <c r="K734" s="101"/>
      <c r="L734" s="113">
        <v>2253297</v>
      </c>
      <c r="M734" s="113">
        <v>0</v>
      </c>
      <c r="N734" s="113">
        <v>0</v>
      </c>
      <c r="O734" s="113">
        <f t="shared" si="200"/>
        <v>2253297</v>
      </c>
      <c r="P734" s="113">
        <v>0</v>
      </c>
      <c r="Q734" s="114" t="e">
        <f t="shared" si="201"/>
        <v>#DIV/0!</v>
      </c>
      <c r="R734" s="115"/>
      <c r="S734" s="326">
        <v>43465</v>
      </c>
    </row>
    <row r="735" spans="1:19" customFormat="1" ht="21.75" customHeight="1">
      <c r="A735" s="107">
        <f t="shared" si="202"/>
        <v>151</v>
      </c>
      <c r="B735" s="305" t="s">
        <v>286</v>
      </c>
      <c r="C735" s="108">
        <v>1971</v>
      </c>
      <c r="D735" s="108"/>
      <c r="E735" s="109" t="s">
        <v>219</v>
      </c>
      <c r="F735" s="110">
        <v>5</v>
      </c>
      <c r="G735" s="110">
        <v>4</v>
      </c>
      <c r="H735" s="111"/>
      <c r="I735" s="111"/>
      <c r="J735" s="111"/>
      <c r="K735" s="112"/>
      <c r="L735" s="113">
        <v>1390061</v>
      </c>
      <c r="M735" s="113">
        <v>0</v>
      </c>
      <c r="N735" s="113">
        <v>0</v>
      </c>
      <c r="O735" s="113">
        <f t="shared" si="200"/>
        <v>1390061</v>
      </c>
      <c r="P735" s="113">
        <v>0</v>
      </c>
      <c r="Q735" s="114" t="e">
        <f t="shared" si="201"/>
        <v>#DIV/0!</v>
      </c>
      <c r="R735" s="115"/>
      <c r="S735" s="326">
        <v>43465</v>
      </c>
    </row>
    <row r="736" spans="1:19" customFormat="1" ht="31.5">
      <c r="A736" s="107">
        <f t="shared" si="202"/>
        <v>152</v>
      </c>
      <c r="B736" s="301" t="s">
        <v>342</v>
      </c>
      <c r="C736" s="107">
        <v>1961</v>
      </c>
      <c r="D736" s="108"/>
      <c r="E736" s="109" t="s">
        <v>218</v>
      </c>
      <c r="F736" s="108">
        <v>5</v>
      </c>
      <c r="G736" s="108">
        <v>4</v>
      </c>
      <c r="H736" s="117"/>
      <c r="I736" s="117"/>
      <c r="J736" s="117"/>
      <c r="K736" s="101"/>
      <c r="L736" s="113">
        <v>3213804</v>
      </c>
      <c r="M736" s="113">
        <v>0</v>
      </c>
      <c r="N736" s="113">
        <v>0</v>
      </c>
      <c r="O736" s="113">
        <f t="shared" si="200"/>
        <v>3213804</v>
      </c>
      <c r="P736" s="113">
        <v>0</v>
      </c>
      <c r="Q736" s="114" t="e">
        <f t="shared" si="201"/>
        <v>#DIV/0!</v>
      </c>
      <c r="R736" s="115"/>
      <c r="S736" s="326">
        <v>43465</v>
      </c>
    </row>
    <row r="737" spans="1:30" customFormat="1" ht="31.5">
      <c r="A737" s="107">
        <f t="shared" si="202"/>
        <v>153</v>
      </c>
      <c r="B737" s="305" t="s">
        <v>298</v>
      </c>
      <c r="C737" s="108">
        <v>1958</v>
      </c>
      <c r="D737" s="108"/>
      <c r="E737" s="109" t="s">
        <v>218</v>
      </c>
      <c r="F737" s="110">
        <v>4</v>
      </c>
      <c r="G737" s="110">
        <v>3</v>
      </c>
      <c r="H737" s="111"/>
      <c r="I737" s="111"/>
      <c r="J737" s="111"/>
      <c r="K737" s="112"/>
      <c r="L737" s="113">
        <v>3202371</v>
      </c>
      <c r="M737" s="113">
        <v>0</v>
      </c>
      <c r="N737" s="113">
        <v>0</v>
      </c>
      <c r="O737" s="113">
        <f t="shared" si="200"/>
        <v>3202371</v>
      </c>
      <c r="P737" s="113">
        <v>0</v>
      </c>
      <c r="Q737" s="114" t="e">
        <f t="shared" si="201"/>
        <v>#DIV/0!</v>
      </c>
      <c r="R737" s="115"/>
      <c r="S737" s="326">
        <v>43465</v>
      </c>
    </row>
    <row r="738" spans="1:30" s="3" customFormat="1" ht="31.5">
      <c r="A738" s="107">
        <f t="shared" si="202"/>
        <v>154</v>
      </c>
      <c r="B738" s="305" t="s">
        <v>253</v>
      </c>
      <c r="C738" s="118">
        <v>1959</v>
      </c>
      <c r="D738" s="118"/>
      <c r="E738" s="109" t="s">
        <v>218</v>
      </c>
      <c r="F738" s="118">
        <v>2</v>
      </c>
      <c r="G738" s="118">
        <v>1</v>
      </c>
      <c r="H738" s="118"/>
      <c r="I738" s="118"/>
      <c r="J738" s="118"/>
      <c r="K738" s="119"/>
      <c r="L738" s="113">
        <v>709022</v>
      </c>
      <c r="M738" s="113">
        <v>0</v>
      </c>
      <c r="N738" s="113">
        <v>0</v>
      </c>
      <c r="O738" s="113">
        <f t="shared" si="200"/>
        <v>709022</v>
      </c>
      <c r="P738" s="113">
        <v>0</v>
      </c>
      <c r="Q738" s="114" t="e">
        <f t="shared" si="201"/>
        <v>#DIV/0!</v>
      </c>
      <c r="R738" s="115"/>
      <c r="S738" s="326">
        <v>43465</v>
      </c>
      <c r="T738"/>
      <c r="U738"/>
      <c r="V738"/>
      <c r="W738"/>
      <c r="X738"/>
      <c r="Y738"/>
      <c r="Z738"/>
      <c r="AA738"/>
      <c r="AB738"/>
      <c r="AC738"/>
      <c r="AD738"/>
    </row>
    <row r="739" spans="1:30" customFormat="1" ht="31.5">
      <c r="A739" s="107">
        <f t="shared" si="202"/>
        <v>155</v>
      </c>
      <c r="B739" s="305" t="s">
        <v>260</v>
      </c>
      <c r="C739" s="118">
        <v>1958</v>
      </c>
      <c r="D739" s="118"/>
      <c r="E739" s="109" t="s">
        <v>218</v>
      </c>
      <c r="F739" s="118">
        <v>2</v>
      </c>
      <c r="G739" s="118">
        <v>1</v>
      </c>
      <c r="H739" s="118"/>
      <c r="I739" s="118"/>
      <c r="J739" s="118"/>
      <c r="K739" s="119"/>
      <c r="L739" s="113">
        <v>1136930</v>
      </c>
      <c r="M739" s="113">
        <v>0</v>
      </c>
      <c r="N739" s="113">
        <v>0</v>
      </c>
      <c r="O739" s="113">
        <f t="shared" si="200"/>
        <v>1136930</v>
      </c>
      <c r="P739" s="113">
        <v>0</v>
      </c>
      <c r="Q739" s="114" t="e">
        <f t="shared" si="201"/>
        <v>#DIV/0!</v>
      </c>
      <c r="R739" s="115"/>
      <c r="S739" s="326">
        <v>43465</v>
      </c>
    </row>
    <row r="740" spans="1:30" customFormat="1" ht="31.5">
      <c r="A740" s="107">
        <f t="shared" si="202"/>
        <v>156</v>
      </c>
      <c r="B740" s="305" t="s">
        <v>349</v>
      </c>
      <c r="C740" s="108">
        <v>1958</v>
      </c>
      <c r="D740" s="108"/>
      <c r="E740" s="109" t="s">
        <v>218</v>
      </c>
      <c r="F740" s="110">
        <v>2</v>
      </c>
      <c r="G740" s="110">
        <v>2</v>
      </c>
      <c r="H740" s="111"/>
      <c r="I740" s="111"/>
      <c r="J740" s="111"/>
      <c r="K740" s="112"/>
      <c r="L740" s="113">
        <v>1320636</v>
      </c>
      <c r="M740" s="113">
        <v>0</v>
      </c>
      <c r="N740" s="113">
        <v>0</v>
      </c>
      <c r="O740" s="113">
        <f t="shared" si="200"/>
        <v>1320636</v>
      </c>
      <c r="P740" s="113">
        <v>0</v>
      </c>
      <c r="Q740" s="114" t="e">
        <f t="shared" si="201"/>
        <v>#DIV/0!</v>
      </c>
      <c r="R740" s="115"/>
      <c r="S740" s="326">
        <v>43465</v>
      </c>
    </row>
    <row r="741" spans="1:30" customFormat="1" ht="15.75">
      <c r="A741" s="107">
        <f t="shared" si="202"/>
        <v>157</v>
      </c>
      <c r="B741" s="305" t="s">
        <v>302</v>
      </c>
      <c r="C741" s="108">
        <v>1986</v>
      </c>
      <c r="D741" s="108"/>
      <c r="E741" s="109" t="s">
        <v>219</v>
      </c>
      <c r="F741" s="110">
        <v>9</v>
      </c>
      <c r="G741" s="110">
        <v>3</v>
      </c>
      <c r="H741" s="111"/>
      <c r="I741" s="111"/>
      <c r="J741" s="111"/>
      <c r="K741" s="112"/>
      <c r="L741" s="113">
        <v>4265098</v>
      </c>
      <c r="M741" s="113">
        <v>0</v>
      </c>
      <c r="N741" s="113">
        <v>0</v>
      </c>
      <c r="O741" s="113">
        <f t="shared" si="200"/>
        <v>4265098</v>
      </c>
      <c r="P741" s="113">
        <v>0</v>
      </c>
      <c r="Q741" s="114" t="e">
        <f t="shared" si="201"/>
        <v>#DIV/0!</v>
      </c>
      <c r="R741" s="115"/>
      <c r="S741" s="326">
        <v>43465</v>
      </c>
    </row>
    <row r="742" spans="1:30" customFormat="1" ht="31.5">
      <c r="A742" s="107">
        <f t="shared" si="202"/>
        <v>158</v>
      </c>
      <c r="B742" s="305" t="s">
        <v>341</v>
      </c>
      <c r="C742" s="107">
        <v>1963</v>
      </c>
      <c r="D742" s="108"/>
      <c r="E742" s="109" t="s">
        <v>218</v>
      </c>
      <c r="F742" s="108">
        <v>4</v>
      </c>
      <c r="G742" s="108">
        <v>4</v>
      </c>
      <c r="H742" s="117"/>
      <c r="I742" s="117"/>
      <c r="J742" s="117"/>
      <c r="K742" s="101"/>
      <c r="L742" s="113">
        <v>2115890</v>
      </c>
      <c r="M742" s="113">
        <v>0</v>
      </c>
      <c r="N742" s="113">
        <v>0</v>
      </c>
      <c r="O742" s="113">
        <f t="shared" si="200"/>
        <v>2115890</v>
      </c>
      <c r="P742" s="113">
        <v>0</v>
      </c>
      <c r="Q742" s="114" t="e">
        <f t="shared" si="201"/>
        <v>#DIV/0!</v>
      </c>
      <c r="R742" s="115"/>
      <c r="S742" s="326">
        <v>43465</v>
      </c>
    </row>
    <row r="743" spans="1:30" customFormat="1" ht="31.5">
      <c r="A743" s="107">
        <f t="shared" si="202"/>
        <v>159</v>
      </c>
      <c r="B743" s="301" t="s">
        <v>242</v>
      </c>
      <c r="C743" s="118">
        <v>1961</v>
      </c>
      <c r="D743" s="118"/>
      <c r="E743" s="109" t="s">
        <v>218</v>
      </c>
      <c r="F743" s="118">
        <v>3</v>
      </c>
      <c r="G743" s="118">
        <v>2</v>
      </c>
      <c r="H743" s="118"/>
      <c r="I743" s="118"/>
      <c r="J743" s="118"/>
      <c r="K743" s="119"/>
      <c r="L743" s="113">
        <v>482251.51</v>
      </c>
      <c r="M743" s="113">
        <v>0</v>
      </c>
      <c r="N743" s="113">
        <v>0</v>
      </c>
      <c r="O743" s="113">
        <f t="shared" si="200"/>
        <v>482251.51</v>
      </c>
      <c r="P743" s="113">
        <v>0</v>
      </c>
      <c r="Q743" s="114" t="e">
        <f t="shared" si="201"/>
        <v>#DIV/0!</v>
      </c>
      <c r="R743" s="115"/>
      <c r="S743" s="326">
        <v>43465</v>
      </c>
    </row>
    <row r="744" spans="1:30" customFormat="1" ht="31.5">
      <c r="A744" s="107">
        <f t="shared" si="202"/>
        <v>160</v>
      </c>
      <c r="B744" s="305" t="s">
        <v>279</v>
      </c>
      <c r="C744" s="107">
        <v>1959</v>
      </c>
      <c r="D744" s="108"/>
      <c r="E744" s="109" t="s">
        <v>218</v>
      </c>
      <c r="F744" s="108">
        <v>3</v>
      </c>
      <c r="G744" s="108">
        <v>2</v>
      </c>
      <c r="H744" s="117"/>
      <c r="I744" s="117"/>
      <c r="J744" s="117"/>
      <c r="K744" s="101"/>
      <c r="L744" s="113">
        <v>1018040.92</v>
      </c>
      <c r="M744" s="113">
        <v>0</v>
      </c>
      <c r="N744" s="113">
        <v>0</v>
      </c>
      <c r="O744" s="113">
        <f t="shared" si="200"/>
        <v>1018040.92</v>
      </c>
      <c r="P744" s="113">
        <v>0</v>
      </c>
      <c r="Q744" s="114" t="e">
        <f t="shared" si="201"/>
        <v>#DIV/0!</v>
      </c>
      <c r="R744" s="115"/>
      <c r="S744" s="326">
        <v>43465</v>
      </c>
    </row>
    <row r="745" spans="1:30" customFormat="1" ht="31.5">
      <c r="A745" s="107">
        <f t="shared" si="202"/>
        <v>161</v>
      </c>
      <c r="B745" s="305" t="s">
        <v>262</v>
      </c>
      <c r="C745" s="118">
        <v>1977</v>
      </c>
      <c r="D745" s="118"/>
      <c r="E745" s="109" t="s">
        <v>218</v>
      </c>
      <c r="F745" s="118">
        <v>9</v>
      </c>
      <c r="G745" s="118">
        <v>1</v>
      </c>
      <c r="H745" s="118"/>
      <c r="I745" s="118"/>
      <c r="J745" s="118"/>
      <c r="K745" s="119"/>
      <c r="L745" s="113">
        <v>1871554</v>
      </c>
      <c r="M745" s="113">
        <v>0</v>
      </c>
      <c r="N745" s="113">
        <v>0</v>
      </c>
      <c r="O745" s="113">
        <f t="shared" si="200"/>
        <v>1871554</v>
      </c>
      <c r="P745" s="113">
        <v>0</v>
      </c>
      <c r="Q745" s="114" t="e">
        <f t="shared" si="201"/>
        <v>#DIV/0!</v>
      </c>
      <c r="R745" s="115"/>
      <c r="S745" s="326">
        <v>43465</v>
      </c>
    </row>
    <row r="746" spans="1:30" customFormat="1" ht="31.5">
      <c r="A746" s="107">
        <f t="shared" si="202"/>
        <v>162</v>
      </c>
      <c r="B746" s="301" t="s">
        <v>290</v>
      </c>
      <c r="C746" s="108">
        <v>1974</v>
      </c>
      <c r="D746" s="108"/>
      <c r="E746" s="109" t="s">
        <v>218</v>
      </c>
      <c r="F746" s="110">
        <v>5</v>
      </c>
      <c r="G746" s="110">
        <v>4</v>
      </c>
      <c r="H746" s="111"/>
      <c r="I746" s="111"/>
      <c r="J746" s="111"/>
      <c r="K746" s="112"/>
      <c r="L746" s="113">
        <v>2652530</v>
      </c>
      <c r="M746" s="113">
        <v>0</v>
      </c>
      <c r="N746" s="113">
        <v>0</v>
      </c>
      <c r="O746" s="113">
        <f t="shared" si="200"/>
        <v>2652530</v>
      </c>
      <c r="P746" s="113">
        <v>0</v>
      </c>
      <c r="Q746" s="114" t="e">
        <f t="shared" si="201"/>
        <v>#DIV/0!</v>
      </c>
      <c r="R746" s="115"/>
      <c r="S746" s="326">
        <v>43465</v>
      </c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customFormat="1" ht="15.75">
      <c r="A747" s="107">
        <f t="shared" si="202"/>
        <v>163</v>
      </c>
      <c r="B747" s="305" t="s">
        <v>356</v>
      </c>
      <c r="C747" s="108">
        <v>1974</v>
      </c>
      <c r="D747" s="108"/>
      <c r="E747" s="109" t="s">
        <v>219</v>
      </c>
      <c r="F747" s="110">
        <v>5</v>
      </c>
      <c r="G747" s="110">
        <v>6</v>
      </c>
      <c r="H747" s="111"/>
      <c r="I747" s="111"/>
      <c r="J747" s="111"/>
      <c r="K747" s="112"/>
      <c r="L747" s="113">
        <v>3645969</v>
      </c>
      <c r="M747" s="113">
        <v>0</v>
      </c>
      <c r="N747" s="113">
        <v>0</v>
      </c>
      <c r="O747" s="113">
        <f t="shared" si="200"/>
        <v>3645969</v>
      </c>
      <c r="P747" s="113">
        <v>0</v>
      </c>
      <c r="Q747" s="114" t="e">
        <f t="shared" si="201"/>
        <v>#DIV/0!</v>
      </c>
      <c r="R747" s="115"/>
      <c r="S747" s="326">
        <v>43465</v>
      </c>
    </row>
    <row r="748" spans="1:30" s="62" customFormat="1" ht="15.75">
      <c r="A748" s="107">
        <f t="shared" si="202"/>
        <v>164</v>
      </c>
      <c r="B748" s="305" t="s">
        <v>354</v>
      </c>
      <c r="C748" s="107">
        <v>1986</v>
      </c>
      <c r="D748" s="108"/>
      <c r="E748" s="109" t="s">
        <v>219</v>
      </c>
      <c r="F748" s="108">
        <v>9</v>
      </c>
      <c r="G748" s="108">
        <v>1</v>
      </c>
      <c r="H748" s="117"/>
      <c r="I748" s="117"/>
      <c r="J748" s="117"/>
      <c r="K748" s="101"/>
      <c r="L748" s="113">
        <v>771330</v>
      </c>
      <c r="M748" s="113">
        <v>0</v>
      </c>
      <c r="N748" s="113">
        <v>0</v>
      </c>
      <c r="O748" s="113">
        <f t="shared" si="200"/>
        <v>771330</v>
      </c>
      <c r="P748" s="113">
        <v>0</v>
      </c>
      <c r="Q748" s="114" t="e">
        <f t="shared" si="201"/>
        <v>#DIV/0!</v>
      </c>
      <c r="R748" s="115"/>
      <c r="S748" s="326">
        <v>43465</v>
      </c>
      <c r="T748"/>
      <c r="U748"/>
      <c r="V748"/>
      <c r="W748"/>
      <c r="X748"/>
      <c r="Y748"/>
      <c r="Z748"/>
      <c r="AA748"/>
      <c r="AB748"/>
      <c r="AC748"/>
      <c r="AD748"/>
    </row>
    <row r="749" spans="1:30" customFormat="1" ht="15.75">
      <c r="A749" s="107">
        <f t="shared" si="202"/>
        <v>165</v>
      </c>
      <c r="B749" s="301" t="s">
        <v>352</v>
      </c>
      <c r="C749" s="118">
        <v>1972</v>
      </c>
      <c r="D749" s="118"/>
      <c r="E749" s="109" t="s">
        <v>219</v>
      </c>
      <c r="F749" s="118">
        <v>9</v>
      </c>
      <c r="G749" s="118">
        <v>1</v>
      </c>
      <c r="H749" s="118"/>
      <c r="I749" s="118"/>
      <c r="J749" s="118"/>
      <c r="K749" s="119"/>
      <c r="L749" s="113">
        <v>1894719</v>
      </c>
      <c r="M749" s="113">
        <v>0</v>
      </c>
      <c r="N749" s="113">
        <v>0</v>
      </c>
      <c r="O749" s="113">
        <f t="shared" si="200"/>
        <v>1894719</v>
      </c>
      <c r="P749" s="113">
        <v>0</v>
      </c>
      <c r="Q749" s="114" t="e">
        <f t="shared" si="201"/>
        <v>#DIV/0!</v>
      </c>
      <c r="R749" s="115"/>
      <c r="S749" s="326">
        <v>43465</v>
      </c>
    </row>
    <row r="750" spans="1:30" customFormat="1" ht="31.5">
      <c r="A750" s="107">
        <f t="shared" si="202"/>
        <v>166</v>
      </c>
      <c r="B750" s="305" t="s">
        <v>355</v>
      </c>
      <c r="C750" s="107">
        <v>1964</v>
      </c>
      <c r="D750" s="108"/>
      <c r="E750" s="109" t="s">
        <v>218</v>
      </c>
      <c r="F750" s="108">
        <v>5</v>
      </c>
      <c r="G750" s="108">
        <v>3</v>
      </c>
      <c r="H750" s="117"/>
      <c r="I750" s="117"/>
      <c r="J750" s="117"/>
      <c r="K750" s="101"/>
      <c r="L750" s="113">
        <v>1492412</v>
      </c>
      <c r="M750" s="113">
        <v>0</v>
      </c>
      <c r="N750" s="113">
        <v>0</v>
      </c>
      <c r="O750" s="113">
        <f t="shared" si="200"/>
        <v>1492412</v>
      </c>
      <c r="P750" s="113">
        <v>0</v>
      </c>
      <c r="Q750" s="114" t="e">
        <f t="shared" si="201"/>
        <v>#DIV/0!</v>
      </c>
      <c r="R750" s="115"/>
      <c r="S750" s="326">
        <v>43465</v>
      </c>
    </row>
    <row r="751" spans="1:30" customFormat="1" ht="31.5">
      <c r="A751" s="107">
        <f t="shared" si="202"/>
        <v>167</v>
      </c>
      <c r="B751" s="301" t="s">
        <v>318</v>
      </c>
      <c r="C751" s="118">
        <v>1884</v>
      </c>
      <c r="D751" s="118"/>
      <c r="E751" s="109" t="s">
        <v>218</v>
      </c>
      <c r="F751" s="118">
        <v>2</v>
      </c>
      <c r="G751" s="118">
        <v>2</v>
      </c>
      <c r="H751" s="118"/>
      <c r="I751" s="118"/>
      <c r="J751" s="118"/>
      <c r="K751" s="119"/>
      <c r="L751" s="113">
        <v>651523.25</v>
      </c>
      <c r="M751" s="113">
        <v>0</v>
      </c>
      <c r="N751" s="113">
        <v>0</v>
      </c>
      <c r="O751" s="113">
        <f t="shared" si="200"/>
        <v>651523.25</v>
      </c>
      <c r="P751" s="113">
        <v>0</v>
      </c>
      <c r="Q751" s="114" t="e">
        <f t="shared" si="201"/>
        <v>#DIV/0!</v>
      </c>
      <c r="R751" s="115"/>
      <c r="S751" s="326">
        <v>43465</v>
      </c>
    </row>
    <row r="752" spans="1:30" customFormat="1" ht="15.75">
      <c r="A752" s="107">
        <f t="shared" si="202"/>
        <v>168</v>
      </c>
      <c r="B752" s="305" t="s">
        <v>353</v>
      </c>
      <c r="C752" s="118">
        <v>1948</v>
      </c>
      <c r="D752" s="118"/>
      <c r="E752" s="109" t="s">
        <v>220</v>
      </c>
      <c r="F752" s="118">
        <v>2</v>
      </c>
      <c r="G752" s="118">
        <v>2</v>
      </c>
      <c r="H752" s="118"/>
      <c r="I752" s="118"/>
      <c r="J752" s="118"/>
      <c r="K752" s="119"/>
      <c r="L752" s="113">
        <v>1221424.83</v>
      </c>
      <c r="M752" s="113">
        <v>0</v>
      </c>
      <c r="N752" s="113">
        <v>0</v>
      </c>
      <c r="O752" s="113">
        <f t="shared" si="200"/>
        <v>1221424.83</v>
      </c>
      <c r="P752" s="113">
        <v>0</v>
      </c>
      <c r="Q752" s="114" t="e">
        <f t="shared" si="201"/>
        <v>#DIV/0!</v>
      </c>
      <c r="R752" s="115"/>
      <c r="S752" s="326">
        <v>43465</v>
      </c>
    </row>
    <row r="753" spans="1:19" s="1" customFormat="1" ht="29.45" customHeight="1">
      <c r="A753" s="107"/>
      <c r="B753" s="1354" t="s">
        <v>91</v>
      </c>
      <c r="C753" s="1354"/>
      <c r="D753" s="1354"/>
      <c r="E753" s="1354"/>
      <c r="F753" s="1354"/>
      <c r="G753" s="1354"/>
      <c r="H753" s="104">
        <f t="shared" ref="H753:N753" si="203">SUM(H754:H766)</f>
        <v>11522.799999999997</v>
      </c>
      <c r="I753" s="104">
        <f t="shared" si="203"/>
        <v>10273.200000000003</v>
      </c>
      <c r="J753" s="104">
        <f t="shared" si="203"/>
        <v>8826.4000000000015</v>
      </c>
      <c r="K753" s="105">
        <f t="shared" si="203"/>
        <v>365</v>
      </c>
      <c r="L753" s="655">
        <f t="shared" si="203"/>
        <v>21022265</v>
      </c>
      <c r="M753" s="113">
        <f t="shared" si="203"/>
        <v>0</v>
      </c>
      <c r="N753" s="113">
        <f t="shared" si="203"/>
        <v>0</v>
      </c>
      <c r="O753" s="113">
        <f>SUM(O754:O766)</f>
        <v>21022265</v>
      </c>
      <c r="P753" s="113">
        <f t="shared" ref="P753" si="204">SUM(P754:P759)</f>
        <v>0</v>
      </c>
      <c r="Q753" s="106" t="s">
        <v>40</v>
      </c>
      <c r="R753" s="106" t="s">
        <v>40</v>
      </c>
      <c r="S753" s="326">
        <v>43465</v>
      </c>
    </row>
    <row r="754" spans="1:19" s="30" customFormat="1" ht="31.5">
      <c r="A754" s="107">
        <v>1</v>
      </c>
      <c r="B754" s="889" t="s">
        <v>949</v>
      </c>
      <c r="C754" s="108">
        <v>1965</v>
      </c>
      <c r="D754" s="108"/>
      <c r="E754" s="109" t="s">
        <v>218</v>
      </c>
      <c r="F754" s="764">
        <v>5</v>
      </c>
      <c r="G754" s="764">
        <v>4</v>
      </c>
      <c r="H754" s="764">
        <v>3272</v>
      </c>
      <c r="I754" s="764">
        <v>3153.3</v>
      </c>
      <c r="J754" s="764">
        <v>2896.4</v>
      </c>
      <c r="K754" s="764">
        <v>110</v>
      </c>
      <c r="L754" s="655">
        <f>O754</f>
        <v>2589031</v>
      </c>
      <c r="M754" s="113">
        <v>0</v>
      </c>
      <c r="N754" s="113">
        <v>0</v>
      </c>
      <c r="O754" s="113">
        <v>2589031</v>
      </c>
      <c r="P754" s="113">
        <v>0</v>
      </c>
      <c r="Q754" s="114">
        <f t="shared" ref="Q754:Q766" si="205">L754/I754</f>
        <v>821.05445089271552</v>
      </c>
      <c r="R754" s="114">
        <v>7920</v>
      </c>
      <c r="S754" s="326">
        <v>43465</v>
      </c>
    </row>
    <row r="755" spans="1:19" s="30" customFormat="1" ht="31.5">
      <c r="A755" s="107">
        <f t="shared" si="202"/>
        <v>2</v>
      </c>
      <c r="B755" s="889" t="s">
        <v>950</v>
      </c>
      <c r="C755" s="108">
        <v>1956</v>
      </c>
      <c r="D755" s="108"/>
      <c r="E755" s="109" t="s">
        <v>218</v>
      </c>
      <c r="F755" s="764">
        <v>2</v>
      </c>
      <c r="G755" s="764">
        <v>2</v>
      </c>
      <c r="H755" s="764">
        <v>743.9</v>
      </c>
      <c r="I755" s="764">
        <v>678.9</v>
      </c>
      <c r="J755" s="764">
        <v>627.9</v>
      </c>
      <c r="K755" s="764">
        <v>25</v>
      </c>
      <c r="L755" s="655">
        <f t="shared" ref="L755:L766" si="206">O755</f>
        <v>2100989</v>
      </c>
      <c r="M755" s="113">
        <v>0</v>
      </c>
      <c r="N755" s="113">
        <v>0</v>
      </c>
      <c r="O755" s="113">
        <v>2100989</v>
      </c>
      <c r="P755" s="113">
        <v>0</v>
      </c>
      <c r="Q755" s="114">
        <f t="shared" si="205"/>
        <v>3094.6958314921199</v>
      </c>
      <c r="R755" s="114">
        <v>7920</v>
      </c>
      <c r="S755" s="326">
        <v>43465</v>
      </c>
    </row>
    <row r="756" spans="1:19" s="30" customFormat="1" ht="31.5">
      <c r="A756" s="107">
        <f t="shared" si="202"/>
        <v>3</v>
      </c>
      <c r="B756" s="889" t="s">
        <v>951</v>
      </c>
      <c r="C756" s="108">
        <v>1960</v>
      </c>
      <c r="D756" s="108"/>
      <c r="E756" s="109" t="s">
        <v>218</v>
      </c>
      <c r="F756" s="764">
        <v>2</v>
      </c>
      <c r="G756" s="764">
        <v>2</v>
      </c>
      <c r="H756" s="764">
        <v>874</v>
      </c>
      <c r="I756" s="764">
        <v>771.7</v>
      </c>
      <c r="J756" s="764">
        <v>717.8</v>
      </c>
      <c r="K756" s="764">
        <v>26</v>
      </c>
      <c r="L756" s="655">
        <f t="shared" si="206"/>
        <v>1913404</v>
      </c>
      <c r="M756" s="113">
        <v>0</v>
      </c>
      <c r="N756" s="113">
        <v>0</v>
      </c>
      <c r="O756" s="113">
        <v>1913404</v>
      </c>
      <c r="P756" s="113">
        <v>0</v>
      </c>
      <c r="Q756" s="114">
        <f t="shared" si="205"/>
        <v>2479.466113774783</v>
      </c>
      <c r="R756" s="114">
        <v>7920</v>
      </c>
      <c r="S756" s="326">
        <v>43465</v>
      </c>
    </row>
    <row r="757" spans="1:19" s="30" customFormat="1" ht="31.5">
      <c r="A757" s="107">
        <v>4</v>
      </c>
      <c r="B757" s="889" t="s">
        <v>952</v>
      </c>
      <c r="C757" s="108">
        <v>1962</v>
      </c>
      <c r="D757" s="108"/>
      <c r="E757" s="109" t="s">
        <v>218</v>
      </c>
      <c r="F757" s="764">
        <v>4</v>
      </c>
      <c r="G757" s="764">
        <v>4</v>
      </c>
      <c r="H757" s="764">
        <v>3077.1</v>
      </c>
      <c r="I757" s="764">
        <v>2842.8</v>
      </c>
      <c r="J757" s="764">
        <v>2461.8000000000002</v>
      </c>
      <c r="K757" s="764">
        <v>109</v>
      </c>
      <c r="L757" s="655">
        <f t="shared" si="206"/>
        <v>2563779</v>
      </c>
      <c r="M757" s="113">
        <v>0</v>
      </c>
      <c r="N757" s="113">
        <v>0</v>
      </c>
      <c r="O757" s="113">
        <v>2563779</v>
      </c>
      <c r="P757" s="113">
        <v>0</v>
      </c>
      <c r="Q757" s="114">
        <f t="shared" si="205"/>
        <v>901.84993668214429</v>
      </c>
      <c r="R757" s="114">
        <v>7920</v>
      </c>
      <c r="S757" s="326">
        <v>43465</v>
      </c>
    </row>
    <row r="758" spans="1:19" s="30" customFormat="1" ht="30.6" customHeight="1">
      <c r="A758" s="107">
        <f t="shared" si="202"/>
        <v>5</v>
      </c>
      <c r="B758" s="889" t="s">
        <v>953</v>
      </c>
      <c r="C758" s="108">
        <v>1917</v>
      </c>
      <c r="D758" s="108"/>
      <c r="E758" s="109" t="s">
        <v>218</v>
      </c>
      <c r="F758" s="764">
        <v>3</v>
      </c>
      <c r="G758" s="764">
        <v>2</v>
      </c>
      <c r="H758" s="764">
        <v>689.3</v>
      </c>
      <c r="I758" s="764">
        <v>626.29999999999995</v>
      </c>
      <c r="J758" s="764">
        <v>366.8</v>
      </c>
      <c r="K758" s="764">
        <v>11</v>
      </c>
      <c r="L758" s="655">
        <f t="shared" si="206"/>
        <v>1211476</v>
      </c>
      <c r="M758" s="113">
        <v>0</v>
      </c>
      <c r="N758" s="113">
        <v>0</v>
      </c>
      <c r="O758" s="113">
        <v>1211476</v>
      </c>
      <c r="P758" s="113">
        <v>0</v>
      </c>
      <c r="Q758" s="114">
        <f t="shared" si="205"/>
        <v>1934.3381765926874</v>
      </c>
      <c r="R758" s="114">
        <v>7920</v>
      </c>
      <c r="S758" s="326">
        <v>43465</v>
      </c>
    </row>
    <row r="759" spans="1:19" s="30" customFormat="1" ht="31.5">
      <c r="A759" s="107">
        <f t="shared" si="202"/>
        <v>6</v>
      </c>
      <c r="B759" s="889" t="s">
        <v>954</v>
      </c>
      <c r="C759" s="108">
        <v>1917</v>
      </c>
      <c r="D759" s="108"/>
      <c r="E759" s="109" t="s">
        <v>218</v>
      </c>
      <c r="F759" s="764">
        <v>2</v>
      </c>
      <c r="G759" s="764">
        <v>2</v>
      </c>
      <c r="H759" s="764">
        <v>474.3</v>
      </c>
      <c r="I759" s="764">
        <v>194.4</v>
      </c>
      <c r="J759" s="764">
        <v>194.4</v>
      </c>
      <c r="K759" s="764">
        <v>2</v>
      </c>
      <c r="L759" s="655">
        <f t="shared" si="206"/>
        <v>3154876</v>
      </c>
      <c r="M759" s="113">
        <v>0</v>
      </c>
      <c r="N759" s="113">
        <v>0</v>
      </c>
      <c r="O759" s="113">
        <v>3154876</v>
      </c>
      <c r="P759" s="113">
        <v>0</v>
      </c>
      <c r="Q759" s="114">
        <f t="shared" si="205"/>
        <v>16228.786008230452</v>
      </c>
      <c r="R759" s="114">
        <v>7920</v>
      </c>
      <c r="S759" s="326">
        <v>43465</v>
      </c>
    </row>
    <row r="760" spans="1:19" s="30" customFormat="1" ht="31.5">
      <c r="A760" s="107">
        <v>7</v>
      </c>
      <c r="B760" s="889" t="s">
        <v>955</v>
      </c>
      <c r="C760" s="108">
        <v>1917</v>
      </c>
      <c r="D760" s="108"/>
      <c r="E760" s="109" t="s">
        <v>218</v>
      </c>
      <c r="F760" s="764">
        <v>2</v>
      </c>
      <c r="G760" s="764">
        <v>1</v>
      </c>
      <c r="H760" s="764">
        <v>357</v>
      </c>
      <c r="I760" s="764">
        <v>323.2</v>
      </c>
      <c r="J760" s="764">
        <v>126</v>
      </c>
      <c r="K760" s="764">
        <v>11</v>
      </c>
      <c r="L760" s="655">
        <f t="shared" si="206"/>
        <v>869705</v>
      </c>
      <c r="M760" s="113">
        <v>0</v>
      </c>
      <c r="N760" s="113">
        <v>0</v>
      </c>
      <c r="O760" s="113">
        <v>869705</v>
      </c>
      <c r="P760" s="113">
        <v>0</v>
      </c>
      <c r="Q760" s="114">
        <f t="shared" si="205"/>
        <v>2690.9189356435645</v>
      </c>
      <c r="R760" s="114">
        <v>7920</v>
      </c>
      <c r="S760" s="326">
        <v>43465</v>
      </c>
    </row>
    <row r="761" spans="1:19" s="30" customFormat="1" ht="31.5">
      <c r="A761" s="107">
        <v>8</v>
      </c>
      <c r="B761" s="889" t="s">
        <v>956</v>
      </c>
      <c r="C761" s="108">
        <v>1917</v>
      </c>
      <c r="D761" s="108"/>
      <c r="E761" s="109" t="s">
        <v>218</v>
      </c>
      <c r="F761" s="764">
        <v>3</v>
      </c>
      <c r="G761" s="764">
        <v>2</v>
      </c>
      <c r="H761" s="764">
        <v>490.4</v>
      </c>
      <c r="I761" s="764">
        <v>363</v>
      </c>
      <c r="J761" s="764">
        <v>371.4</v>
      </c>
      <c r="K761" s="764">
        <v>14</v>
      </c>
      <c r="L761" s="655">
        <f t="shared" si="206"/>
        <v>1873863</v>
      </c>
      <c r="M761" s="113">
        <v>0</v>
      </c>
      <c r="N761" s="113">
        <v>0</v>
      </c>
      <c r="O761" s="113">
        <v>1873863</v>
      </c>
      <c r="P761" s="113">
        <v>0</v>
      </c>
      <c r="Q761" s="114">
        <f t="shared" si="205"/>
        <v>5162.1570247933887</v>
      </c>
      <c r="R761" s="114">
        <v>7920</v>
      </c>
      <c r="S761" s="326">
        <v>43465</v>
      </c>
    </row>
    <row r="762" spans="1:19" s="30" customFormat="1" ht="31.5">
      <c r="A762" s="107">
        <v>9</v>
      </c>
      <c r="B762" s="889" t="s">
        <v>957</v>
      </c>
      <c r="C762" s="108">
        <v>1917</v>
      </c>
      <c r="D762" s="108"/>
      <c r="E762" s="109" t="s">
        <v>218</v>
      </c>
      <c r="F762" s="764">
        <v>3</v>
      </c>
      <c r="G762" s="764">
        <v>2</v>
      </c>
      <c r="H762" s="764">
        <v>555.5</v>
      </c>
      <c r="I762" s="764">
        <v>484.4</v>
      </c>
      <c r="J762" s="764">
        <v>442</v>
      </c>
      <c r="K762" s="764">
        <v>16</v>
      </c>
      <c r="L762" s="655">
        <f t="shared" si="206"/>
        <v>1044244</v>
      </c>
      <c r="M762" s="113">
        <v>0</v>
      </c>
      <c r="N762" s="113">
        <v>0</v>
      </c>
      <c r="O762" s="113">
        <v>1044244</v>
      </c>
      <c r="P762" s="113">
        <v>0</v>
      </c>
      <c r="Q762" s="114">
        <f t="shared" si="205"/>
        <v>2155.7473162675474</v>
      </c>
      <c r="R762" s="114">
        <v>7920</v>
      </c>
      <c r="S762" s="326">
        <v>43465</v>
      </c>
    </row>
    <row r="763" spans="1:19" s="30" customFormat="1" ht="31.5">
      <c r="A763" s="107">
        <v>10</v>
      </c>
      <c r="B763" s="889" t="s">
        <v>958</v>
      </c>
      <c r="C763" s="108">
        <v>1917</v>
      </c>
      <c r="D763" s="108"/>
      <c r="E763" s="109" t="s">
        <v>218</v>
      </c>
      <c r="F763" s="764">
        <v>3</v>
      </c>
      <c r="G763" s="764">
        <v>1</v>
      </c>
      <c r="H763" s="764">
        <v>336.5</v>
      </c>
      <c r="I763" s="764">
        <v>334</v>
      </c>
      <c r="J763" s="764">
        <v>262.60000000000002</v>
      </c>
      <c r="K763" s="764">
        <v>9</v>
      </c>
      <c r="L763" s="655">
        <f t="shared" si="206"/>
        <v>831874</v>
      </c>
      <c r="M763" s="113">
        <v>0</v>
      </c>
      <c r="N763" s="113">
        <v>0</v>
      </c>
      <c r="O763" s="113">
        <v>831874</v>
      </c>
      <c r="P763" s="113">
        <v>0</v>
      </c>
      <c r="Q763" s="114">
        <f t="shared" si="205"/>
        <v>2490.6407185628741</v>
      </c>
      <c r="R763" s="114">
        <v>7920</v>
      </c>
      <c r="S763" s="326">
        <v>43465</v>
      </c>
    </row>
    <row r="764" spans="1:19" s="30" customFormat="1" ht="31.5">
      <c r="A764" s="107">
        <v>11</v>
      </c>
      <c r="B764" s="889" t="s">
        <v>959</v>
      </c>
      <c r="C764" s="108">
        <v>1917</v>
      </c>
      <c r="D764" s="108"/>
      <c r="E764" s="109" t="s">
        <v>218</v>
      </c>
      <c r="F764" s="764">
        <v>2</v>
      </c>
      <c r="G764" s="764">
        <v>1</v>
      </c>
      <c r="H764" s="764">
        <v>268</v>
      </c>
      <c r="I764" s="764">
        <v>233</v>
      </c>
      <c r="J764" s="764">
        <v>189.7</v>
      </c>
      <c r="K764" s="764">
        <v>12</v>
      </c>
      <c r="L764" s="655">
        <f t="shared" si="206"/>
        <v>1249958</v>
      </c>
      <c r="M764" s="113">
        <v>0</v>
      </c>
      <c r="N764" s="113">
        <v>0</v>
      </c>
      <c r="O764" s="113">
        <v>1249958</v>
      </c>
      <c r="P764" s="113">
        <v>0</v>
      </c>
      <c r="Q764" s="114">
        <f t="shared" si="205"/>
        <v>5364.6266094420598</v>
      </c>
      <c r="R764" s="114">
        <v>7920</v>
      </c>
      <c r="S764" s="326">
        <v>43465</v>
      </c>
    </row>
    <row r="765" spans="1:19" s="30" customFormat="1" ht="31.5">
      <c r="A765" s="107">
        <v>12</v>
      </c>
      <c r="B765" s="889" t="s">
        <v>960</v>
      </c>
      <c r="C765" s="108">
        <v>1917</v>
      </c>
      <c r="D765" s="108"/>
      <c r="E765" s="109" t="s">
        <v>218</v>
      </c>
      <c r="F765" s="764">
        <v>2</v>
      </c>
      <c r="G765" s="764">
        <v>1</v>
      </c>
      <c r="H765" s="764">
        <v>222.8</v>
      </c>
      <c r="I765" s="764">
        <v>118</v>
      </c>
      <c r="J765" s="764">
        <v>43.7</v>
      </c>
      <c r="K765" s="764">
        <v>17</v>
      </c>
      <c r="L765" s="655">
        <f t="shared" si="206"/>
        <v>1054021</v>
      </c>
      <c r="M765" s="113">
        <v>0</v>
      </c>
      <c r="N765" s="113">
        <v>0</v>
      </c>
      <c r="O765" s="113">
        <v>1054021</v>
      </c>
      <c r="P765" s="113">
        <v>0</v>
      </c>
      <c r="Q765" s="114">
        <f t="shared" si="205"/>
        <v>8932.3813559322025</v>
      </c>
      <c r="R765" s="114">
        <v>7920</v>
      </c>
      <c r="S765" s="326">
        <v>43465</v>
      </c>
    </row>
    <row r="766" spans="1:19" s="30" customFormat="1" ht="31.9" customHeight="1">
      <c r="A766" s="107">
        <v>13</v>
      </c>
      <c r="B766" s="889" t="s">
        <v>961</v>
      </c>
      <c r="C766" s="108">
        <v>1917</v>
      </c>
      <c r="D766" s="108"/>
      <c r="E766" s="109" t="s">
        <v>962</v>
      </c>
      <c r="F766" s="764">
        <v>2</v>
      </c>
      <c r="G766" s="764">
        <v>1</v>
      </c>
      <c r="H766" s="764">
        <v>162</v>
      </c>
      <c r="I766" s="764">
        <v>150.19999999999999</v>
      </c>
      <c r="J766" s="764">
        <v>125.9</v>
      </c>
      <c r="K766" s="764">
        <v>3</v>
      </c>
      <c r="L766" s="655">
        <f t="shared" si="206"/>
        <v>565045</v>
      </c>
      <c r="M766" s="113">
        <v>0</v>
      </c>
      <c r="N766" s="113">
        <v>0</v>
      </c>
      <c r="O766" s="113">
        <v>565045</v>
      </c>
      <c r="P766" s="113">
        <v>0</v>
      </c>
      <c r="Q766" s="114">
        <f t="shared" si="205"/>
        <v>3761.9507323568578</v>
      </c>
      <c r="R766" s="114">
        <v>7920</v>
      </c>
      <c r="S766" s="326">
        <v>43465</v>
      </c>
    </row>
    <row r="767" spans="1:19" s="30" customFormat="1" ht="15.75" customHeight="1">
      <c r="A767" s="318"/>
      <c r="B767" s="1372" t="s">
        <v>92</v>
      </c>
      <c r="C767" s="1372"/>
      <c r="D767" s="1372"/>
      <c r="E767" s="1372"/>
      <c r="F767" s="1372"/>
      <c r="G767" s="1372"/>
      <c r="H767" s="894">
        <f>H768+H769</f>
        <v>929.5</v>
      </c>
      <c r="I767" s="894">
        <f t="shared" ref="I767:P767" si="207">I768+I769</f>
        <v>850.9</v>
      </c>
      <c r="J767" s="894">
        <f t="shared" si="207"/>
        <v>744.5</v>
      </c>
      <c r="K767" s="894">
        <f t="shared" si="207"/>
        <v>43</v>
      </c>
      <c r="L767" s="895">
        <f t="shared" si="207"/>
        <v>1681461</v>
      </c>
      <c r="M767" s="895">
        <f t="shared" si="207"/>
        <v>0</v>
      </c>
      <c r="N767" s="895">
        <f t="shared" si="207"/>
        <v>0</v>
      </c>
      <c r="O767" s="895">
        <f t="shared" si="207"/>
        <v>1681461</v>
      </c>
      <c r="P767" s="895">
        <f t="shared" si="207"/>
        <v>0</v>
      </c>
      <c r="Q767" s="325" t="s">
        <v>40</v>
      </c>
      <c r="R767" s="663" t="s">
        <v>40</v>
      </c>
      <c r="S767" s="326">
        <v>43465</v>
      </c>
    </row>
    <row r="768" spans="1:19" s="30" customFormat="1" ht="15.75" customHeight="1">
      <c r="A768" s="318"/>
      <c r="B768" s="336" t="s">
        <v>647</v>
      </c>
      <c r="C768" s="318">
        <v>1953</v>
      </c>
      <c r="D768" s="318"/>
      <c r="E768" s="318" t="s">
        <v>646</v>
      </c>
      <c r="F768" s="318">
        <v>2</v>
      </c>
      <c r="G768" s="318">
        <v>1</v>
      </c>
      <c r="H768" s="322">
        <v>431.8</v>
      </c>
      <c r="I768" s="360">
        <v>395.2</v>
      </c>
      <c r="J768" s="360">
        <v>288.8</v>
      </c>
      <c r="K768" s="323">
        <v>22</v>
      </c>
      <c r="L768" s="324">
        <v>409319</v>
      </c>
      <c r="M768" s="324">
        <v>0</v>
      </c>
      <c r="N768" s="324">
        <v>0</v>
      </c>
      <c r="O768" s="324">
        <v>409319</v>
      </c>
      <c r="P768" s="324">
        <v>0</v>
      </c>
      <c r="Q768" s="325">
        <f>L768/I768</f>
        <v>1035.7262145748989</v>
      </c>
      <c r="R768" s="663">
        <v>7920</v>
      </c>
      <c r="S768" s="326">
        <v>43465</v>
      </c>
    </row>
    <row r="769" spans="1:62" s="1" customFormat="1" ht="31.5">
      <c r="A769" s="318">
        <f>A766+1</f>
        <v>14</v>
      </c>
      <c r="B769" s="890" t="s">
        <v>648</v>
      </c>
      <c r="C769" s="375">
        <v>1961</v>
      </c>
      <c r="D769" s="375"/>
      <c r="E769" s="321" t="s">
        <v>218</v>
      </c>
      <c r="F769" s="375">
        <v>2</v>
      </c>
      <c r="G769" s="375">
        <v>1</v>
      </c>
      <c r="H769" s="694">
        <v>497.7</v>
      </c>
      <c r="I769" s="375">
        <v>455.7</v>
      </c>
      <c r="J769" s="375">
        <v>455.7</v>
      </c>
      <c r="K769" s="378">
        <v>21</v>
      </c>
      <c r="L769" s="324">
        <v>1272142</v>
      </c>
      <c r="M769" s="324">
        <v>0</v>
      </c>
      <c r="N769" s="324">
        <v>0</v>
      </c>
      <c r="O769" s="324">
        <v>1272142</v>
      </c>
      <c r="P769" s="324">
        <v>0</v>
      </c>
      <c r="Q769" s="379">
        <f>L769/I769</f>
        <v>2791.6216809304369</v>
      </c>
      <c r="R769" s="325">
        <v>7920</v>
      </c>
      <c r="S769" s="326">
        <v>43465</v>
      </c>
    </row>
    <row r="770" spans="1:62" s="1" customFormat="1" ht="15.75" customHeight="1">
      <c r="A770" s="318"/>
      <c r="B770" s="1354" t="s">
        <v>93</v>
      </c>
      <c r="C770" s="1354"/>
      <c r="D770" s="1354"/>
      <c r="E770" s="1354"/>
      <c r="F770" s="1354"/>
      <c r="G770" s="1354"/>
      <c r="H770" s="694">
        <f>SUM(H771:H772)</f>
        <v>4540.7999999999993</v>
      </c>
      <c r="I770" s="694">
        <f t="shared" ref="I770:P770" si="208">SUM(I771:I772)</f>
        <v>4540.7999999999993</v>
      </c>
      <c r="J770" s="694">
        <f t="shared" si="208"/>
        <v>3048.6</v>
      </c>
      <c r="K770" s="694">
        <f t="shared" si="208"/>
        <v>151</v>
      </c>
      <c r="L770" s="696">
        <f t="shared" si="208"/>
        <v>4013524</v>
      </c>
      <c r="M770" s="696">
        <f t="shared" si="208"/>
        <v>0</v>
      </c>
      <c r="N770" s="696">
        <f t="shared" si="208"/>
        <v>0</v>
      </c>
      <c r="O770" s="696">
        <f t="shared" si="208"/>
        <v>4013524</v>
      </c>
      <c r="P770" s="696">
        <f t="shared" si="208"/>
        <v>0</v>
      </c>
      <c r="Q770" s="344" t="s">
        <v>40</v>
      </c>
      <c r="R770" s="344" t="s">
        <v>40</v>
      </c>
      <c r="S770" s="326">
        <v>43465</v>
      </c>
    </row>
    <row r="771" spans="1:62" s="1" customFormat="1" ht="15.75">
      <c r="A771" s="318">
        <f>A769+1</f>
        <v>15</v>
      </c>
      <c r="B771" s="700" t="s">
        <v>788</v>
      </c>
      <c r="C771" s="340">
        <v>1974</v>
      </c>
      <c r="D771" s="340"/>
      <c r="E771" s="321" t="s">
        <v>219</v>
      </c>
      <c r="F771" s="343">
        <v>5</v>
      </c>
      <c r="G771" s="343">
        <v>6</v>
      </c>
      <c r="H771" s="587">
        <v>4364.8999999999996</v>
      </c>
      <c r="I771" s="341">
        <v>4364.8999999999996</v>
      </c>
      <c r="J771" s="341">
        <v>2872.7</v>
      </c>
      <c r="K771" s="343">
        <v>144</v>
      </c>
      <c r="L771" s="324">
        <v>2978035</v>
      </c>
      <c r="M771" s="324">
        <v>0</v>
      </c>
      <c r="N771" s="324">
        <v>0</v>
      </c>
      <c r="O771" s="324">
        <f t="shared" ref="O771:O772" si="209">L771</f>
        <v>2978035</v>
      </c>
      <c r="P771" s="324">
        <v>0</v>
      </c>
      <c r="Q771" s="344">
        <f>L771/I771</f>
        <v>682.2687804989805</v>
      </c>
      <c r="R771" s="325">
        <v>7920</v>
      </c>
      <c r="S771" s="326">
        <v>43465</v>
      </c>
    </row>
    <row r="772" spans="1:62" s="1" customFormat="1" ht="31.5">
      <c r="A772" s="318">
        <f t="shared" si="202"/>
        <v>16</v>
      </c>
      <c r="B772" s="700" t="s">
        <v>789</v>
      </c>
      <c r="C772" s="340">
        <v>1958</v>
      </c>
      <c r="D772" s="340"/>
      <c r="E772" s="321" t="s">
        <v>777</v>
      </c>
      <c r="F772" s="343">
        <v>1</v>
      </c>
      <c r="G772" s="343">
        <v>1</v>
      </c>
      <c r="H772" s="587">
        <v>175.9</v>
      </c>
      <c r="I772" s="341">
        <v>175.9</v>
      </c>
      <c r="J772" s="341">
        <v>175.9</v>
      </c>
      <c r="K772" s="343">
        <v>7</v>
      </c>
      <c r="L772" s="324">
        <v>1035489</v>
      </c>
      <c r="M772" s="324">
        <v>0</v>
      </c>
      <c r="N772" s="324">
        <v>0</v>
      </c>
      <c r="O772" s="324">
        <f t="shared" si="209"/>
        <v>1035489</v>
      </c>
      <c r="P772" s="324">
        <v>0</v>
      </c>
      <c r="Q772" s="344">
        <f>L772/I772</f>
        <v>5886.8050028425241</v>
      </c>
      <c r="R772" s="325">
        <v>7920</v>
      </c>
      <c r="S772" s="326">
        <v>43465</v>
      </c>
    </row>
    <row r="773" spans="1:62" s="1" customFormat="1" ht="15.75">
      <c r="A773" s="318"/>
      <c r="B773" s="695"/>
      <c r="C773" s="340"/>
      <c r="D773" s="340"/>
      <c r="E773" s="321"/>
      <c r="F773" s="343"/>
      <c r="G773" s="343"/>
      <c r="H773" s="587"/>
      <c r="I773" s="341"/>
      <c r="J773" s="341"/>
      <c r="K773" s="343"/>
      <c r="L773" s="324"/>
      <c r="M773" s="324"/>
      <c r="N773" s="324"/>
      <c r="O773" s="324"/>
      <c r="P773" s="324"/>
      <c r="Q773" s="344"/>
      <c r="R773" s="325"/>
      <c r="S773" s="326"/>
    </row>
    <row r="774" spans="1:62" s="1" customFormat="1" ht="15.75">
      <c r="A774" s="318"/>
      <c r="B774" s="695"/>
      <c r="C774" s="340"/>
      <c r="D774" s="340"/>
      <c r="E774" s="321"/>
      <c r="F774" s="343"/>
      <c r="G774" s="343"/>
      <c r="H774" s="587"/>
      <c r="I774" s="341"/>
      <c r="J774" s="341"/>
      <c r="K774" s="343"/>
      <c r="L774" s="324"/>
      <c r="M774" s="324"/>
      <c r="N774" s="324"/>
      <c r="O774" s="324"/>
      <c r="P774" s="324"/>
      <c r="Q774" s="344"/>
      <c r="R774" s="325"/>
      <c r="S774" s="326"/>
    </row>
    <row r="775" spans="1:62" s="1" customFormat="1" ht="15.75">
      <c r="A775" s="318"/>
      <c r="B775" s="695"/>
      <c r="C775" s="340"/>
      <c r="D775" s="340"/>
      <c r="E775" s="321"/>
      <c r="F775" s="343"/>
      <c r="G775" s="343"/>
      <c r="H775" s="587"/>
      <c r="I775" s="341"/>
      <c r="J775" s="341"/>
      <c r="K775" s="343"/>
      <c r="L775" s="324"/>
      <c r="M775" s="324"/>
      <c r="N775" s="324"/>
      <c r="O775" s="324"/>
      <c r="P775" s="324"/>
      <c r="Q775" s="344"/>
      <c r="R775" s="325"/>
      <c r="S775" s="326"/>
    </row>
    <row r="776" spans="1:62" s="1" customFormat="1" ht="15.75">
      <c r="A776" s="318"/>
      <c r="B776" s="695"/>
      <c r="C776" s="340"/>
      <c r="D776" s="340"/>
      <c r="E776" s="321"/>
      <c r="F776" s="343"/>
      <c r="G776" s="343"/>
      <c r="H776" s="587"/>
      <c r="I776" s="341"/>
      <c r="J776" s="341"/>
      <c r="K776" s="343"/>
      <c r="L776" s="324"/>
      <c r="M776" s="324"/>
      <c r="N776" s="324"/>
      <c r="O776" s="324"/>
      <c r="P776" s="324"/>
      <c r="Q776" s="344"/>
      <c r="R776" s="325"/>
      <c r="S776" s="326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</row>
    <row r="777" spans="1:62" s="1" customFormat="1" ht="15.75">
      <c r="A777" s="318"/>
      <c r="B777" s="695"/>
      <c r="C777" s="340"/>
      <c r="D777" s="340"/>
      <c r="E777" s="321"/>
      <c r="F777" s="343"/>
      <c r="G777" s="343"/>
      <c r="H777" s="587"/>
      <c r="I777" s="341"/>
      <c r="J777" s="341"/>
      <c r="K777" s="343"/>
      <c r="L777" s="324"/>
      <c r="M777" s="324"/>
      <c r="N777" s="324"/>
      <c r="O777" s="324"/>
      <c r="P777" s="324"/>
      <c r="Q777" s="344"/>
      <c r="R777" s="325"/>
      <c r="S777" s="326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</row>
    <row r="778" spans="1:62" s="1" customFormat="1" ht="15.75">
      <c r="A778" s="318"/>
      <c r="B778" s="695"/>
      <c r="C778" s="340"/>
      <c r="D778" s="340"/>
      <c r="E778" s="321"/>
      <c r="F778" s="343"/>
      <c r="G778" s="343"/>
      <c r="H778" s="587"/>
      <c r="I778" s="341"/>
      <c r="J778" s="341"/>
      <c r="K778" s="343"/>
      <c r="L778" s="324"/>
      <c r="M778" s="324"/>
      <c r="N778" s="324"/>
      <c r="O778" s="324"/>
      <c r="P778" s="324"/>
      <c r="Q778" s="344"/>
      <c r="R778" s="325"/>
      <c r="S778" s="326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</row>
    <row r="779" spans="1:62" s="1" customFormat="1" ht="15.75">
      <c r="A779" s="318"/>
      <c r="B779" s="695"/>
      <c r="C779" s="340"/>
      <c r="D779" s="340"/>
      <c r="E779" s="321"/>
      <c r="F779" s="343"/>
      <c r="G779" s="343"/>
      <c r="H779" s="587"/>
      <c r="I779" s="341"/>
      <c r="J779" s="341"/>
      <c r="K779" s="343"/>
      <c r="L779" s="324"/>
      <c r="M779" s="324"/>
      <c r="N779" s="324"/>
      <c r="O779" s="324"/>
      <c r="P779" s="324"/>
      <c r="Q779" s="344"/>
      <c r="R779" s="325"/>
      <c r="S779" s="326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</row>
    <row r="780" spans="1:62" s="1" customFormat="1" ht="15.75">
      <c r="A780" s="318"/>
      <c r="B780" s="695"/>
      <c r="C780" s="340"/>
      <c r="D780" s="340"/>
      <c r="E780" s="321"/>
      <c r="F780" s="343"/>
      <c r="G780" s="343"/>
      <c r="H780" s="587"/>
      <c r="I780" s="341"/>
      <c r="J780" s="341"/>
      <c r="K780" s="343"/>
      <c r="L780" s="324"/>
      <c r="M780" s="324"/>
      <c r="N780" s="324"/>
      <c r="O780" s="324"/>
      <c r="P780" s="324"/>
      <c r="Q780" s="344"/>
      <c r="R780" s="325"/>
      <c r="S780" s="326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</row>
    <row r="781" spans="1:62" s="1" customFormat="1" ht="15.75">
      <c r="A781" s="318"/>
      <c r="B781" s="695"/>
      <c r="C781" s="340"/>
      <c r="D781" s="340"/>
      <c r="E781" s="321"/>
      <c r="F781" s="343"/>
      <c r="G781" s="343"/>
      <c r="H781" s="587"/>
      <c r="I781" s="341"/>
      <c r="J781" s="341"/>
      <c r="K781" s="343"/>
      <c r="L781" s="324"/>
      <c r="M781" s="324"/>
      <c r="N781" s="324"/>
      <c r="O781" s="324"/>
      <c r="P781" s="324"/>
      <c r="Q781" s="344"/>
      <c r="R781" s="325"/>
      <c r="S781" s="326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</row>
    <row r="782" spans="1:62" s="1" customFormat="1" ht="15.75">
      <c r="A782" s="318"/>
      <c r="B782" s="695"/>
      <c r="C782" s="340"/>
      <c r="D782" s="340"/>
      <c r="E782" s="321"/>
      <c r="F782" s="343"/>
      <c r="G782" s="343"/>
      <c r="H782" s="587"/>
      <c r="I782" s="341"/>
      <c r="J782" s="341"/>
      <c r="K782" s="343"/>
      <c r="L782" s="324"/>
      <c r="M782" s="324"/>
      <c r="N782" s="324"/>
      <c r="O782" s="324"/>
      <c r="P782" s="324"/>
      <c r="Q782" s="344"/>
      <c r="R782" s="325"/>
      <c r="S782" s="326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</row>
    <row r="783" spans="1:62" s="1" customFormat="1" ht="15.75">
      <c r="A783" s="318"/>
      <c r="B783" s="695"/>
      <c r="C783" s="340"/>
      <c r="D783" s="340"/>
      <c r="E783" s="321"/>
      <c r="F783" s="343"/>
      <c r="G783" s="343"/>
      <c r="H783" s="587"/>
      <c r="I783" s="341"/>
      <c r="J783" s="341"/>
      <c r="K783" s="343"/>
      <c r="L783" s="324"/>
      <c r="M783" s="324"/>
      <c r="N783" s="324"/>
      <c r="O783" s="324"/>
      <c r="P783" s="324"/>
      <c r="Q783" s="344"/>
      <c r="R783" s="325"/>
      <c r="S783" s="326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</row>
    <row r="784" spans="1:62" s="1" customFormat="1" ht="15.75">
      <c r="A784" s="318"/>
      <c r="B784" s="695"/>
      <c r="C784" s="340"/>
      <c r="D784" s="340"/>
      <c r="E784" s="321"/>
      <c r="F784" s="343"/>
      <c r="G784" s="343"/>
      <c r="H784" s="587"/>
      <c r="I784" s="341"/>
      <c r="J784" s="341"/>
      <c r="K784" s="343"/>
      <c r="L784" s="324"/>
      <c r="M784" s="324"/>
      <c r="N784" s="324"/>
      <c r="O784" s="324"/>
      <c r="P784" s="324"/>
      <c r="Q784" s="344"/>
      <c r="R784" s="325"/>
      <c r="S784" s="326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</row>
    <row r="785" spans="1:62" s="1" customFormat="1" ht="15.75">
      <c r="A785" s="318"/>
      <c r="B785" s="695"/>
      <c r="C785" s="340"/>
      <c r="D785" s="340"/>
      <c r="E785" s="321"/>
      <c r="F785" s="343"/>
      <c r="G785" s="343"/>
      <c r="H785" s="587"/>
      <c r="I785" s="341"/>
      <c r="J785" s="341"/>
      <c r="K785" s="343"/>
      <c r="L785" s="324"/>
      <c r="M785" s="324"/>
      <c r="N785" s="324"/>
      <c r="O785" s="324"/>
      <c r="P785" s="324"/>
      <c r="Q785" s="344"/>
      <c r="R785" s="325"/>
      <c r="S785" s="326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</row>
    <row r="786" spans="1:62" s="1" customFormat="1" ht="15.75">
      <c r="A786" s="318"/>
      <c r="B786" s="695"/>
      <c r="C786" s="340"/>
      <c r="D786" s="340"/>
      <c r="E786" s="321"/>
      <c r="F786" s="343"/>
      <c r="G786" s="343"/>
      <c r="H786" s="587"/>
      <c r="I786" s="341"/>
      <c r="J786" s="341"/>
      <c r="K786" s="343"/>
      <c r="L786" s="324"/>
      <c r="M786" s="324"/>
      <c r="N786" s="324"/>
      <c r="O786" s="324"/>
      <c r="P786" s="324"/>
      <c r="Q786" s="344"/>
      <c r="R786" s="325"/>
      <c r="S786" s="326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</row>
    <row r="787" spans="1:62" s="1" customFormat="1" ht="15.75">
      <c r="A787" s="318"/>
      <c r="B787" s="695"/>
      <c r="C787" s="340"/>
      <c r="D787" s="340"/>
      <c r="E787" s="321"/>
      <c r="F787" s="343"/>
      <c r="G787" s="343"/>
      <c r="H787" s="587"/>
      <c r="I787" s="341"/>
      <c r="J787" s="341"/>
      <c r="K787" s="343"/>
      <c r="L787" s="324"/>
      <c r="M787" s="324"/>
      <c r="N787" s="324"/>
      <c r="O787" s="324"/>
      <c r="P787" s="324"/>
      <c r="Q787" s="344"/>
      <c r="R787" s="325"/>
      <c r="S787" s="326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</row>
    <row r="788" spans="1:62" s="1" customFormat="1" ht="15.75">
      <c r="A788" s="318"/>
      <c r="B788" s="695"/>
      <c r="C788" s="340"/>
      <c r="D788" s="340"/>
      <c r="E788" s="321"/>
      <c r="F788" s="343"/>
      <c r="G788" s="343"/>
      <c r="H788" s="587"/>
      <c r="I788" s="341"/>
      <c r="J788" s="341"/>
      <c r="K788" s="343"/>
      <c r="L788" s="324"/>
      <c r="M788" s="324"/>
      <c r="N788" s="324"/>
      <c r="O788" s="324"/>
      <c r="P788" s="324"/>
      <c r="Q788" s="344"/>
      <c r="R788" s="325"/>
      <c r="S788" s="326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</row>
    <row r="789" spans="1:62" s="1" customFormat="1" ht="15.75">
      <c r="A789" s="318"/>
      <c r="B789" s="695"/>
      <c r="C789" s="340"/>
      <c r="D789" s="340"/>
      <c r="E789" s="321"/>
      <c r="F789" s="343"/>
      <c r="G789" s="343"/>
      <c r="H789" s="587"/>
      <c r="I789" s="341"/>
      <c r="J789" s="341"/>
      <c r="K789" s="343"/>
      <c r="L789" s="324"/>
      <c r="M789" s="324"/>
      <c r="N789" s="324"/>
      <c r="O789" s="324"/>
      <c r="P789" s="324"/>
      <c r="Q789" s="344"/>
      <c r="R789" s="325"/>
      <c r="S789" s="326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</row>
    <row r="790" spans="1:62" s="1" customFormat="1" ht="15.75">
      <c r="A790" s="318"/>
      <c r="B790" s="695"/>
      <c r="C790" s="340"/>
      <c r="D790" s="340"/>
      <c r="E790" s="321"/>
      <c r="F790" s="343"/>
      <c r="G790" s="343"/>
      <c r="H790" s="587"/>
      <c r="I790" s="341"/>
      <c r="J790" s="341"/>
      <c r="K790" s="343"/>
      <c r="L790" s="324"/>
      <c r="M790" s="324"/>
      <c r="N790" s="324"/>
      <c r="O790" s="324"/>
      <c r="P790" s="324"/>
      <c r="Q790" s="344"/>
      <c r="R790" s="325"/>
      <c r="S790" s="326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</row>
    <row r="791" spans="1:62" s="1" customFormat="1" ht="15.75">
      <c r="A791" s="318"/>
      <c r="B791" s="695"/>
      <c r="C791" s="340"/>
      <c r="D791" s="340"/>
      <c r="E791" s="321"/>
      <c r="F791" s="343"/>
      <c r="G791" s="343"/>
      <c r="H791" s="587"/>
      <c r="I791" s="341"/>
      <c r="J791" s="341"/>
      <c r="K791" s="343"/>
      <c r="L791" s="324"/>
      <c r="M791" s="324"/>
      <c r="N791" s="324"/>
      <c r="O791" s="324"/>
      <c r="P791" s="324"/>
      <c r="Q791" s="344"/>
      <c r="R791" s="325"/>
      <c r="S791" s="326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</row>
    <row r="792" spans="1:62" s="1" customFormat="1" ht="15.75">
      <c r="A792" s="318"/>
      <c r="B792" s="695"/>
      <c r="C792" s="340"/>
      <c r="D792" s="340"/>
      <c r="E792" s="321"/>
      <c r="F792" s="343"/>
      <c r="G792" s="343"/>
      <c r="H792" s="587"/>
      <c r="I792" s="341"/>
      <c r="J792" s="341"/>
      <c r="K792" s="343"/>
      <c r="L792" s="324"/>
      <c r="M792" s="324"/>
      <c r="N792" s="324"/>
      <c r="O792" s="324"/>
      <c r="P792" s="324"/>
      <c r="Q792" s="344"/>
      <c r="R792" s="325"/>
      <c r="S792" s="326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</row>
    <row r="793" spans="1:62" s="1" customFormat="1" ht="15.75">
      <c r="A793" s="318"/>
      <c r="B793" s="695"/>
      <c r="C793" s="340"/>
      <c r="D793" s="340"/>
      <c r="E793" s="321"/>
      <c r="F793" s="343"/>
      <c r="G793" s="343"/>
      <c r="H793" s="587"/>
      <c r="I793" s="341"/>
      <c r="J793" s="341"/>
      <c r="K793" s="343"/>
      <c r="L793" s="324"/>
      <c r="M793" s="324"/>
      <c r="N793" s="324"/>
      <c r="O793" s="324"/>
      <c r="P793" s="324"/>
      <c r="Q793" s="344"/>
      <c r="R793" s="325"/>
      <c r="S793" s="326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</row>
    <row r="794" spans="1:62" s="1" customFormat="1" ht="15.75">
      <c r="A794" s="318"/>
      <c r="B794" s="695"/>
      <c r="C794" s="340"/>
      <c r="D794" s="340"/>
      <c r="E794" s="321"/>
      <c r="F794" s="343"/>
      <c r="G794" s="343"/>
      <c r="H794" s="587"/>
      <c r="I794" s="341"/>
      <c r="J794" s="341"/>
      <c r="K794" s="343"/>
      <c r="L794" s="324"/>
      <c r="M794" s="324"/>
      <c r="N794" s="324"/>
      <c r="O794" s="324"/>
      <c r="P794" s="324"/>
      <c r="Q794" s="344"/>
      <c r="R794" s="325"/>
      <c r="S794" s="326"/>
    </row>
    <row r="795" spans="1:62" s="1" customFormat="1" ht="15.75">
      <c r="A795" s="318"/>
      <c r="B795" s="695"/>
      <c r="C795" s="340"/>
      <c r="D795" s="340"/>
      <c r="E795" s="321"/>
      <c r="F795" s="343"/>
      <c r="G795" s="343"/>
      <c r="H795" s="587"/>
      <c r="I795" s="341"/>
      <c r="J795" s="341"/>
      <c r="K795" s="343"/>
      <c r="L795" s="324"/>
      <c r="M795" s="324"/>
      <c r="N795" s="324"/>
      <c r="O795" s="324"/>
      <c r="P795" s="324"/>
      <c r="Q795" s="344"/>
      <c r="R795" s="325"/>
      <c r="S795" s="326"/>
    </row>
    <row r="796" spans="1:62" s="1" customFormat="1" ht="15.75">
      <c r="A796" s="408"/>
      <c r="B796" s="1343" t="s">
        <v>94</v>
      </c>
      <c r="C796" s="1343"/>
      <c r="D796" s="1343"/>
      <c r="E796" s="1343"/>
      <c r="F796" s="1343"/>
      <c r="G796" s="1343"/>
      <c r="H796" s="409">
        <f>SUM(H797:H805)</f>
        <v>13237.699999999999</v>
      </c>
      <c r="I796" s="409">
        <f t="shared" ref="I796:P796" si="210">SUM(I797:I805)</f>
        <v>12074.8</v>
      </c>
      <c r="J796" s="409">
        <f t="shared" si="210"/>
        <v>11564.1</v>
      </c>
      <c r="K796" s="409">
        <f t="shared" si="210"/>
        <v>482</v>
      </c>
      <c r="L796" s="415">
        <f t="shared" si="210"/>
        <v>17682419</v>
      </c>
      <c r="M796" s="415">
        <f t="shared" si="210"/>
        <v>0</v>
      </c>
      <c r="N796" s="415">
        <f t="shared" si="210"/>
        <v>0</v>
      </c>
      <c r="O796" s="415">
        <f t="shared" si="210"/>
        <v>17682419</v>
      </c>
      <c r="P796" s="415">
        <f t="shared" si="210"/>
        <v>0</v>
      </c>
      <c r="Q796" s="106" t="s">
        <v>40</v>
      </c>
      <c r="R796" s="106" t="s">
        <v>40</v>
      </c>
      <c r="S796" s="326">
        <v>43465</v>
      </c>
    </row>
    <row r="797" spans="1:62" s="47" customFormat="1" ht="31.5">
      <c r="A797" s="318">
        <f>A795+1</f>
        <v>1</v>
      </c>
      <c r="B797" s="427" t="s">
        <v>539</v>
      </c>
      <c r="C797" s="417">
        <v>1917</v>
      </c>
      <c r="D797" s="321"/>
      <c r="E797" s="321" t="s">
        <v>548</v>
      </c>
      <c r="F797" s="428">
        <v>2</v>
      </c>
      <c r="G797" s="428">
        <v>2</v>
      </c>
      <c r="H797" s="429">
        <v>415.4</v>
      </c>
      <c r="I797" s="429">
        <v>353.8</v>
      </c>
      <c r="J797" s="419">
        <v>353.8</v>
      </c>
      <c r="K797" s="420">
        <v>16</v>
      </c>
      <c r="L797" s="324">
        <v>1329885</v>
      </c>
      <c r="M797" s="324">
        <v>0</v>
      </c>
      <c r="N797" s="324">
        <v>0</v>
      </c>
      <c r="O797" s="324">
        <f t="shared" ref="O797:O805" si="211">L797</f>
        <v>1329885</v>
      </c>
      <c r="P797" s="324">
        <v>0</v>
      </c>
      <c r="Q797" s="419">
        <f t="shared" ref="Q797:Q805" si="212">L797/I797</f>
        <v>3758.8609383832672</v>
      </c>
      <c r="R797" s="325">
        <v>7920</v>
      </c>
      <c r="S797" s="326">
        <v>43465</v>
      </c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</row>
    <row r="798" spans="1:62" s="1" customFormat="1" ht="31.5">
      <c r="A798" s="318">
        <f t="shared" ref="A798:A837" si="213">A797+1</f>
        <v>2</v>
      </c>
      <c r="B798" s="427" t="s">
        <v>540</v>
      </c>
      <c r="C798" s="417">
        <v>1959</v>
      </c>
      <c r="D798" s="321"/>
      <c r="E798" s="321" t="s">
        <v>218</v>
      </c>
      <c r="F798" s="428">
        <v>4</v>
      </c>
      <c r="G798" s="428">
        <v>2</v>
      </c>
      <c r="H798" s="429">
        <v>1363.4</v>
      </c>
      <c r="I798" s="429">
        <v>1254</v>
      </c>
      <c r="J798" s="419">
        <v>1047.7</v>
      </c>
      <c r="K798" s="420">
        <v>65</v>
      </c>
      <c r="L798" s="324">
        <v>1856453</v>
      </c>
      <c r="M798" s="324">
        <v>0</v>
      </c>
      <c r="N798" s="324">
        <v>0</v>
      </c>
      <c r="O798" s="324">
        <f t="shared" si="211"/>
        <v>1856453</v>
      </c>
      <c r="P798" s="324">
        <v>0</v>
      </c>
      <c r="Q798" s="419">
        <f t="shared" si="212"/>
        <v>1480.4250398724082</v>
      </c>
      <c r="R798" s="325">
        <v>7920</v>
      </c>
      <c r="S798" s="326">
        <v>43465</v>
      </c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</row>
    <row r="799" spans="1:62" s="1" customFormat="1" ht="31.5">
      <c r="A799" s="318">
        <f t="shared" si="213"/>
        <v>3</v>
      </c>
      <c r="B799" s="427" t="s">
        <v>541</v>
      </c>
      <c r="C799" s="417">
        <v>1954</v>
      </c>
      <c r="D799" s="321"/>
      <c r="E799" s="321" t="s">
        <v>218</v>
      </c>
      <c r="F799" s="428">
        <v>2</v>
      </c>
      <c r="G799" s="428">
        <v>1</v>
      </c>
      <c r="H799" s="429">
        <v>474.2</v>
      </c>
      <c r="I799" s="429">
        <v>434.9</v>
      </c>
      <c r="J799" s="418">
        <v>373.7</v>
      </c>
      <c r="K799" s="420">
        <v>18</v>
      </c>
      <c r="L799" s="324">
        <v>1518210</v>
      </c>
      <c r="M799" s="324">
        <v>0</v>
      </c>
      <c r="N799" s="324">
        <v>0</v>
      </c>
      <c r="O799" s="324">
        <f t="shared" si="211"/>
        <v>1518210</v>
      </c>
      <c r="P799" s="324">
        <v>0</v>
      </c>
      <c r="Q799" s="419">
        <f t="shared" si="212"/>
        <v>3490.9404460795586</v>
      </c>
      <c r="R799" s="325">
        <v>7920</v>
      </c>
      <c r="S799" s="326">
        <v>43465</v>
      </c>
    </row>
    <row r="800" spans="1:62" s="1" customFormat="1" ht="31.5">
      <c r="A800" s="318">
        <f t="shared" si="213"/>
        <v>4</v>
      </c>
      <c r="B800" s="427" t="s">
        <v>542</v>
      </c>
      <c r="C800" s="417">
        <v>1964</v>
      </c>
      <c r="D800" s="321"/>
      <c r="E800" s="321" t="s">
        <v>218</v>
      </c>
      <c r="F800" s="428">
        <v>2</v>
      </c>
      <c r="G800" s="428">
        <v>2</v>
      </c>
      <c r="H800" s="429">
        <v>509</v>
      </c>
      <c r="I800" s="429">
        <v>450.7</v>
      </c>
      <c r="J800" s="419">
        <v>414.1</v>
      </c>
      <c r="K800" s="420">
        <v>23</v>
      </c>
      <c r="L800" s="324">
        <v>203023</v>
      </c>
      <c r="M800" s="324">
        <v>0</v>
      </c>
      <c r="N800" s="324">
        <v>0</v>
      </c>
      <c r="O800" s="324">
        <f t="shared" si="211"/>
        <v>203023</v>
      </c>
      <c r="P800" s="324">
        <v>0</v>
      </c>
      <c r="Q800" s="419">
        <f t="shared" si="212"/>
        <v>450.46150432660306</v>
      </c>
      <c r="R800" s="325">
        <v>7920</v>
      </c>
      <c r="S800" s="326">
        <v>43465</v>
      </c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</row>
    <row r="801" spans="1:30" s="1" customFormat="1" ht="31.5">
      <c r="A801" s="318">
        <f t="shared" si="213"/>
        <v>5</v>
      </c>
      <c r="B801" s="427" t="s">
        <v>543</v>
      </c>
      <c r="C801" s="417">
        <v>1957</v>
      </c>
      <c r="D801" s="321"/>
      <c r="E801" s="321" t="s">
        <v>218</v>
      </c>
      <c r="F801" s="428">
        <v>2</v>
      </c>
      <c r="G801" s="428">
        <v>3</v>
      </c>
      <c r="H801" s="429">
        <v>1084.2</v>
      </c>
      <c r="I801" s="429">
        <v>1010.2</v>
      </c>
      <c r="J801" s="419">
        <v>1010.2</v>
      </c>
      <c r="K801" s="420">
        <v>37</v>
      </c>
      <c r="L801" s="324">
        <v>2925993</v>
      </c>
      <c r="M801" s="324">
        <v>0</v>
      </c>
      <c r="N801" s="324">
        <v>0</v>
      </c>
      <c r="O801" s="324">
        <f t="shared" si="211"/>
        <v>2925993</v>
      </c>
      <c r="P801" s="324">
        <v>0</v>
      </c>
      <c r="Q801" s="419">
        <f t="shared" si="212"/>
        <v>2896.449217976638</v>
      </c>
      <c r="R801" s="325">
        <v>7920</v>
      </c>
      <c r="S801" s="326">
        <v>43465</v>
      </c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</row>
    <row r="802" spans="1:30" s="10" customFormat="1" ht="31.5">
      <c r="A802" s="318">
        <f t="shared" si="213"/>
        <v>6</v>
      </c>
      <c r="B802" s="427" t="s">
        <v>544</v>
      </c>
      <c r="C802" s="417">
        <v>1964</v>
      </c>
      <c r="D802" s="321"/>
      <c r="E802" s="321" t="s">
        <v>218</v>
      </c>
      <c r="F802" s="428">
        <v>2</v>
      </c>
      <c r="G802" s="428">
        <v>3</v>
      </c>
      <c r="H802" s="429">
        <v>526.6</v>
      </c>
      <c r="I802" s="429">
        <v>467.5</v>
      </c>
      <c r="J802" s="418">
        <v>466</v>
      </c>
      <c r="K802" s="420">
        <v>28</v>
      </c>
      <c r="L802" s="324">
        <v>1413679</v>
      </c>
      <c r="M802" s="324">
        <v>0</v>
      </c>
      <c r="N802" s="324">
        <v>0</v>
      </c>
      <c r="O802" s="324">
        <f t="shared" si="211"/>
        <v>1413679</v>
      </c>
      <c r="P802" s="324">
        <v>0</v>
      </c>
      <c r="Q802" s="419">
        <f t="shared" si="212"/>
        <v>3023.9122994652407</v>
      </c>
      <c r="R802" s="325">
        <v>7920</v>
      </c>
      <c r="S802" s="326">
        <v>43465</v>
      </c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s="10" customFormat="1" ht="31.5">
      <c r="A803" s="318">
        <f t="shared" si="213"/>
        <v>7</v>
      </c>
      <c r="B803" s="427" t="s">
        <v>545</v>
      </c>
      <c r="C803" s="417">
        <v>1988</v>
      </c>
      <c r="D803" s="321"/>
      <c r="E803" s="321" t="s">
        <v>218</v>
      </c>
      <c r="F803" s="428">
        <v>5</v>
      </c>
      <c r="G803" s="428">
        <v>4</v>
      </c>
      <c r="H803" s="429">
        <v>4793</v>
      </c>
      <c r="I803" s="429">
        <v>4322.3999999999996</v>
      </c>
      <c r="J803" s="419">
        <v>4162.7</v>
      </c>
      <c r="K803" s="420">
        <v>165</v>
      </c>
      <c r="L803" s="324">
        <v>3624132</v>
      </c>
      <c r="M803" s="324">
        <v>0</v>
      </c>
      <c r="N803" s="324">
        <v>0</v>
      </c>
      <c r="O803" s="324">
        <f t="shared" si="211"/>
        <v>3624132</v>
      </c>
      <c r="P803" s="324">
        <v>0</v>
      </c>
      <c r="Q803" s="419">
        <f t="shared" si="212"/>
        <v>838.45363686840653</v>
      </c>
      <c r="R803" s="325">
        <v>7920</v>
      </c>
      <c r="S803" s="326">
        <v>43465</v>
      </c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</row>
    <row r="804" spans="1:30" s="48" customFormat="1" ht="31.5">
      <c r="A804" s="318">
        <f t="shared" si="213"/>
        <v>8</v>
      </c>
      <c r="B804" s="427" t="s">
        <v>546</v>
      </c>
      <c r="C804" s="417">
        <v>1974</v>
      </c>
      <c r="D804" s="321"/>
      <c r="E804" s="321" t="s">
        <v>218</v>
      </c>
      <c r="F804" s="428">
        <v>5</v>
      </c>
      <c r="G804" s="428">
        <v>4</v>
      </c>
      <c r="H804" s="429">
        <v>3418.1</v>
      </c>
      <c r="I804" s="429">
        <f>2529+648</f>
        <v>3177</v>
      </c>
      <c r="J804" s="419">
        <v>3133.4</v>
      </c>
      <c r="K804" s="420">
        <v>103</v>
      </c>
      <c r="L804" s="324">
        <v>3091007</v>
      </c>
      <c r="M804" s="324">
        <v>0</v>
      </c>
      <c r="N804" s="324">
        <v>0</v>
      </c>
      <c r="O804" s="324">
        <f t="shared" si="211"/>
        <v>3091007</v>
      </c>
      <c r="P804" s="324">
        <v>0</v>
      </c>
      <c r="Q804" s="419">
        <f t="shared" si="212"/>
        <v>972.93264085615363</v>
      </c>
      <c r="R804" s="325">
        <v>7920</v>
      </c>
      <c r="S804" s="326">
        <v>43465</v>
      </c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</row>
    <row r="805" spans="1:30" s="49" customFormat="1" ht="31.5">
      <c r="A805" s="318">
        <f t="shared" si="213"/>
        <v>9</v>
      </c>
      <c r="B805" s="427" t="s">
        <v>547</v>
      </c>
      <c r="C805" s="417">
        <v>1956</v>
      </c>
      <c r="D805" s="321"/>
      <c r="E805" s="321" t="s">
        <v>218</v>
      </c>
      <c r="F805" s="428">
        <v>2</v>
      </c>
      <c r="G805" s="428">
        <v>2</v>
      </c>
      <c r="H805" s="429">
        <v>653.79999999999995</v>
      </c>
      <c r="I805" s="429">
        <v>604.29999999999995</v>
      </c>
      <c r="J805" s="419">
        <v>602.5</v>
      </c>
      <c r="K805" s="420">
        <v>27</v>
      </c>
      <c r="L805" s="324">
        <v>1720037</v>
      </c>
      <c r="M805" s="324">
        <v>0</v>
      </c>
      <c r="N805" s="324">
        <v>0</v>
      </c>
      <c r="O805" s="324">
        <f t="shared" si="211"/>
        <v>1720037</v>
      </c>
      <c r="P805" s="324">
        <v>0</v>
      </c>
      <c r="Q805" s="419">
        <f t="shared" si="212"/>
        <v>2846.32963759722</v>
      </c>
      <c r="R805" s="325">
        <v>7920</v>
      </c>
      <c r="S805" s="326">
        <v>43465</v>
      </c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</row>
    <row r="806" spans="1:30" s="49" customFormat="1" ht="15.75">
      <c r="A806" s="381"/>
      <c r="B806" s="422"/>
      <c r="C806" s="384"/>
      <c r="D806" s="384"/>
      <c r="E806" s="384"/>
      <c r="F806" s="423"/>
      <c r="G806" s="423"/>
      <c r="H806" s="424"/>
      <c r="I806" s="424"/>
      <c r="J806" s="424"/>
      <c r="K806" s="425"/>
      <c r="L806" s="426"/>
      <c r="M806" s="324"/>
      <c r="N806" s="324"/>
      <c r="O806" s="324"/>
      <c r="P806" s="324"/>
      <c r="Q806" s="419"/>
      <c r="R806" s="325"/>
      <c r="S806" s="326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s="49" customFormat="1" ht="15.75">
      <c r="A807" s="318"/>
      <c r="B807" s="416"/>
      <c r="C807" s="321"/>
      <c r="D807" s="321"/>
      <c r="E807" s="321"/>
      <c r="F807" s="417"/>
      <c r="G807" s="417"/>
      <c r="H807" s="418"/>
      <c r="I807" s="419"/>
      <c r="J807" s="419"/>
      <c r="K807" s="420"/>
      <c r="L807" s="324"/>
      <c r="M807" s="324"/>
      <c r="N807" s="324"/>
      <c r="O807" s="324"/>
      <c r="P807" s="324"/>
      <c r="Q807" s="419"/>
      <c r="R807" s="325"/>
      <c r="S807" s="326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s="49" customFormat="1" ht="15.75">
      <c r="A808" s="318"/>
      <c r="B808" s="878"/>
      <c r="C808" s="321"/>
      <c r="D808" s="321"/>
      <c r="E808" s="321"/>
      <c r="F808" s="417"/>
      <c r="G808" s="417"/>
      <c r="H808" s="418"/>
      <c r="I808" s="419"/>
      <c r="J808" s="419"/>
      <c r="K808" s="420"/>
      <c r="L808" s="324"/>
      <c r="M808" s="324"/>
      <c r="N808" s="324"/>
      <c r="O808" s="324"/>
      <c r="P808" s="324"/>
      <c r="Q808" s="419"/>
      <c r="R808" s="325"/>
      <c r="S808" s="326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</row>
    <row r="809" spans="1:30" s="1" customFormat="1" ht="15.75">
      <c r="A809" s="318"/>
      <c r="B809" s="1359" t="s">
        <v>123</v>
      </c>
      <c r="C809" s="1359"/>
      <c r="D809" s="1359"/>
      <c r="E809" s="1359"/>
      <c r="F809" s="1359"/>
      <c r="G809" s="1359"/>
      <c r="H809" s="341">
        <f>SUM(H810:H814)</f>
        <v>26975.9</v>
      </c>
      <c r="I809" s="341">
        <f t="shared" ref="I809:P809" si="214">SUM(I810:I814)</f>
        <v>18734.5</v>
      </c>
      <c r="J809" s="341">
        <f t="shared" si="214"/>
        <v>11535.880000000001</v>
      </c>
      <c r="K809" s="341">
        <f t="shared" si="214"/>
        <v>1039</v>
      </c>
      <c r="L809" s="675">
        <f t="shared" si="214"/>
        <v>12904489</v>
      </c>
      <c r="M809" s="675">
        <f t="shared" si="214"/>
        <v>0</v>
      </c>
      <c r="N809" s="675">
        <f t="shared" si="214"/>
        <v>0</v>
      </c>
      <c r="O809" s="675">
        <f t="shared" si="214"/>
        <v>12904489</v>
      </c>
      <c r="P809" s="675">
        <f t="shared" si="214"/>
        <v>0</v>
      </c>
      <c r="Q809" s="344" t="s">
        <v>40</v>
      </c>
      <c r="R809" s="340" t="s">
        <v>40</v>
      </c>
      <c r="S809" s="326">
        <v>43465</v>
      </c>
    </row>
    <row r="810" spans="1:30" s="1" customFormat="1" ht="23.45" customHeight="1">
      <c r="A810" s="318">
        <f>A808+1</f>
        <v>1</v>
      </c>
      <c r="B810" s="876" t="s">
        <v>736</v>
      </c>
      <c r="C810" s="375">
        <v>1967</v>
      </c>
      <c r="D810" s="375"/>
      <c r="E810" s="321" t="s">
        <v>219</v>
      </c>
      <c r="F810" s="340">
        <v>5</v>
      </c>
      <c r="G810" s="340">
        <v>5</v>
      </c>
      <c r="H810" s="341">
        <v>4774.3999999999996</v>
      </c>
      <c r="I810" s="340">
        <v>3076.1</v>
      </c>
      <c r="J810" s="340">
        <v>1777.99</v>
      </c>
      <c r="K810" s="378">
        <v>167</v>
      </c>
      <c r="L810" s="324">
        <v>2291418</v>
      </c>
      <c r="M810" s="324">
        <f>SUM(M811:M824)</f>
        <v>0</v>
      </c>
      <c r="N810" s="324">
        <v>0</v>
      </c>
      <c r="O810" s="324">
        <f>L810</f>
        <v>2291418</v>
      </c>
      <c r="P810" s="324">
        <v>0</v>
      </c>
      <c r="Q810" s="344">
        <f t="shared" ref="Q810:Q824" si="215">L810/I810</f>
        <v>744.91011345534935</v>
      </c>
      <c r="R810" s="325">
        <v>7920</v>
      </c>
      <c r="S810" s="326">
        <v>43465</v>
      </c>
    </row>
    <row r="811" spans="1:30" s="1" customFormat="1" ht="19.149999999999999" customHeight="1">
      <c r="A811" s="318">
        <f t="shared" si="213"/>
        <v>2</v>
      </c>
      <c r="B811" s="876" t="s">
        <v>737</v>
      </c>
      <c r="C811" s="375">
        <v>1968</v>
      </c>
      <c r="D811" s="375"/>
      <c r="E811" s="321" t="s">
        <v>219</v>
      </c>
      <c r="F811" s="340">
        <v>5</v>
      </c>
      <c r="G811" s="340">
        <v>6</v>
      </c>
      <c r="H811" s="341">
        <v>5788.6</v>
      </c>
      <c r="I811" s="340">
        <v>4355.8</v>
      </c>
      <c r="J811" s="340">
        <v>2217.1</v>
      </c>
      <c r="K811" s="378">
        <v>263</v>
      </c>
      <c r="L811" s="324">
        <v>3059197</v>
      </c>
      <c r="M811" s="324">
        <f>SUM(M812:M825)</f>
        <v>0</v>
      </c>
      <c r="N811" s="324">
        <v>0</v>
      </c>
      <c r="O811" s="324">
        <f>L811</f>
        <v>3059197</v>
      </c>
      <c r="P811" s="324">
        <v>0</v>
      </c>
      <c r="Q811" s="344">
        <f t="shared" si="215"/>
        <v>702.32724183846824</v>
      </c>
      <c r="R811" s="325">
        <v>7920</v>
      </c>
      <c r="S811" s="326">
        <v>43465</v>
      </c>
    </row>
    <row r="812" spans="1:30" s="1" customFormat="1" ht="21.6" customHeight="1">
      <c r="A812" s="318">
        <f t="shared" si="213"/>
        <v>3</v>
      </c>
      <c r="B812" s="876" t="s">
        <v>738</v>
      </c>
      <c r="C812" s="375">
        <v>1975</v>
      </c>
      <c r="D812" s="340"/>
      <c r="E812" s="321" t="s">
        <v>219</v>
      </c>
      <c r="F812" s="340">
        <v>5</v>
      </c>
      <c r="G812" s="340">
        <v>5</v>
      </c>
      <c r="H812" s="341">
        <v>5315.1</v>
      </c>
      <c r="I812" s="340">
        <v>3456.7</v>
      </c>
      <c r="J812" s="340">
        <v>2288.34</v>
      </c>
      <c r="K812" s="378">
        <v>175</v>
      </c>
      <c r="L812" s="324">
        <v>2247330</v>
      </c>
      <c r="M812" s="324">
        <f>SUM(M813:M826)</f>
        <v>0</v>
      </c>
      <c r="N812" s="324">
        <v>0</v>
      </c>
      <c r="O812" s="324">
        <f>L812</f>
        <v>2247330</v>
      </c>
      <c r="P812" s="324">
        <v>0</v>
      </c>
      <c r="Q812" s="344">
        <f t="shared" si="215"/>
        <v>650.13741429687275</v>
      </c>
      <c r="R812" s="325">
        <v>7920</v>
      </c>
      <c r="S812" s="326">
        <v>43465</v>
      </c>
    </row>
    <row r="813" spans="1:30" s="1" customFormat="1" ht="19.149999999999999" customHeight="1">
      <c r="A813" s="318">
        <f t="shared" si="213"/>
        <v>4</v>
      </c>
      <c r="B813" s="876" t="s">
        <v>739</v>
      </c>
      <c r="C813" s="375">
        <v>1967</v>
      </c>
      <c r="D813" s="340"/>
      <c r="E813" s="321" t="s">
        <v>219</v>
      </c>
      <c r="F813" s="340">
        <v>5</v>
      </c>
      <c r="G813" s="340">
        <v>6</v>
      </c>
      <c r="H813" s="341">
        <v>5774.2</v>
      </c>
      <c r="I813" s="340">
        <v>4340.7</v>
      </c>
      <c r="J813" s="340">
        <v>2339.63</v>
      </c>
      <c r="K813" s="378">
        <v>255</v>
      </c>
      <c r="L813" s="324">
        <v>3059179</v>
      </c>
      <c r="M813" s="324">
        <f>SUM(M814:M827)</f>
        <v>0</v>
      </c>
      <c r="N813" s="324">
        <v>0</v>
      </c>
      <c r="O813" s="324">
        <f>L813</f>
        <v>3059179</v>
      </c>
      <c r="P813" s="324">
        <v>0</v>
      </c>
      <c r="Q813" s="344">
        <f t="shared" si="215"/>
        <v>704.76628193609326</v>
      </c>
      <c r="R813" s="325">
        <v>7920</v>
      </c>
      <c r="S813" s="326">
        <v>43465</v>
      </c>
    </row>
    <row r="814" spans="1:30" s="1" customFormat="1" ht="21.6" customHeight="1">
      <c r="A814" s="318">
        <f t="shared" si="213"/>
        <v>5</v>
      </c>
      <c r="B814" s="876" t="s">
        <v>740</v>
      </c>
      <c r="C814" s="375">
        <v>1988</v>
      </c>
      <c r="D814" s="340"/>
      <c r="E814" s="321" t="s">
        <v>219</v>
      </c>
      <c r="F814" s="340">
        <v>5</v>
      </c>
      <c r="G814" s="340">
        <v>5</v>
      </c>
      <c r="H814" s="341">
        <v>5323.6</v>
      </c>
      <c r="I814" s="340">
        <v>3505.2</v>
      </c>
      <c r="J814" s="340">
        <v>2912.82</v>
      </c>
      <c r="K814" s="378">
        <v>179</v>
      </c>
      <c r="L814" s="324">
        <v>2247365</v>
      </c>
      <c r="M814" s="324">
        <f>SUM(M815:M828)</f>
        <v>0</v>
      </c>
      <c r="N814" s="324">
        <v>0</v>
      </c>
      <c r="O814" s="324">
        <f>L814</f>
        <v>2247365</v>
      </c>
      <c r="P814" s="324">
        <v>0</v>
      </c>
      <c r="Q814" s="344">
        <f t="shared" si="215"/>
        <v>641.15171744836243</v>
      </c>
      <c r="R814" s="325">
        <v>7920</v>
      </c>
      <c r="S814" s="326">
        <v>43465</v>
      </c>
    </row>
    <row r="815" spans="1:30" s="1" customFormat="1" ht="15.75">
      <c r="A815" s="318"/>
      <c r="B815" s="876"/>
      <c r="C815" s="375"/>
      <c r="D815" s="340"/>
      <c r="E815" s="321"/>
      <c r="F815" s="340"/>
      <c r="G815" s="340"/>
      <c r="H815" s="341"/>
      <c r="I815" s="340"/>
      <c r="J815" s="340"/>
      <c r="K815" s="378"/>
      <c r="L815" s="324"/>
      <c r="M815" s="324"/>
      <c r="N815" s="324"/>
      <c r="O815" s="324"/>
      <c r="P815" s="324"/>
      <c r="Q815" s="344"/>
      <c r="R815" s="325"/>
      <c r="S815" s="326">
        <v>43465</v>
      </c>
    </row>
    <row r="816" spans="1:30" s="1" customFormat="1" ht="15.75">
      <c r="A816" s="318"/>
      <c r="B816" s="876"/>
      <c r="C816" s="645"/>
      <c r="D816" s="340"/>
      <c r="E816" s="321"/>
      <c r="F816" s="340"/>
      <c r="G816" s="340"/>
      <c r="H816" s="341"/>
      <c r="I816" s="340"/>
      <c r="J816" s="340"/>
      <c r="K816" s="378"/>
      <c r="L816" s="324"/>
      <c r="M816" s="324"/>
      <c r="N816" s="324"/>
      <c r="O816" s="324"/>
      <c r="P816" s="324"/>
      <c r="Q816" s="344"/>
      <c r="R816" s="325"/>
      <c r="S816" s="326">
        <v>43465</v>
      </c>
    </row>
    <row r="817" spans="1:19" s="1" customFormat="1" ht="15.75">
      <c r="A817" s="318"/>
      <c r="B817" s="876"/>
      <c r="C817" s="645"/>
      <c r="D817" s="340"/>
      <c r="E817" s="321"/>
      <c r="F817" s="340"/>
      <c r="G817" s="340"/>
      <c r="H817" s="341"/>
      <c r="I817" s="340"/>
      <c r="J817" s="340"/>
      <c r="K817" s="378"/>
      <c r="L817" s="324"/>
      <c r="M817" s="324"/>
      <c r="N817" s="324"/>
      <c r="O817" s="324"/>
      <c r="P817" s="324"/>
      <c r="Q817" s="344"/>
      <c r="R817" s="325"/>
      <c r="S817" s="326">
        <v>43465</v>
      </c>
    </row>
    <row r="818" spans="1:19" s="1" customFormat="1" ht="15.75">
      <c r="A818" s="318"/>
      <c r="B818" s="876"/>
      <c r="C818" s="375"/>
      <c r="D818" s="340"/>
      <c r="E818" s="321"/>
      <c r="F818" s="340"/>
      <c r="G818" s="340"/>
      <c r="H818" s="341"/>
      <c r="I818" s="340"/>
      <c r="J818" s="340"/>
      <c r="K818" s="378"/>
      <c r="L818" s="324"/>
      <c r="M818" s="324"/>
      <c r="N818" s="324"/>
      <c r="O818" s="324"/>
      <c r="P818" s="324"/>
      <c r="Q818" s="344"/>
      <c r="R818" s="325"/>
      <c r="S818" s="326">
        <v>43465</v>
      </c>
    </row>
    <row r="819" spans="1:19" s="1" customFormat="1" ht="15.75">
      <c r="A819" s="318"/>
      <c r="B819" s="876"/>
      <c r="C819" s="375"/>
      <c r="D819" s="340"/>
      <c r="E819" s="321"/>
      <c r="F819" s="340"/>
      <c r="G819" s="340"/>
      <c r="H819" s="341"/>
      <c r="I819" s="340"/>
      <c r="J819" s="340"/>
      <c r="K819" s="378"/>
      <c r="L819" s="324"/>
      <c r="M819" s="324"/>
      <c r="N819" s="324"/>
      <c r="O819" s="324"/>
      <c r="P819" s="324"/>
      <c r="Q819" s="344"/>
      <c r="R819" s="325"/>
      <c r="S819" s="326">
        <v>43465</v>
      </c>
    </row>
    <row r="820" spans="1:19" s="1" customFormat="1" ht="15.75">
      <c r="A820" s="318"/>
      <c r="B820" s="876"/>
      <c r="C820" s="375"/>
      <c r="D820" s="340"/>
      <c r="E820" s="321"/>
      <c r="F820" s="340"/>
      <c r="G820" s="340"/>
      <c r="H820" s="341"/>
      <c r="I820" s="340"/>
      <c r="J820" s="340"/>
      <c r="K820" s="378"/>
      <c r="L820" s="324"/>
      <c r="M820" s="324"/>
      <c r="N820" s="324"/>
      <c r="O820" s="324"/>
      <c r="P820" s="324"/>
      <c r="Q820" s="344"/>
      <c r="R820" s="325"/>
      <c r="S820" s="326">
        <v>43465</v>
      </c>
    </row>
    <row r="821" spans="1:19" s="1" customFormat="1" ht="15.75">
      <c r="A821" s="318"/>
      <c r="B821" s="876"/>
      <c r="C821" s="375"/>
      <c r="D821" s="340"/>
      <c r="E821" s="321"/>
      <c r="F821" s="340"/>
      <c r="G821" s="340"/>
      <c r="H821" s="341"/>
      <c r="I821" s="340"/>
      <c r="J821" s="340"/>
      <c r="K821" s="378"/>
      <c r="L821" s="324"/>
      <c r="M821" s="324"/>
      <c r="N821" s="324"/>
      <c r="O821" s="324"/>
      <c r="P821" s="324"/>
      <c r="Q821" s="344"/>
      <c r="R821" s="325"/>
      <c r="S821" s="326">
        <v>43465</v>
      </c>
    </row>
    <row r="822" spans="1:19" s="1" customFormat="1" ht="23.45" customHeight="1">
      <c r="A822" s="318"/>
      <c r="B822" s="1359" t="s">
        <v>864</v>
      </c>
      <c r="C822" s="1359"/>
      <c r="D822" s="1359"/>
      <c r="E822" s="1359"/>
      <c r="F822" s="1359"/>
      <c r="G822" s="1359"/>
      <c r="H822" s="341">
        <f>H823+H824</f>
        <v>5260.1</v>
      </c>
      <c r="I822" s="341">
        <f t="shared" ref="I822:P822" si="216">I823+I824</f>
        <v>4037.1</v>
      </c>
      <c r="J822" s="341">
        <f t="shared" si="216"/>
        <v>3675.3</v>
      </c>
      <c r="K822" s="341">
        <f t="shared" si="216"/>
        <v>160</v>
      </c>
      <c r="L822" s="675">
        <f t="shared" si="216"/>
        <v>3651703</v>
      </c>
      <c r="M822" s="675">
        <f t="shared" si="216"/>
        <v>0</v>
      </c>
      <c r="N822" s="675">
        <f t="shared" si="216"/>
        <v>0</v>
      </c>
      <c r="O822" s="675">
        <f t="shared" si="216"/>
        <v>3651703</v>
      </c>
      <c r="P822" s="675">
        <f t="shared" si="216"/>
        <v>0</v>
      </c>
      <c r="Q822" s="344" t="s">
        <v>40</v>
      </c>
      <c r="R822" s="340" t="s">
        <v>40</v>
      </c>
      <c r="S822" s="326">
        <v>43465</v>
      </c>
    </row>
    <row r="823" spans="1:19" s="1" customFormat="1" ht="31.5">
      <c r="A823" s="318"/>
      <c r="B823" s="913" t="s">
        <v>867</v>
      </c>
      <c r="C823" s="375">
        <v>1964</v>
      </c>
      <c r="D823" s="340"/>
      <c r="E823" s="321" t="s">
        <v>218</v>
      </c>
      <c r="F823" s="340">
        <v>4</v>
      </c>
      <c r="G823" s="340">
        <v>3</v>
      </c>
      <c r="H823" s="341">
        <v>2597.5</v>
      </c>
      <c r="I823" s="340">
        <v>2042</v>
      </c>
      <c r="J823" s="340">
        <v>1921.8</v>
      </c>
      <c r="K823" s="378">
        <v>82</v>
      </c>
      <c r="L823" s="324">
        <v>2505179</v>
      </c>
      <c r="M823" s="324">
        <v>0</v>
      </c>
      <c r="N823" s="324">
        <v>0</v>
      </c>
      <c r="O823" s="324">
        <v>2505179</v>
      </c>
      <c r="P823" s="324">
        <v>0</v>
      </c>
      <c r="Q823" s="344">
        <f t="shared" si="215"/>
        <v>1226.8261508325172</v>
      </c>
      <c r="R823" s="325">
        <v>7920</v>
      </c>
      <c r="S823" s="326">
        <v>43465</v>
      </c>
    </row>
    <row r="824" spans="1:19" s="1" customFormat="1" ht="31.5">
      <c r="A824" s="318"/>
      <c r="B824" s="913" t="s">
        <v>868</v>
      </c>
      <c r="C824" s="375">
        <v>1962</v>
      </c>
      <c r="D824" s="340"/>
      <c r="E824" s="321" t="s">
        <v>218</v>
      </c>
      <c r="F824" s="340">
        <v>4</v>
      </c>
      <c r="G824" s="340">
        <v>3</v>
      </c>
      <c r="H824" s="341">
        <v>2662.6</v>
      </c>
      <c r="I824" s="340">
        <v>1995.1</v>
      </c>
      <c r="J824" s="340">
        <v>1753.5</v>
      </c>
      <c r="K824" s="378">
        <v>78</v>
      </c>
      <c r="L824" s="324">
        <v>1146524</v>
      </c>
      <c r="M824" s="324">
        <v>0</v>
      </c>
      <c r="N824" s="324">
        <v>0</v>
      </c>
      <c r="O824" s="324">
        <v>1146524</v>
      </c>
      <c r="P824" s="324">
        <v>0</v>
      </c>
      <c r="Q824" s="344">
        <f t="shared" si="215"/>
        <v>574.66994135632297</v>
      </c>
      <c r="R824" s="325">
        <v>7920</v>
      </c>
      <c r="S824" s="326">
        <v>43465</v>
      </c>
    </row>
    <row r="825" spans="1:19" s="16" customFormat="1" ht="25.15" customHeight="1">
      <c r="A825" s="318"/>
      <c r="B825" s="1359" t="s">
        <v>72</v>
      </c>
      <c r="C825" s="1359"/>
      <c r="D825" s="1359"/>
      <c r="E825" s="1359"/>
      <c r="F825" s="1359"/>
      <c r="G825" s="1359"/>
      <c r="H825" s="341">
        <f>H826</f>
        <v>3267.2000000000003</v>
      </c>
      <c r="I825" s="340">
        <f t="shared" ref="I825:R825" si="217">I826</f>
        <v>2464.1</v>
      </c>
      <c r="J825" s="340">
        <f t="shared" si="217"/>
        <v>1697.4</v>
      </c>
      <c r="K825" s="343">
        <f t="shared" si="217"/>
        <v>71</v>
      </c>
      <c r="L825" s="324">
        <f t="shared" si="217"/>
        <v>4218095</v>
      </c>
      <c r="M825" s="324">
        <f t="shared" si="217"/>
        <v>0</v>
      </c>
      <c r="N825" s="324">
        <f t="shared" si="217"/>
        <v>0</v>
      </c>
      <c r="O825" s="324">
        <f t="shared" si="217"/>
        <v>4218095</v>
      </c>
      <c r="P825" s="324">
        <f t="shared" si="217"/>
        <v>0</v>
      </c>
      <c r="Q825" s="344" t="str">
        <f t="shared" si="217"/>
        <v>Х</v>
      </c>
      <c r="R825" s="340" t="str">
        <f t="shared" si="217"/>
        <v>Х</v>
      </c>
      <c r="S825" s="326">
        <v>43465</v>
      </c>
    </row>
    <row r="826" spans="1:19" s="16" customFormat="1" ht="33" customHeight="1">
      <c r="A826" s="318"/>
      <c r="B826" s="1359" t="s">
        <v>95</v>
      </c>
      <c r="C826" s="1359"/>
      <c r="D826" s="1359"/>
      <c r="E826" s="1359"/>
      <c r="F826" s="1359"/>
      <c r="G826" s="1359"/>
      <c r="H826" s="341">
        <f>SUM(H827:H828)</f>
        <v>3267.2000000000003</v>
      </c>
      <c r="I826" s="341">
        <f t="shared" ref="I826:P826" si="218">SUM(I827:I828)</f>
        <v>2464.1</v>
      </c>
      <c r="J826" s="341">
        <f t="shared" si="218"/>
        <v>1697.4</v>
      </c>
      <c r="K826" s="341">
        <f t="shared" si="218"/>
        <v>71</v>
      </c>
      <c r="L826" s="821">
        <f t="shared" si="218"/>
        <v>4218095</v>
      </c>
      <c r="M826" s="821">
        <f t="shared" si="218"/>
        <v>0</v>
      </c>
      <c r="N826" s="821">
        <f t="shared" si="218"/>
        <v>0</v>
      </c>
      <c r="O826" s="821">
        <f t="shared" si="218"/>
        <v>4218095</v>
      </c>
      <c r="P826" s="821">
        <f t="shared" si="218"/>
        <v>0</v>
      </c>
      <c r="Q826" s="344" t="s">
        <v>40</v>
      </c>
      <c r="R826" s="375" t="s">
        <v>40</v>
      </c>
      <c r="S826" s="326">
        <v>43465</v>
      </c>
    </row>
    <row r="827" spans="1:19" s="1" customFormat="1" ht="20.45" customHeight="1">
      <c r="A827" s="318" t="e">
        <f>#REF!+1</f>
        <v>#REF!</v>
      </c>
      <c r="B827" s="336" t="s">
        <v>627</v>
      </c>
      <c r="C827" s="320">
        <v>1984</v>
      </c>
      <c r="D827" s="320"/>
      <c r="E827" s="321" t="s">
        <v>220</v>
      </c>
      <c r="F827" s="320">
        <v>5</v>
      </c>
      <c r="G827" s="320">
        <v>3</v>
      </c>
      <c r="H827" s="322">
        <v>2845.8</v>
      </c>
      <c r="I827" s="320">
        <v>2090.6999999999998</v>
      </c>
      <c r="J827" s="360">
        <v>1373.7</v>
      </c>
      <c r="K827" s="323">
        <v>49</v>
      </c>
      <c r="L827" s="324">
        <v>2605488</v>
      </c>
      <c r="M827" s="324">
        <v>0</v>
      </c>
      <c r="N827" s="324">
        <v>0</v>
      </c>
      <c r="O827" s="324">
        <f>L827</f>
        <v>2605488</v>
      </c>
      <c r="P827" s="324">
        <v>0</v>
      </c>
      <c r="Q827" s="325">
        <f t="shared" ref="Q827:Q828" si="219">L827/I827</f>
        <v>1246.2275792796672</v>
      </c>
      <c r="R827" s="617">
        <v>7920</v>
      </c>
      <c r="S827" s="326">
        <v>43465</v>
      </c>
    </row>
    <row r="828" spans="1:19" s="1" customFormat="1" ht="31.5">
      <c r="A828" s="318" t="e">
        <f t="shared" si="213"/>
        <v>#REF!</v>
      </c>
      <c r="B828" s="336" t="s">
        <v>624</v>
      </c>
      <c r="C828" s="320">
        <v>1970</v>
      </c>
      <c r="D828" s="320"/>
      <c r="E828" s="321" t="s">
        <v>218</v>
      </c>
      <c r="F828" s="320">
        <v>2</v>
      </c>
      <c r="G828" s="320">
        <v>2</v>
      </c>
      <c r="H828" s="322">
        <v>421.4</v>
      </c>
      <c r="I828" s="320">
        <v>373.4</v>
      </c>
      <c r="J828" s="360">
        <v>323.7</v>
      </c>
      <c r="K828" s="323">
        <v>22</v>
      </c>
      <c r="L828" s="324">
        <v>1612607</v>
      </c>
      <c r="M828" s="324">
        <v>0</v>
      </c>
      <c r="N828" s="324">
        <v>0</v>
      </c>
      <c r="O828" s="324">
        <f>L828</f>
        <v>1612607</v>
      </c>
      <c r="P828" s="324">
        <v>0</v>
      </c>
      <c r="Q828" s="325">
        <f t="shared" si="219"/>
        <v>4318.7118371719334</v>
      </c>
      <c r="R828" s="617">
        <v>7920</v>
      </c>
      <c r="S828" s="326">
        <v>43465</v>
      </c>
    </row>
    <row r="829" spans="1:19" s="1" customFormat="1" ht="15.75">
      <c r="A829" s="318"/>
      <c r="B829" s="336"/>
      <c r="C829" s="320"/>
      <c r="D829" s="320"/>
      <c r="E829" s="321"/>
      <c r="F829" s="320"/>
      <c r="G829" s="320"/>
      <c r="H829" s="322"/>
      <c r="I829" s="320"/>
      <c r="J829" s="320"/>
      <c r="K829" s="323"/>
      <c r="L829" s="324"/>
      <c r="M829" s="324"/>
      <c r="N829" s="324"/>
      <c r="O829" s="324"/>
      <c r="P829" s="324"/>
      <c r="Q829" s="325"/>
      <c r="R829" s="325"/>
      <c r="S829" s="326"/>
    </row>
    <row r="830" spans="1:19" s="1" customFormat="1" ht="15.75">
      <c r="A830" s="318"/>
      <c r="B830" s="336"/>
      <c r="C830" s="320"/>
      <c r="D830" s="320"/>
      <c r="E830" s="321"/>
      <c r="F830" s="320"/>
      <c r="G830" s="320"/>
      <c r="H830" s="322"/>
      <c r="I830" s="320"/>
      <c r="J830" s="320"/>
      <c r="K830" s="323"/>
      <c r="L830" s="324"/>
      <c r="M830" s="324"/>
      <c r="N830" s="324"/>
      <c r="O830" s="324"/>
      <c r="P830" s="324"/>
      <c r="Q830" s="325"/>
      <c r="R830" s="325"/>
      <c r="S830" s="326"/>
    </row>
    <row r="831" spans="1:19" s="1" customFormat="1" ht="15.75">
      <c r="A831" s="318"/>
      <c r="B831" s="336"/>
      <c r="C831" s="320"/>
      <c r="D831" s="320"/>
      <c r="E831" s="321"/>
      <c r="F831" s="320"/>
      <c r="G831" s="320"/>
      <c r="H831" s="322"/>
      <c r="I831" s="320"/>
      <c r="J831" s="320"/>
      <c r="K831" s="323"/>
      <c r="L831" s="324"/>
      <c r="M831" s="324"/>
      <c r="N831" s="324"/>
      <c r="O831" s="324"/>
      <c r="P831" s="324"/>
      <c r="Q831" s="325"/>
      <c r="R831" s="325"/>
      <c r="S831" s="326"/>
    </row>
    <row r="832" spans="1:19" s="1" customFormat="1" ht="15.75">
      <c r="A832" s="318"/>
      <c r="B832" s="336"/>
      <c r="C832" s="320"/>
      <c r="D832" s="320"/>
      <c r="E832" s="321"/>
      <c r="F832" s="320"/>
      <c r="G832" s="320"/>
      <c r="H832" s="322"/>
      <c r="I832" s="320"/>
      <c r="J832" s="320"/>
      <c r="K832" s="323"/>
      <c r="L832" s="324"/>
      <c r="M832" s="324"/>
      <c r="N832" s="324"/>
      <c r="O832" s="324"/>
      <c r="P832" s="324"/>
      <c r="Q832" s="325"/>
      <c r="R832" s="325"/>
      <c r="S832" s="326"/>
    </row>
    <row r="833" spans="1:34" s="1" customFormat="1" ht="15.75">
      <c r="A833" s="318"/>
      <c r="B833" s="336"/>
      <c r="C833" s="320"/>
      <c r="D833" s="320"/>
      <c r="E833" s="321"/>
      <c r="F833" s="320"/>
      <c r="G833" s="320"/>
      <c r="H833" s="322"/>
      <c r="I833" s="320"/>
      <c r="J833" s="360"/>
      <c r="K833" s="323"/>
      <c r="L833" s="324"/>
      <c r="M833" s="324"/>
      <c r="N833" s="324"/>
      <c r="O833" s="324"/>
      <c r="P833" s="324"/>
      <c r="Q833" s="325"/>
      <c r="R833" s="325"/>
      <c r="S833" s="326"/>
    </row>
    <row r="834" spans="1:34" s="1" customFormat="1" ht="15.75" customHeight="1">
      <c r="A834" s="107"/>
      <c r="B834" s="1348" t="s">
        <v>41</v>
      </c>
      <c r="C834" s="1348"/>
      <c r="D834" s="1348"/>
      <c r="E834" s="1348"/>
      <c r="F834" s="1348"/>
      <c r="G834" s="1348"/>
      <c r="H834" s="111">
        <f>H835</f>
        <v>4403.5</v>
      </c>
      <c r="I834" s="111">
        <f t="shared" ref="I834:P834" si="220">I835</f>
        <v>3444.7999999999997</v>
      </c>
      <c r="J834" s="111">
        <f t="shared" si="220"/>
        <v>3007.7999999999997</v>
      </c>
      <c r="K834" s="112">
        <f t="shared" si="220"/>
        <v>191</v>
      </c>
      <c r="L834" s="113">
        <f t="shared" si="220"/>
        <v>9289441</v>
      </c>
      <c r="M834" s="113">
        <f t="shared" si="220"/>
        <v>0</v>
      </c>
      <c r="N834" s="113">
        <f t="shared" si="220"/>
        <v>0</v>
      </c>
      <c r="O834" s="113">
        <f t="shared" si="220"/>
        <v>9289441</v>
      </c>
      <c r="P834" s="113">
        <f t="shared" si="220"/>
        <v>0</v>
      </c>
      <c r="Q834" s="114" t="s">
        <v>40</v>
      </c>
      <c r="R834" s="126" t="s">
        <v>40</v>
      </c>
      <c r="S834" s="326">
        <v>43465</v>
      </c>
    </row>
    <row r="835" spans="1:34" s="1" customFormat="1" ht="15.75" customHeight="1">
      <c r="A835" s="107"/>
      <c r="B835" s="1349" t="s">
        <v>96</v>
      </c>
      <c r="C835" s="1349"/>
      <c r="D835" s="1348"/>
      <c r="E835" s="1348"/>
      <c r="F835" s="1349"/>
      <c r="G835" s="1349"/>
      <c r="H835" s="628">
        <f>SUM(H836:H840)</f>
        <v>4403.5</v>
      </c>
      <c r="I835" s="628">
        <f>SUM(I836:I840)</f>
        <v>3444.7999999999997</v>
      </c>
      <c r="J835" s="628">
        <f>SUM(J836:J840)</f>
        <v>3007.7999999999997</v>
      </c>
      <c r="K835" s="776">
        <f>SUM(K836:K840)</f>
        <v>191</v>
      </c>
      <c r="L835" s="658">
        <f>SUM(L836:L840)</f>
        <v>9289441</v>
      </c>
      <c r="M835" s="113">
        <f t="shared" ref="M835:P835" si="221">SUM(M836:M840)</f>
        <v>0</v>
      </c>
      <c r="N835" s="113">
        <f t="shared" si="221"/>
        <v>0</v>
      </c>
      <c r="O835" s="113">
        <f t="shared" si="221"/>
        <v>9289441</v>
      </c>
      <c r="P835" s="113">
        <f t="shared" si="221"/>
        <v>0</v>
      </c>
      <c r="Q835" s="114" t="s">
        <v>40</v>
      </c>
      <c r="R835" s="126" t="s">
        <v>40</v>
      </c>
      <c r="S835" s="326">
        <v>43465</v>
      </c>
    </row>
    <row r="836" spans="1:34" s="1" customFormat="1" ht="31.5">
      <c r="A836" s="631">
        <f>A833+1</f>
        <v>1</v>
      </c>
      <c r="B836" s="774" t="s">
        <v>825</v>
      </c>
      <c r="C836" s="769">
        <v>1969</v>
      </c>
      <c r="D836" s="761"/>
      <c r="E836" s="611" t="s">
        <v>218</v>
      </c>
      <c r="F836" s="769">
        <v>4</v>
      </c>
      <c r="G836" s="769">
        <v>3</v>
      </c>
      <c r="H836" s="767">
        <v>1913.2</v>
      </c>
      <c r="I836" s="767">
        <v>1395.6</v>
      </c>
      <c r="J836" s="767">
        <f>I836-118.1</f>
        <v>1277.5</v>
      </c>
      <c r="K836" s="769">
        <v>84</v>
      </c>
      <c r="L836" s="773">
        <v>1058186</v>
      </c>
      <c r="M836" s="655">
        <v>0</v>
      </c>
      <c r="N836" s="113">
        <v>0</v>
      </c>
      <c r="O836" s="113">
        <f>L836</f>
        <v>1058186</v>
      </c>
      <c r="P836" s="113">
        <v>0</v>
      </c>
      <c r="Q836" s="114">
        <f>L836/I836</f>
        <v>758.23015190599028</v>
      </c>
      <c r="R836" s="114">
        <v>7920</v>
      </c>
      <c r="S836" s="326">
        <v>43465</v>
      </c>
    </row>
    <row r="837" spans="1:34" s="1" customFormat="1" ht="31.5">
      <c r="A837" s="631">
        <f t="shared" si="213"/>
        <v>2</v>
      </c>
      <c r="B837" s="775" t="s">
        <v>826</v>
      </c>
      <c r="C837" s="769">
        <v>1957</v>
      </c>
      <c r="D837" s="761"/>
      <c r="E837" s="611" t="s">
        <v>830</v>
      </c>
      <c r="F837" s="769">
        <v>2</v>
      </c>
      <c r="G837" s="769">
        <v>2</v>
      </c>
      <c r="H837" s="767">
        <v>426.8</v>
      </c>
      <c r="I837" s="767">
        <v>395</v>
      </c>
      <c r="J837" s="767">
        <f>I837-95.1</f>
        <v>299.89999999999998</v>
      </c>
      <c r="K837" s="769">
        <v>20</v>
      </c>
      <c r="L837" s="773">
        <v>1264714</v>
      </c>
      <c r="M837" s="655">
        <v>0</v>
      </c>
      <c r="N837" s="113">
        <v>0</v>
      </c>
      <c r="O837" s="113">
        <f t="shared" ref="O837:O840" si="222">L837</f>
        <v>1264714</v>
      </c>
      <c r="P837" s="113">
        <v>0</v>
      </c>
      <c r="Q837" s="114">
        <f>L837/I837</f>
        <v>3201.8075949367089</v>
      </c>
      <c r="R837" s="114">
        <v>7920</v>
      </c>
      <c r="S837" s="326">
        <v>43465</v>
      </c>
    </row>
    <row r="838" spans="1:34" s="1" customFormat="1" ht="31.5">
      <c r="A838" s="631">
        <f>A837+1</f>
        <v>3</v>
      </c>
      <c r="B838" s="774" t="s">
        <v>827</v>
      </c>
      <c r="C838" s="769">
        <v>1956</v>
      </c>
      <c r="D838" s="761"/>
      <c r="E838" s="611" t="s">
        <v>218</v>
      </c>
      <c r="F838" s="769">
        <v>2</v>
      </c>
      <c r="G838" s="769">
        <v>1</v>
      </c>
      <c r="H838" s="767">
        <v>960</v>
      </c>
      <c r="I838" s="767">
        <v>572.1</v>
      </c>
      <c r="J838" s="767">
        <f>I838-196.3</f>
        <v>375.8</v>
      </c>
      <c r="K838" s="769">
        <v>40</v>
      </c>
      <c r="L838" s="773">
        <v>3274864</v>
      </c>
      <c r="M838" s="655">
        <v>0</v>
      </c>
      <c r="N838" s="113">
        <v>0</v>
      </c>
      <c r="O838" s="113">
        <f t="shared" si="222"/>
        <v>3274864</v>
      </c>
      <c r="P838" s="113">
        <v>0</v>
      </c>
      <c r="Q838" s="114">
        <f>L838/I838</f>
        <v>5724.285963992309</v>
      </c>
      <c r="R838" s="114">
        <v>7920</v>
      </c>
      <c r="S838" s="326">
        <v>43465</v>
      </c>
    </row>
    <row r="839" spans="1:34" s="1" customFormat="1" ht="31.5">
      <c r="A839" s="631">
        <f t="shared" ref="A839:A840" si="223">A838+1</f>
        <v>4</v>
      </c>
      <c r="B839" s="774" t="s">
        <v>828</v>
      </c>
      <c r="C839" s="769">
        <v>1952</v>
      </c>
      <c r="D839" s="761"/>
      <c r="E839" s="611" t="s">
        <v>218</v>
      </c>
      <c r="F839" s="769">
        <v>2</v>
      </c>
      <c r="G839" s="769">
        <v>2</v>
      </c>
      <c r="H839" s="767">
        <v>715.8</v>
      </c>
      <c r="I839" s="767">
        <v>712</v>
      </c>
      <c r="J839" s="767">
        <f>I839-27.5</f>
        <v>684.5</v>
      </c>
      <c r="K839" s="769">
        <v>32</v>
      </c>
      <c r="L839" s="773">
        <v>2082655</v>
      </c>
      <c r="M839" s="655">
        <v>0</v>
      </c>
      <c r="N839" s="113">
        <v>0</v>
      </c>
      <c r="O839" s="113">
        <f t="shared" si="222"/>
        <v>2082655</v>
      </c>
      <c r="P839" s="113">
        <v>0</v>
      </c>
      <c r="Q839" s="114">
        <f>L839/I839</f>
        <v>2925.0772471910113</v>
      </c>
      <c r="R839" s="114">
        <v>7920</v>
      </c>
      <c r="S839" s="326">
        <v>43465</v>
      </c>
    </row>
    <row r="840" spans="1:34" s="1" customFormat="1" ht="31.5">
      <c r="A840" s="631">
        <f t="shared" si="223"/>
        <v>5</v>
      </c>
      <c r="B840" s="774" t="s">
        <v>829</v>
      </c>
      <c r="C840" s="769">
        <v>1949</v>
      </c>
      <c r="D840" s="761"/>
      <c r="E840" s="611" t="s">
        <v>218</v>
      </c>
      <c r="F840" s="769">
        <v>2</v>
      </c>
      <c r="G840" s="769">
        <v>1</v>
      </c>
      <c r="H840" s="767">
        <v>387.7</v>
      </c>
      <c r="I840" s="767">
        <v>370.1</v>
      </c>
      <c r="J840" s="767">
        <f>I840</f>
        <v>370.1</v>
      </c>
      <c r="K840" s="769">
        <v>15</v>
      </c>
      <c r="L840" s="773">
        <v>1609022</v>
      </c>
      <c r="M840" s="655">
        <v>0</v>
      </c>
      <c r="N840" s="113">
        <v>0</v>
      </c>
      <c r="O840" s="113">
        <f t="shared" si="222"/>
        <v>1609022</v>
      </c>
      <c r="P840" s="113">
        <v>0</v>
      </c>
      <c r="Q840" s="114">
        <f>L840/I840</f>
        <v>4347.5330991623887</v>
      </c>
      <c r="R840" s="114">
        <v>7920</v>
      </c>
      <c r="S840" s="326">
        <v>43465</v>
      </c>
    </row>
    <row r="841" spans="1:34" s="1" customFormat="1" ht="15.75">
      <c r="A841" s="107"/>
      <c r="B841" s="1376" t="s">
        <v>68</v>
      </c>
      <c r="C841" s="1376"/>
      <c r="D841" s="1336"/>
      <c r="E841" s="1336"/>
      <c r="F841" s="1376"/>
      <c r="G841" s="1376"/>
      <c r="H841" s="765">
        <f>H842</f>
        <v>285.2</v>
      </c>
      <c r="I841" s="766">
        <f t="shared" ref="I841:P842" si="224">I842</f>
        <v>266</v>
      </c>
      <c r="J841" s="766">
        <f t="shared" si="224"/>
        <v>153.9</v>
      </c>
      <c r="K841" s="777">
        <f t="shared" si="224"/>
        <v>13</v>
      </c>
      <c r="L841" s="771">
        <f t="shared" si="224"/>
        <v>443001</v>
      </c>
      <c r="M841" s="113">
        <f t="shared" si="224"/>
        <v>0</v>
      </c>
      <c r="N841" s="113">
        <f t="shared" si="224"/>
        <v>0</v>
      </c>
      <c r="O841" s="113">
        <f t="shared" si="224"/>
        <v>443001</v>
      </c>
      <c r="P841" s="113">
        <f t="shared" si="224"/>
        <v>0</v>
      </c>
      <c r="Q841" s="106" t="s">
        <v>40</v>
      </c>
      <c r="R841" s="106" t="s">
        <v>40</v>
      </c>
      <c r="S841" s="326">
        <v>43465</v>
      </c>
    </row>
    <row r="842" spans="1:34" s="1" customFormat="1" ht="15.75" customHeight="1">
      <c r="A842" s="107"/>
      <c r="B842" s="1329" t="s">
        <v>97</v>
      </c>
      <c r="C842" s="1329"/>
      <c r="D842" s="1329"/>
      <c r="E842" s="1329"/>
      <c r="F842" s="1329"/>
      <c r="G842" s="1329"/>
      <c r="H842" s="128">
        <f>H843</f>
        <v>285.2</v>
      </c>
      <c r="I842" s="106">
        <f t="shared" si="224"/>
        <v>266</v>
      </c>
      <c r="J842" s="106">
        <f t="shared" si="224"/>
        <v>153.9</v>
      </c>
      <c r="K842" s="119">
        <f t="shared" si="224"/>
        <v>13</v>
      </c>
      <c r="L842" s="113">
        <f t="shared" si="224"/>
        <v>443001</v>
      </c>
      <c r="M842" s="113">
        <f t="shared" si="224"/>
        <v>0</v>
      </c>
      <c r="N842" s="113">
        <f t="shared" si="224"/>
        <v>0</v>
      </c>
      <c r="O842" s="113">
        <f t="shared" si="224"/>
        <v>443001</v>
      </c>
      <c r="P842" s="113">
        <f t="shared" si="224"/>
        <v>0</v>
      </c>
      <c r="Q842" s="106" t="s">
        <v>40</v>
      </c>
      <c r="R842" s="106" t="s">
        <v>40</v>
      </c>
      <c r="S842" s="326">
        <v>43465</v>
      </c>
    </row>
    <row r="843" spans="1:34" s="1" customFormat="1" ht="31.5">
      <c r="A843" s="318"/>
      <c r="B843" s="605" t="s">
        <v>769</v>
      </c>
      <c r="C843" s="340">
        <v>1930</v>
      </c>
      <c r="D843" s="340"/>
      <c r="E843" s="321" t="s">
        <v>218</v>
      </c>
      <c r="F843" s="340">
        <v>2</v>
      </c>
      <c r="G843" s="340">
        <v>1</v>
      </c>
      <c r="H843" s="341">
        <v>285.2</v>
      </c>
      <c r="I843" s="344">
        <v>266</v>
      </c>
      <c r="J843" s="344">
        <v>153.9</v>
      </c>
      <c r="K843" s="343">
        <v>13</v>
      </c>
      <c r="L843" s="324">
        <v>443001</v>
      </c>
      <c r="M843" s="324">
        <v>0</v>
      </c>
      <c r="N843" s="324">
        <v>0</v>
      </c>
      <c r="O843" s="324">
        <v>443001</v>
      </c>
      <c r="P843" s="324">
        <v>0</v>
      </c>
      <c r="Q843" s="325">
        <f>L843/I843</f>
        <v>1665.4172932330828</v>
      </c>
      <c r="R843" s="325">
        <v>7920</v>
      </c>
      <c r="S843" s="326">
        <v>43465</v>
      </c>
    </row>
    <row r="844" spans="1:34" s="16" customFormat="1" ht="15.75">
      <c r="A844" s="107"/>
      <c r="B844" s="1336" t="s">
        <v>43</v>
      </c>
      <c r="C844" s="1336"/>
      <c r="D844" s="1336"/>
      <c r="E844" s="1336"/>
      <c r="F844" s="1336"/>
      <c r="G844" s="1336"/>
      <c r="H844" s="106">
        <f>H845+H860</f>
        <v>23164.559999999998</v>
      </c>
      <c r="I844" s="106">
        <f t="shared" ref="I844:J844" si="225">I845+I860</f>
        <v>21134.959999999999</v>
      </c>
      <c r="J844" s="106">
        <f t="shared" si="225"/>
        <v>19251.09</v>
      </c>
      <c r="K844" s="119">
        <f>K845+K860</f>
        <v>853</v>
      </c>
      <c r="L844" s="113">
        <f t="shared" ref="L844:P844" si="226">L845+L860</f>
        <v>23032470</v>
      </c>
      <c r="M844" s="113">
        <f t="shared" si="226"/>
        <v>0</v>
      </c>
      <c r="N844" s="113">
        <f t="shared" si="226"/>
        <v>1400000</v>
      </c>
      <c r="O844" s="113">
        <f t="shared" si="226"/>
        <v>21632470</v>
      </c>
      <c r="P844" s="113">
        <f t="shared" si="226"/>
        <v>0</v>
      </c>
      <c r="Q844" s="106" t="s">
        <v>40</v>
      </c>
      <c r="R844" s="106" t="s">
        <v>40</v>
      </c>
      <c r="S844" s="326">
        <v>43465</v>
      </c>
    </row>
    <row r="845" spans="1:34" s="10" customFormat="1" ht="15.75" customHeight="1">
      <c r="A845" s="107"/>
      <c r="B845" s="1329" t="s">
        <v>125</v>
      </c>
      <c r="C845" s="1329"/>
      <c r="D845" s="1329"/>
      <c r="E845" s="1329"/>
      <c r="F845" s="1329"/>
      <c r="G845" s="1329"/>
      <c r="H845" s="128">
        <f t="shared" ref="H845:M845" si="227">SUM(H846:H859)</f>
        <v>20106.559999999998</v>
      </c>
      <c r="I845" s="106">
        <f t="shared" si="227"/>
        <v>18426.259999999998</v>
      </c>
      <c r="J845" s="106">
        <f t="shared" si="227"/>
        <v>16665.189999999999</v>
      </c>
      <c r="K845" s="119">
        <f t="shared" si="227"/>
        <v>735</v>
      </c>
      <c r="L845" s="113">
        <f t="shared" si="227"/>
        <v>20696312</v>
      </c>
      <c r="M845" s="113">
        <f t="shared" si="227"/>
        <v>0</v>
      </c>
      <c r="N845" s="113">
        <f t="shared" ref="N845:O845" si="228">SUM(N846:N859)</f>
        <v>0</v>
      </c>
      <c r="O845" s="113">
        <f t="shared" si="228"/>
        <v>20696312</v>
      </c>
      <c r="P845" s="113">
        <f>SUM(P846:P862)</f>
        <v>0</v>
      </c>
      <c r="Q845" s="106" t="s">
        <v>40</v>
      </c>
      <c r="R845" s="106" t="s">
        <v>40</v>
      </c>
      <c r="S845" s="326">
        <v>43465</v>
      </c>
    </row>
    <row r="846" spans="1:34" s="40" customFormat="1" ht="15.75">
      <c r="A846" s="107">
        <f>A843+1</f>
        <v>1</v>
      </c>
      <c r="B846" s="130" t="s">
        <v>405</v>
      </c>
      <c r="C846" s="131">
        <v>1979</v>
      </c>
      <c r="D846" s="132"/>
      <c r="E846" s="109" t="s">
        <v>219</v>
      </c>
      <c r="F846" s="131">
        <v>5</v>
      </c>
      <c r="G846" s="131">
        <v>6</v>
      </c>
      <c r="H846" s="133">
        <v>4364.1000000000004</v>
      </c>
      <c r="I846" s="131">
        <v>3933.3</v>
      </c>
      <c r="J846" s="131">
        <v>3786.33</v>
      </c>
      <c r="K846" s="123">
        <v>163</v>
      </c>
      <c r="L846" s="113">
        <v>2301804</v>
      </c>
      <c r="M846" s="113">
        <v>0</v>
      </c>
      <c r="N846" s="113">
        <v>0</v>
      </c>
      <c r="O846" s="113">
        <f t="shared" ref="O846:O859" si="229">L846</f>
        <v>2301804</v>
      </c>
      <c r="P846" s="113">
        <v>0</v>
      </c>
      <c r="Q846" s="134">
        <f>L846/I846</f>
        <v>585.2093661810693</v>
      </c>
      <c r="R846" s="114">
        <v>6774</v>
      </c>
      <c r="S846" s="326">
        <v>43465</v>
      </c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</row>
    <row r="847" spans="1:34" s="41" customFormat="1" ht="31.5">
      <c r="A847" s="107">
        <f t="shared" ref="A847:A902" si="230">A846+1</f>
        <v>2</v>
      </c>
      <c r="B847" s="120" t="s">
        <v>393</v>
      </c>
      <c r="C847" s="109">
        <v>1976</v>
      </c>
      <c r="D847" s="109"/>
      <c r="E847" s="109" t="s">
        <v>218</v>
      </c>
      <c r="F847" s="135">
        <v>5</v>
      </c>
      <c r="G847" s="109">
        <v>6</v>
      </c>
      <c r="H847" s="136">
        <v>4869.8</v>
      </c>
      <c r="I847" s="137">
        <v>4494.8</v>
      </c>
      <c r="J847" s="137">
        <v>3910.1</v>
      </c>
      <c r="K847" s="138">
        <v>161</v>
      </c>
      <c r="L847" s="113">
        <v>1743478</v>
      </c>
      <c r="M847" s="113">
        <v>0</v>
      </c>
      <c r="N847" s="113">
        <v>0</v>
      </c>
      <c r="O847" s="113">
        <f t="shared" si="229"/>
        <v>1743478</v>
      </c>
      <c r="P847" s="113">
        <v>0</v>
      </c>
      <c r="Q847" s="139">
        <f>L847/I847</f>
        <v>387.88778143632641</v>
      </c>
      <c r="R847" s="102">
        <v>6774</v>
      </c>
      <c r="S847" s="326">
        <v>43465</v>
      </c>
      <c r="T847" s="40"/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F847" s="40"/>
      <c r="AG847" s="40"/>
      <c r="AH847" s="40"/>
    </row>
    <row r="848" spans="1:34" s="41" customFormat="1" ht="31.5">
      <c r="A848" s="107">
        <f t="shared" si="230"/>
        <v>3</v>
      </c>
      <c r="B848" s="140" t="s">
        <v>406</v>
      </c>
      <c r="C848" s="132">
        <v>2005</v>
      </c>
      <c r="D848" s="132"/>
      <c r="E848" s="109" t="s">
        <v>218</v>
      </c>
      <c r="F848" s="131">
        <v>2</v>
      </c>
      <c r="G848" s="131">
        <v>2</v>
      </c>
      <c r="H848" s="133">
        <v>2170.6999999999998</v>
      </c>
      <c r="I848" s="125">
        <v>1890.5</v>
      </c>
      <c r="J848" s="125">
        <v>1756.6</v>
      </c>
      <c r="K848" s="123">
        <v>72</v>
      </c>
      <c r="L848" s="113">
        <v>2485001</v>
      </c>
      <c r="M848" s="113">
        <v>0</v>
      </c>
      <c r="N848" s="113">
        <v>0</v>
      </c>
      <c r="O848" s="113">
        <f t="shared" si="229"/>
        <v>2485001</v>
      </c>
      <c r="P848" s="113">
        <v>0</v>
      </c>
      <c r="Q848" s="126">
        <f>L848/I848</f>
        <v>1314.4676011637132</v>
      </c>
      <c r="R848" s="114">
        <v>6774</v>
      </c>
      <c r="S848" s="326">
        <v>43465</v>
      </c>
    </row>
    <row r="849" spans="1:34" s="41" customFormat="1" ht="31.5">
      <c r="A849" s="107">
        <f t="shared" si="230"/>
        <v>4</v>
      </c>
      <c r="B849" s="130" t="s">
        <v>402</v>
      </c>
      <c r="C849" s="131">
        <v>1961</v>
      </c>
      <c r="D849" s="132"/>
      <c r="E849" s="109" t="s">
        <v>218</v>
      </c>
      <c r="F849" s="131">
        <v>2</v>
      </c>
      <c r="G849" s="132">
        <v>3</v>
      </c>
      <c r="H849" s="141">
        <v>662.8</v>
      </c>
      <c r="I849" s="142">
        <v>612.6</v>
      </c>
      <c r="J849" s="142">
        <v>517</v>
      </c>
      <c r="K849" s="143">
        <v>32</v>
      </c>
      <c r="L849" s="113">
        <v>1237591</v>
      </c>
      <c r="M849" s="113">
        <v>0</v>
      </c>
      <c r="N849" s="113">
        <v>0</v>
      </c>
      <c r="O849" s="113">
        <f t="shared" si="229"/>
        <v>1237591</v>
      </c>
      <c r="P849" s="113">
        <v>0</v>
      </c>
      <c r="Q849" s="144">
        <f>L849/I849</f>
        <v>2020.2269017303297</v>
      </c>
      <c r="R849" s="114">
        <v>6774</v>
      </c>
      <c r="S849" s="326">
        <v>43465</v>
      </c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  <c r="AG849" s="42"/>
      <c r="AH849" s="42"/>
    </row>
    <row r="850" spans="1:34" s="41" customFormat="1" ht="31.5">
      <c r="A850" s="107">
        <f t="shared" si="230"/>
        <v>5</v>
      </c>
      <c r="B850" s="145" t="s">
        <v>397</v>
      </c>
      <c r="C850" s="131">
        <v>1953</v>
      </c>
      <c r="D850" s="132"/>
      <c r="E850" s="109" t="s">
        <v>218</v>
      </c>
      <c r="F850" s="131">
        <v>2</v>
      </c>
      <c r="G850" s="132">
        <v>2</v>
      </c>
      <c r="H850" s="146">
        <v>470.96</v>
      </c>
      <c r="I850" s="147">
        <v>417.36</v>
      </c>
      <c r="J850" s="147">
        <v>356.76</v>
      </c>
      <c r="K850" s="148">
        <v>10</v>
      </c>
      <c r="L850" s="113">
        <v>1448078</v>
      </c>
      <c r="M850" s="113">
        <v>0</v>
      </c>
      <c r="N850" s="113">
        <v>0</v>
      </c>
      <c r="O850" s="113">
        <f t="shared" si="229"/>
        <v>1448078</v>
      </c>
      <c r="P850" s="113">
        <v>0</v>
      </c>
      <c r="Q850" s="144">
        <f>L850/I850</f>
        <v>3469.6137626988689</v>
      </c>
      <c r="R850" s="114">
        <v>6774</v>
      </c>
      <c r="S850" s="326">
        <v>43465</v>
      </c>
    </row>
    <row r="851" spans="1:34" s="41" customFormat="1" ht="31.5">
      <c r="A851" s="107">
        <f t="shared" si="230"/>
        <v>6</v>
      </c>
      <c r="B851" s="145" t="s">
        <v>398</v>
      </c>
      <c r="C851" s="131">
        <v>1954</v>
      </c>
      <c r="D851" s="132"/>
      <c r="E851" s="109" t="s">
        <v>218</v>
      </c>
      <c r="F851" s="131">
        <v>2</v>
      </c>
      <c r="G851" s="132">
        <v>2</v>
      </c>
      <c r="H851" s="141">
        <v>922.3</v>
      </c>
      <c r="I851" s="142">
        <v>862.3</v>
      </c>
      <c r="J851" s="142">
        <v>862.3</v>
      </c>
      <c r="K851" s="123">
        <v>31</v>
      </c>
      <c r="L851" s="113">
        <v>1963797</v>
      </c>
      <c r="M851" s="113">
        <v>0</v>
      </c>
      <c r="N851" s="113">
        <v>0</v>
      </c>
      <c r="O851" s="113">
        <f t="shared" si="229"/>
        <v>1963797</v>
      </c>
      <c r="P851" s="113">
        <v>0</v>
      </c>
      <c r="Q851" s="144">
        <f xml:space="preserve"> L851/I851</f>
        <v>2277.3941783601995</v>
      </c>
      <c r="R851" s="114">
        <v>6774</v>
      </c>
      <c r="S851" s="326">
        <v>43465</v>
      </c>
    </row>
    <row r="852" spans="1:34" s="42" customFormat="1" ht="31.5">
      <c r="A852" s="107">
        <f t="shared" si="230"/>
        <v>7</v>
      </c>
      <c r="B852" s="145" t="s">
        <v>399</v>
      </c>
      <c r="C852" s="131">
        <v>1961</v>
      </c>
      <c r="D852" s="132"/>
      <c r="E852" s="109" t="s">
        <v>218</v>
      </c>
      <c r="F852" s="131">
        <v>4</v>
      </c>
      <c r="G852" s="132">
        <v>4</v>
      </c>
      <c r="H852" s="133">
        <v>2386.6</v>
      </c>
      <c r="I852" s="125">
        <v>2260.4</v>
      </c>
      <c r="J852" s="125">
        <v>2024.9</v>
      </c>
      <c r="K852" s="123">
        <v>66</v>
      </c>
      <c r="L852" s="113">
        <v>2119530</v>
      </c>
      <c r="M852" s="113">
        <v>0</v>
      </c>
      <c r="N852" s="113">
        <v>0</v>
      </c>
      <c r="O852" s="113">
        <f t="shared" si="229"/>
        <v>2119530</v>
      </c>
      <c r="P852" s="113">
        <v>0</v>
      </c>
      <c r="Q852" s="144">
        <f t="shared" ref="Q852:Q859" si="231">L852/I852</f>
        <v>937.67917182799499</v>
      </c>
      <c r="R852" s="114">
        <v>6774</v>
      </c>
      <c r="S852" s="326">
        <v>43465</v>
      </c>
    </row>
    <row r="853" spans="1:34" s="42" customFormat="1" ht="31.5">
      <c r="A853" s="107">
        <f t="shared" si="230"/>
        <v>8</v>
      </c>
      <c r="B853" s="130" t="s">
        <v>403</v>
      </c>
      <c r="C853" s="131">
        <v>1956</v>
      </c>
      <c r="D853" s="132"/>
      <c r="E853" s="109" t="s">
        <v>218</v>
      </c>
      <c r="F853" s="131">
        <v>2</v>
      </c>
      <c r="G853" s="132">
        <v>2</v>
      </c>
      <c r="H853" s="149">
        <v>833.9</v>
      </c>
      <c r="I853" s="142">
        <v>785.9</v>
      </c>
      <c r="J853" s="142">
        <v>675</v>
      </c>
      <c r="K853" s="143">
        <v>32</v>
      </c>
      <c r="L853" s="113">
        <v>1098163</v>
      </c>
      <c r="M853" s="113">
        <v>0</v>
      </c>
      <c r="N853" s="113">
        <v>0</v>
      </c>
      <c r="O853" s="113">
        <f t="shared" si="229"/>
        <v>1098163</v>
      </c>
      <c r="P853" s="113">
        <v>0</v>
      </c>
      <c r="Q853" s="144">
        <f t="shared" si="231"/>
        <v>1397.3317215930781</v>
      </c>
      <c r="R853" s="114">
        <v>6774</v>
      </c>
      <c r="S853" s="326">
        <v>43465</v>
      </c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</row>
    <row r="854" spans="1:34" s="42" customFormat="1" ht="31.5">
      <c r="A854" s="107">
        <f t="shared" si="230"/>
        <v>9</v>
      </c>
      <c r="B854" s="130" t="s">
        <v>404</v>
      </c>
      <c r="C854" s="131">
        <v>1959</v>
      </c>
      <c r="D854" s="132"/>
      <c r="E854" s="109" t="s">
        <v>218</v>
      </c>
      <c r="F854" s="131">
        <v>2</v>
      </c>
      <c r="G854" s="132">
        <v>3</v>
      </c>
      <c r="H854" s="150">
        <v>640.5</v>
      </c>
      <c r="I854" s="147">
        <v>621.79999999999995</v>
      </c>
      <c r="J854" s="147">
        <v>490.9</v>
      </c>
      <c r="K854" s="143">
        <v>35</v>
      </c>
      <c r="L854" s="113">
        <v>1241309</v>
      </c>
      <c r="M854" s="113">
        <v>0</v>
      </c>
      <c r="N854" s="113">
        <v>0</v>
      </c>
      <c r="O854" s="113">
        <f t="shared" si="229"/>
        <v>1241309</v>
      </c>
      <c r="P854" s="113">
        <v>0</v>
      </c>
      <c r="Q854" s="144">
        <f t="shared" si="231"/>
        <v>1996.3155355419751</v>
      </c>
      <c r="R854" s="114">
        <v>6774</v>
      </c>
      <c r="S854" s="326">
        <v>43465</v>
      </c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</row>
    <row r="855" spans="1:34" s="42" customFormat="1" ht="31.5">
      <c r="A855" s="107">
        <f t="shared" si="230"/>
        <v>10</v>
      </c>
      <c r="B855" s="130" t="s">
        <v>400</v>
      </c>
      <c r="C855" s="131">
        <v>1960</v>
      </c>
      <c r="D855" s="132"/>
      <c r="E855" s="109" t="s">
        <v>218</v>
      </c>
      <c r="F855" s="131">
        <v>2</v>
      </c>
      <c r="G855" s="132">
        <v>2</v>
      </c>
      <c r="H855" s="141">
        <v>504.1</v>
      </c>
      <c r="I855" s="142">
        <v>445.3</v>
      </c>
      <c r="J855" s="142">
        <v>373.3</v>
      </c>
      <c r="K855" s="143">
        <v>24</v>
      </c>
      <c r="L855" s="113">
        <v>1041360</v>
      </c>
      <c r="M855" s="113">
        <v>0</v>
      </c>
      <c r="N855" s="113">
        <v>0</v>
      </c>
      <c r="O855" s="113">
        <f t="shared" si="229"/>
        <v>1041360</v>
      </c>
      <c r="P855" s="113">
        <v>0</v>
      </c>
      <c r="Q855" s="144">
        <f t="shared" si="231"/>
        <v>2338.5582753200088</v>
      </c>
      <c r="R855" s="114">
        <v>6774</v>
      </c>
      <c r="S855" s="326">
        <v>43465</v>
      </c>
    </row>
    <row r="856" spans="1:34" s="44" customFormat="1" ht="31.5">
      <c r="A856" s="107">
        <f>A855+1</f>
        <v>11</v>
      </c>
      <c r="B856" s="130" t="s">
        <v>401</v>
      </c>
      <c r="C856" s="131">
        <v>1961</v>
      </c>
      <c r="D856" s="132"/>
      <c r="E856" s="109" t="s">
        <v>218</v>
      </c>
      <c r="F856" s="131">
        <v>2</v>
      </c>
      <c r="G856" s="132">
        <v>2</v>
      </c>
      <c r="H856" s="141">
        <v>506.2</v>
      </c>
      <c r="I856" s="142">
        <v>447.4</v>
      </c>
      <c r="J856" s="142">
        <f>I856</f>
        <v>447.4</v>
      </c>
      <c r="K856" s="143">
        <v>18</v>
      </c>
      <c r="L856" s="113">
        <v>1138866</v>
      </c>
      <c r="M856" s="113">
        <v>0</v>
      </c>
      <c r="N856" s="113">
        <v>0</v>
      </c>
      <c r="O856" s="113">
        <f t="shared" si="229"/>
        <v>1138866</v>
      </c>
      <c r="P856" s="113">
        <v>0</v>
      </c>
      <c r="Q856" s="144">
        <f t="shared" si="231"/>
        <v>2545.5207867679928</v>
      </c>
      <c r="R856" s="114">
        <v>6774</v>
      </c>
      <c r="S856" s="326">
        <v>43465</v>
      </c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  <c r="AG856" s="42"/>
      <c r="AH856" s="42"/>
    </row>
    <row r="857" spans="1:34" s="41" customFormat="1" ht="31.5">
      <c r="A857" s="107">
        <f>A856+1</f>
        <v>12</v>
      </c>
      <c r="B857" s="145" t="s">
        <v>394</v>
      </c>
      <c r="C857" s="131">
        <v>1966</v>
      </c>
      <c r="D857" s="132"/>
      <c r="E857" s="109" t="s">
        <v>218</v>
      </c>
      <c r="F857" s="131">
        <v>2</v>
      </c>
      <c r="G857" s="132">
        <v>2</v>
      </c>
      <c r="H857" s="141">
        <v>482.5</v>
      </c>
      <c r="I857" s="142">
        <v>454.1</v>
      </c>
      <c r="J857" s="142">
        <v>370.7</v>
      </c>
      <c r="K857" s="123">
        <v>31</v>
      </c>
      <c r="L857" s="113">
        <v>848546</v>
      </c>
      <c r="M857" s="113">
        <v>0</v>
      </c>
      <c r="N857" s="113">
        <v>0</v>
      </c>
      <c r="O857" s="113">
        <f t="shared" si="229"/>
        <v>848546</v>
      </c>
      <c r="P857" s="113">
        <v>0</v>
      </c>
      <c r="Q857" s="144">
        <f t="shared" si="231"/>
        <v>1868.6324598106144</v>
      </c>
      <c r="R857" s="114">
        <v>6774</v>
      </c>
      <c r="S857" s="326">
        <v>43465</v>
      </c>
    </row>
    <row r="858" spans="1:34" s="41" customFormat="1" ht="31.5">
      <c r="A858" s="107">
        <f>A857+1</f>
        <v>13</v>
      </c>
      <c r="B858" s="145" t="s">
        <v>395</v>
      </c>
      <c r="C858" s="131">
        <v>1969</v>
      </c>
      <c r="D858" s="132"/>
      <c r="E858" s="109" t="s">
        <v>218</v>
      </c>
      <c r="F858" s="131">
        <v>2</v>
      </c>
      <c r="G858" s="132">
        <v>2</v>
      </c>
      <c r="H858" s="141">
        <v>502.6</v>
      </c>
      <c r="I858" s="151">
        <v>471</v>
      </c>
      <c r="J858" s="142">
        <v>423.8</v>
      </c>
      <c r="K858" s="123">
        <v>21</v>
      </c>
      <c r="L858" s="113">
        <v>848706</v>
      </c>
      <c r="M858" s="113">
        <v>0</v>
      </c>
      <c r="N858" s="113">
        <v>0</v>
      </c>
      <c r="O858" s="113">
        <f t="shared" si="229"/>
        <v>848706</v>
      </c>
      <c r="P858" s="113">
        <v>0</v>
      </c>
      <c r="Q858" s="144">
        <f t="shared" si="231"/>
        <v>1801.9235668789809</v>
      </c>
      <c r="R858" s="114">
        <v>6774</v>
      </c>
      <c r="S858" s="326">
        <v>43465</v>
      </c>
    </row>
    <row r="859" spans="1:34" s="41" customFormat="1" ht="31.5">
      <c r="A859" s="107">
        <f>A858+1</f>
        <v>14</v>
      </c>
      <c r="B859" s="145" t="s">
        <v>396</v>
      </c>
      <c r="C859" s="131">
        <v>1973</v>
      </c>
      <c r="D859" s="132"/>
      <c r="E859" s="109" t="s">
        <v>218</v>
      </c>
      <c r="F859" s="131">
        <v>2</v>
      </c>
      <c r="G859" s="132">
        <v>2</v>
      </c>
      <c r="H859" s="141">
        <v>789.5</v>
      </c>
      <c r="I859" s="142">
        <v>729.5</v>
      </c>
      <c r="J859" s="142">
        <v>670.1</v>
      </c>
      <c r="K859" s="123">
        <v>39</v>
      </c>
      <c r="L859" s="113">
        <v>1180083</v>
      </c>
      <c r="M859" s="113">
        <v>0</v>
      </c>
      <c r="N859" s="113">
        <v>0</v>
      </c>
      <c r="O859" s="113">
        <f t="shared" si="229"/>
        <v>1180083</v>
      </c>
      <c r="P859" s="113">
        <v>0</v>
      </c>
      <c r="Q859" s="144">
        <f t="shared" si="231"/>
        <v>1617.6600411240577</v>
      </c>
      <c r="R859" s="114">
        <v>6774</v>
      </c>
      <c r="S859" s="326">
        <v>43465</v>
      </c>
    </row>
    <row r="860" spans="1:34" s="42" customFormat="1" ht="15.75" customHeight="1">
      <c r="A860" s="107"/>
      <c r="B860" s="1329" t="s">
        <v>210</v>
      </c>
      <c r="C860" s="1329"/>
      <c r="D860" s="1329"/>
      <c r="E860" s="1329"/>
      <c r="F860" s="1329"/>
      <c r="G860" s="1329"/>
      <c r="H860" s="106">
        <f>H861+H862</f>
        <v>3058</v>
      </c>
      <c r="I860" s="106">
        <f t="shared" ref="I860:P860" si="232">I861+I862</f>
        <v>2708.7</v>
      </c>
      <c r="J860" s="106">
        <f t="shared" si="232"/>
        <v>2585.9</v>
      </c>
      <c r="K860" s="119">
        <f t="shared" si="232"/>
        <v>118</v>
      </c>
      <c r="L860" s="113">
        <f t="shared" si="232"/>
        <v>2336158</v>
      </c>
      <c r="M860" s="113">
        <f t="shared" si="232"/>
        <v>0</v>
      </c>
      <c r="N860" s="113">
        <f t="shared" si="232"/>
        <v>1400000</v>
      </c>
      <c r="O860" s="113">
        <f t="shared" si="232"/>
        <v>936158</v>
      </c>
      <c r="P860" s="113">
        <f t="shared" si="232"/>
        <v>0</v>
      </c>
      <c r="Q860" s="106" t="s">
        <v>40</v>
      </c>
      <c r="R860" s="106" t="s">
        <v>40</v>
      </c>
      <c r="S860" s="326">
        <v>43465</v>
      </c>
    </row>
    <row r="861" spans="1:34" s="42" customFormat="1" ht="16.5" customHeight="1">
      <c r="A861" s="107">
        <f>A859+1</f>
        <v>15</v>
      </c>
      <c r="B861" s="140" t="s">
        <v>407</v>
      </c>
      <c r="C861" s="132">
        <v>1986</v>
      </c>
      <c r="D861" s="132"/>
      <c r="E861" s="109" t="s">
        <v>222</v>
      </c>
      <c r="F861" s="131">
        <v>3</v>
      </c>
      <c r="G861" s="132">
        <v>3</v>
      </c>
      <c r="H861" s="152">
        <v>1529</v>
      </c>
      <c r="I861" s="153">
        <v>1345.2</v>
      </c>
      <c r="J861" s="153">
        <v>1345.2</v>
      </c>
      <c r="K861" s="143">
        <v>60</v>
      </c>
      <c r="L861" s="113">
        <f>O861+N861</f>
        <v>1168079</v>
      </c>
      <c r="M861" s="113">
        <v>0</v>
      </c>
      <c r="N861" s="113">
        <v>700000</v>
      </c>
      <c r="O861" s="113">
        <v>468079</v>
      </c>
      <c r="P861" s="113">
        <v>0</v>
      </c>
      <c r="Q861" s="144">
        <f>L861/I861</f>
        <v>868.33110318168303</v>
      </c>
      <c r="R861" s="114">
        <v>6774</v>
      </c>
      <c r="S861" s="326">
        <v>43465</v>
      </c>
    </row>
    <row r="862" spans="1:34" s="42" customFormat="1" ht="18" customHeight="1">
      <c r="A862" s="107">
        <f>A861+1</f>
        <v>16</v>
      </c>
      <c r="B862" s="140" t="s">
        <v>408</v>
      </c>
      <c r="C862" s="132">
        <v>1986</v>
      </c>
      <c r="D862" s="132"/>
      <c r="E862" s="109" t="s">
        <v>222</v>
      </c>
      <c r="F862" s="131">
        <v>3</v>
      </c>
      <c r="G862" s="132">
        <v>3</v>
      </c>
      <c r="H862" s="152">
        <v>1529</v>
      </c>
      <c r="I862" s="153">
        <v>1363.5</v>
      </c>
      <c r="J862" s="153">
        <v>1240.7</v>
      </c>
      <c r="K862" s="143">
        <v>58</v>
      </c>
      <c r="L862" s="113">
        <f>O862+N862</f>
        <v>1168079</v>
      </c>
      <c r="M862" s="113">
        <v>0</v>
      </c>
      <c r="N862" s="113">
        <v>700000</v>
      </c>
      <c r="O862" s="113">
        <v>468079</v>
      </c>
      <c r="P862" s="113">
        <v>0</v>
      </c>
      <c r="Q862" s="144">
        <f>L862/I862</f>
        <v>856.67693436010268</v>
      </c>
      <c r="R862" s="114">
        <v>6774</v>
      </c>
      <c r="S862" s="326">
        <v>43465</v>
      </c>
    </row>
    <row r="863" spans="1:34" s="1" customFormat="1" ht="15.75">
      <c r="A863" s="107"/>
      <c r="B863" s="1336" t="s">
        <v>44</v>
      </c>
      <c r="C863" s="1336"/>
      <c r="D863" s="1336"/>
      <c r="E863" s="1336"/>
      <c r="F863" s="1336"/>
      <c r="G863" s="1336"/>
      <c r="H863" s="128">
        <f>H864</f>
        <v>520.9</v>
      </c>
      <c r="I863" s="106">
        <f t="shared" ref="I863:P864" si="233">I864</f>
        <v>520.9</v>
      </c>
      <c r="J863" s="106">
        <f t="shared" si="233"/>
        <v>295.10000000000002</v>
      </c>
      <c r="K863" s="119">
        <f t="shared" si="233"/>
        <v>25</v>
      </c>
      <c r="L863" s="113">
        <f>L864</f>
        <v>922687</v>
      </c>
      <c r="M863" s="113">
        <f t="shared" si="233"/>
        <v>0</v>
      </c>
      <c r="N863" s="113">
        <f t="shared" si="233"/>
        <v>0</v>
      </c>
      <c r="O863" s="113">
        <f t="shared" si="233"/>
        <v>922687</v>
      </c>
      <c r="P863" s="113">
        <f t="shared" si="233"/>
        <v>0</v>
      </c>
      <c r="Q863" s="106" t="s">
        <v>40</v>
      </c>
      <c r="R863" s="114" t="s">
        <v>40</v>
      </c>
      <c r="S863" s="326">
        <v>43465</v>
      </c>
    </row>
    <row r="864" spans="1:34" s="1" customFormat="1" ht="15.75" customHeight="1">
      <c r="A864" s="107"/>
      <c r="B864" s="1329" t="s">
        <v>435</v>
      </c>
      <c r="C864" s="1329"/>
      <c r="D864" s="1329"/>
      <c r="E864" s="1329"/>
      <c r="F864" s="1329"/>
      <c r="G864" s="1329"/>
      <c r="H864" s="128">
        <f>H865</f>
        <v>520.9</v>
      </c>
      <c r="I864" s="128">
        <f t="shared" si="233"/>
        <v>520.9</v>
      </c>
      <c r="J864" s="128">
        <f t="shared" si="233"/>
        <v>295.10000000000002</v>
      </c>
      <c r="K864" s="128">
        <f t="shared" si="233"/>
        <v>25</v>
      </c>
      <c r="L864" s="565">
        <f t="shared" si="233"/>
        <v>922687</v>
      </c>
      <c r="M864" s="565">
        <f t="shared" si="233"/>
        <v>0</v>
      </c>
      <c r="N864" s="565">
        <f t="shared" si="233"/>
        <v>0</v>
      </c>
      <c r="O864" s="565">
        <f t="shared" si="233"/>
        <v>922687</v>
      </c>
      <c r="P864" s="565">
        <f t="shared" si="233"/>
        <v>0</v>
      </c>
      <c r="Q864" s="106" t="s">
        <v>40</v>
      </c>
      <c r="R864" s="106" t="s">
        <v>40</v>
      </c>
      <c r="S864" s="326">
        <v>43465</v>
      </c>
    </row>
    <row r="865" spans="1:19" s="1" customFormat="1" ht="31.5">
      <c r="A865" s="318"/>
      <c r="B865" s="336" t="s">
        <v>767</v>
      </c>
      <c r="C865" s="318">
        <v>1972</v>
      </c>
      <c r="D865" s="320"/>
      <c r="E865" s="321" t="s">
        <v>218</v>
      </c>
      <c r="F865" s="320">
        <v>2</v>
      </c>
      <c r="G865" s="320">
        <v>2</v>
      </c>
      <c r="H865" s="322">
        <v>520.9</v>
      </c>
      <c r="I865" s="320">
        <v>520.9</v>
      </c>
      <c r="J865" s="320">
        <v>295.10000000000002</v>
      </c>
      <c r="K865" s="323">
        <v>25</v>
      </c>
      <c r="L865" s="324">
        <v>922687</v>
      </c>
      <c r="M865" s="324">
        <v>0</v>
      </c>
      <c r="N865" s="324">
        <v>0</v>
      </c>
      <c r="O865" s="324">
        <v>922687</v>
      </c>
      <c r="P865" s="324">
        <v>0</v>
      </c>
      <c r="Q865" s="663">
        <f>L865/I865</f>
        <v>1771.3323094643886</v>
      </c>
      <c r="R865" s="325">
        <v>7920</v>
      </c>
      <c r="S865" s="326">
        <v>43465</v>
      </c>
    </row>
    <row r="866" spans="1:19" s="1" customFormat="1" ht="15.75">
      <c r="A866" s="318"/>
      <c r="B866" s="336"/>
      <c r="C866" s="320"/>
      <c r="D866" s="320"/>
      <c r="E866" s="321"/>
      <c r="F866" s="320"/>
      <c r="G866" s="320"/>
      <c r="H866" s="322"/>
      <c r="I866" s="320"/>
      <c r="J866" s="320"/>
      <c r="K866" s="323"/>
      <c r="L866" s="324"/>
      <c r="M866" s="324"/>
      <c r="N866" s="324"/>
      <c r="O866" s="324"/>
      <c r="P866" s="324"/>
      <c r="Q866" s="325"/>
      <c r="R866" s="325"/>
      <c r="S866" s="326">
        <v>43465</v>
      </c>
    </row>
    <row r="867" spans="1:19" s="1" customFormat="1" ht="22.9" customHeight="1">
      <c r="A867" s="107"/>
      <c r="B867" s="1336" t="s">
        <v>45</v>
      </c>
      <c r="C867" s="1336"/>
      <c r="D867" s="1336"/>
      <c r="E867" s="1336"/>
      <c r="F867" s="1336"/>
      <c r="G867" s="1336"/>
      <c r="H867" s="128">
        <f>H868+H872+H874+H876+H878+H880</f>
        <v>7577.5</v>
      </c>
      <c r="I867" s="128">
        <f t="shared" ref="I867:P867" si="234">I868+I872+I874+I876+I878+I880</f>
        <v>6511.2799999999988</v>
      </c>
      <c r="J867" s="128">
        <f t="shared" si="234"/>
        <v>5997.3799999999992</v>
      </c>
      <c r="K867" s="128">
        <f t="shared" si="234"/>
        <v>291</v>
      </c>
      <c r="L867" s="565">
        <f t="shared" si="234"/>
        <v>8577331</v>
      </c>
      <c r="M867" s="565">
        <f t="shared" si="234"/>
        <v>0</v>
      </c>
      <c r="N867" s="565">
        <f t="shared" si="234"/>
        <v>0</v>
      </c>
      <c r="O867" s="565">
        <f t="shared" si="234"/>
        <v>8577331</v>
      </c>
      <c r="P867" s="565">
        <f t="shared" si="234"/>
        <v>0</v>
      </c>
      <c r="Q867" s="106" t="s">
        <v>40</v>
      </c>
      <c r="R867" s="114" t="s">
        <v>40</v>
      </c>
      <c r="S867" s="326">
        <v>43465</v>
      </c>
    </row>
    <row r="868" spans="1:19" s="1" customFormat="1" ht="15.75">
      <c r="A868" s="318"/>
      <c r="B868" s="1359" t="s">
        <v>98</v>
      </c>
      <c r="C868" s="1359"/>
      <c r="D868" s="1359"/>
      <c r="E868" s="1359"/>
      <c r="F868" s="1359"/>
      <c r="G868" s="1359"/>
      <c r="H868" s="341">
        <f t="shared" ref="H868:P868" si="235">SUM(H869:H871)</f>
        <v>1910.1999999999998</v>
      </c>
      <c r="I868" s="341">
        <f t="shared" si="235"/>
        <v>1758.1799999999998</v>
      </c>
      <c r="J868" s="341">
        <f t="shared" si="235"/>
        <v>1545.98</v>
      </c>
      <c r="K868" s="343">
        <f t="shared" si="235"/>
        <v>85</v>
      </c>
      <c r="L868" s="324">
        <f t="shared" si="235"/>
        <v>3345596</v>
      </c>
      <c r="M868" s="324">
        <f t="shared" si="235"/>
        <v>0</v>
      </c>
      <c r="N868" s="324">
        <f t="shared" si="235"/>
        <v>0</v>
      </c>
      <c r="O868" s="324">
        <f t="shared" si="235"/>
        <v>3345596</v>
      </c>
      <c r="P868" s="324">
        <f t="shared" si="235"/>
        <v>0</v>
      </c>
      <c r="Q868" s="344" t="s">
        <v>40</v>
      </c>
      <c r="R868" s="344" t="s">
        <v>40</v>
      </c>
      <c r="S868" s="326">
        <v>43465</v>
      </c>
    </row>
    <row r="869" spans="1:19" s="1" customFormat="1" ht="15.75">
      <c r="A869" s="318">
        <f>A866+1</f>
        <v>1</v>
      </c>
      <c r="B869" s="591" t="s">
        <v>795</v>
      </c>
      <c r="C869" s="318">
        <v>1940</v>
      </c>
      <c r="D869" s="320"/>
      <c r="E869" s="321" t="s">
        <v>221</v>
      </c>
      <c r="F869" s="592">
        <v>2</v>
      </c>
      <c r="G869" s="592">
        <v>2</v>
      </c>
      <c r="H869" s="587">
        <v>549.29999999999995</v>
      </c>
      <c r="I869" s="588">
        <v>502.9</v>
      </c>
      <c r="J869" s="589">
        <v>334.4</v>
      </c>
      <c r="K869" s="590">
        <v>23</v>
      </c>
      <c r="L869" s="324">
        <v>1012287</v>
      </c>
      <c r="M869" s="324">
        <v>0</v>
      </c>
      <c r="N869" s="324">
        <v>0</v>
      </c>
      <c r="O869" s="324">
        <v>1012287</v>
      </c>
      <c r="P869" s="324">
        <f>SUM(P876:P876)</f>
        <v>0</v>
      </c>
      <c r="Q869" s="325">
        <f>L869/I869</f>
        <v>2012.8991847285743</v>
      </c>
      <c r="R869" s="325">
        <v>7920</v>
      </c>
      <c r="S869" s="326">
        <v>43465</v>
      </c>
    </row>
    <row r="870" spans="1:19" s="1" customFormat="1" ht="15.75">
      <c r="A870" s="318">
        <f>A869+1</f>
        <v>2</v>
      </c>
      <c r="B870" s="591" t="s">
        <v>796</v>
      </c>
      <c r="C870" s="318"/>
      <c r="D870" s="320"/>
      <c r="E870" s="321" t="s">
        <v>221</v>
      </c>
      <c r="F870" s="592">
        <v>2</v>
      </c>
      <c r="G870" s="592">
        <v>2</v>
      </c>
      <c r="H870" s="587">
        <v>366.9</v>
      </c>
      <c r="I870" s="588">
        <v>345.7</v>
      </c>
      <c r="J870" s="589">
        <v>302</v>
      </c>
      <c r="K870" s="590">
        <v>18</v>
      </c>
      <c r="L870" s="324">
        <v>710003</v>
      </c>
      <c r="M870" s="324">
        <v>0</v>
      </c>
      <c r="N870" s="324">
        <v>0</v>
      </c>
      <c r="O870" s="324">
        <f>L870</f>
        <v>710003</v>
      </c>
      <c r="P870" s="324">
        <f>SUM(P871:P874)</f>
        <v>0</v>
      </c>
      <c r="Q870" s="325">
        <f>L870/I870</f>
        <v>2053.8125542377784</v>
      </c>
      <c r="R870" s="325">
        <v>7920</v>
      </c>
      <c r="S870" s="326">
        <v>43465</v>
      </c>
    </row>
    <row r="871" spans="1:19" s="1" customFormat="1" ht="31.5">
      <c r="A871" s="318">
        <f>A870+1</f>
        <v>3</v>
      </c>
      <c r="B871" s="591" t="s">
        <v>797</v>
      </c>
      <c r="C871" s="318">
        <v>1974</v>
      </c>
      <c r="D871" s="320"/>
      <c r="E871" s="321" t="s">
        <v>218</v>
      </c>
      <c r="F871" s="592">
        <v>2</v>
      </c>
      <c r="G871" s="592">
        <v>3</v>
      </c>
      <c r="H871" s="587">
        <v>994</v>
      </c>
      <c r="I871" s="588">
        <v>909.58</v>
      </c>
      <c r="J871" s="589">
        <v>909.58</v>
      </c>
      <c r="K871" s="590">
        <v>44</v>
      </c>
      <c r="L871" s="324">
        <v>1623306</v>
      </c>
      <c r="M871" s="324">
        <v>0</v>
      </c>
      <c r="N871" s="324">
        <v>0</v>
      </c>
      <c r="O871" s="324">
        <f>L871</f>
        <v>1623306</v>
      </c>
      <c r="P871" s="324">
        <f>SUM(P874:P879)</f>
        <v>0</v>
      </c>
      <c r="Q871" s="325">
        <f>L871/I871</f>
        <v>1784.6764440730885</v>
      </c>
      <c r="R871" s="325">
        <v>7920</v>
      </c>
      <c r="S871" s="326">
        <v>43465</v>
      </c>
    </row>
    <row r="872" spans="1:19" s="1" customFormat="1" ht="24.6" customHeight="1">
      <c r="A872" s="318"/>
      <c r="B872" s="1359" t="s">
        <v>688</v>
      </c>
      <c r="C872" s="1359"/>
      <c r="D872" s="1359"/>
      <c r="E872" s="1359"/>
      <c r="F872" s="1359"/>
      <c r="G872" s="1359"/>
      <c r="H872" s="587">
        <f>H873</f>
        <v>484.1</v>
      </c>
      <c r="I872" s="587">
        <f t="shared" ref="I872:P872" si="236">I873</f>
        <v>484.1</v>
      </c>
      <c r="J872" s="587">
        <f t="shared" si="236"/>
        <v>307.8</v>
      </c>
      <c r="K872" s="587">
        <f t="shared" si="236"/>
        <v>31</v>
      </c>
      <c r="L872" s="948">
        <f t="shared" si="236"/>
        <v>908962</v>
      </c>
      <c r="M872" s="948">
        <f t="shared" si="236"/>
        <v>0</v>
      </c>
      <c r="N872" s="948">
        <f t="shared" si="236"/>
        <v>0</v>
      </c>
      <c r="O872" s="948">
        <f t="shared" si="236"/>
        <v>908962</v>
      </c>
      <c r="P872" s="948">
        <f t="shared" si="236"/>
        <v>0</v>
      </c>
      <c r="Q872" s="344" t="s">
        <v>40</v>
      </c>
      <c r="R872" s="325" t="s">
        <v>40</v>
      </c>
      <c r="S872" s="326">
        <v>43465</v>
      </c>
    </row>
    <row r="873" spans="1:19" s="1" customFormat="1" ht="31.5">
      <c r="A873" s="318"/>
      <c r="B873" s="591" t="s">
        <v>690</v>
      </c>
      <c r="C873" s="318">
        <v>1960</v>
      </c>
      <c r="D873" s="320"/>
      <c r="E873" s="321" t="s">
        <v>218</v>
      </c>
      <c r="F873" s="592">
        <v>2</v>
      </c>
      <c r="G873" s="592">
        <v>3</v>
      </c>
      <c r="H873" s="587">
        <v>484.1</v>
      </c>
      <c r="I873" s="588">
        <v>484.1</v>
      </c>
      <c r="J873" s="589">
        <v>307.8</v>
      </c>
      <c r="K873" s="590">
        <v>31</v>
      </c>
      <c r="L873" s="324">
        <v>908962</v>
      </c>
      <c r="M873" s="324">
        <v>0</v>
      </c>
      <c r="N873" s="324">
        <v>0</v>
      </c>
      <c r="O873" s="324">
        <v>908962</v>
      </c>
      <c r="P873" s="324">
        <v>0</v>
      </c>
      <c r="Q873" s="325">
        <f t="shared" ref="Q873" si="237">L873/I873</f>
        <v>1877.6327205122907</v>
      </c>
      <c r="R873" s="325">
        <v>7920</v>
      </c>
      <c r="S873" s="326">
        <v>43465</v>
      </c>
    </row>
    <row r="874" spans="1:19" s="1" customFormat="1" ht="28.15" customHeight="1">
      <c r="A874" s="318"/>
      <c r="B874" s="1359" t="s">
        <v>99</v>
      </c>
      <c r="C874" s="1359"/>
      <c r="D874" s="1359"/>
      <c r="E874" s="1359"/>
      <c r="F874" s="1359"/>
      <c r="G874" s="1359"/>
      <c r="H874" s="341">
        <f>H875</f>
        <v>386.6</v>
      </c>
      <c r="I874" s="341">
        <f t="shared" ref="I874:P874" si="238">I875</f>
        <v>364.6</v>
      </c>
      <c r="J874" s="341">
        <f t="shared" si="238"/>
        <v>324.3</v>
      </c>
      <c r="K874" s="341">
        <f t="shared" si="238"/>
        <v>19</v>
      </c>
      <c r="L874" s="675">
        <f t="shared" si="238"/>
        <v>655569</v>
      </c>
      <c r="M874" s="675">
        <f t="shared" si="238"/>
        <v>0</v>
      </c>
      <c r="N874" s="675">
        <f t="shared" si="238"/>
        <v>0</v>
      </c>
      <c r="O874" s="675">
        <f t="shared" si="238"/>
        <v>655569</v>
      </c>
      <c r="P874" s="675">
        <f t="shared" si="238"/>
        <v>0</v>
      </c>
      <c r="Q874" s="344" t="s">
        <v>40</v>
      </c>
      <c r="R874" s="344" t="s">
        <v>40</v>
      </c>
      <c r="S874" s="326">
        <v>43465</v>
      </c>
    </row>
    <row r="875" spans="1:19" s="20" customFormat="1" ht="31.5">
      <c r="A875" s="318">
        <f>A871+1</f>
        <v>4</v>
      </c>
      <c r="B875" s="706" t="s">
        <v>800</v>
      </c>
      <c r="C875" s="375">
        <v>1955</v>
      </c>
      <c r="D875" s="375"/>
      <c r="E875" s="321" t="s">
        <v>218</v>
      </c>
      <c r="F875" s="375">
        <v>2</v>
      </c>
      <c r="G875" s="375">
        <v>2</v>
      </c>
      <c r="H875" s="694">
        <v>386.6</v>
      </c>
      <c r="I875" s="712">
        <v>364.6</v>
      </c>
      <c r="J875" s="712">
        <v>324.3</v>
      </c>
      <c r="K875" s="378">
        <v>19</v>
      </c>
      <c r="L875" s="324">
        <v>655569</v>
      </c>
      <c r="M875" s="324">
        <v>0</v>
      </c>
      <c r="N875" s="324">
        <v>0</v>
      </c>
      <c r="O875" s="324">
        <f>L875</f>
        <v>655569</v>
      </c>
      <c r="P875" s="324">
        <v>0</v>
      </c>
      <c r="Q875" s="379">
        <f>L875/I875</f>
        <v>1798.049917718047</v>
      </c>
      <c r="R875" s="325">
        <v>7920</v>
      </c>
      <c r="S875" s="326">
        <v>43465</v>
      </c>
    </row>
    <row r="876" spans="1:19" s="1" customFormat="1" ht="15.75" customHeight="1">
      <c r="A876" s="318"/>
      <c r="B876" s="1369" t="s">
        <v>100</v>
      </c>
      <c r="C876" s="1369"/>
      <c r="D876" s="1369"/>
      <c r="E876" s="1369"/>
      <c r="F876" s="1369"/>
      <c r="G876" s="1369"/>
      <c r="H876" s="587">
        <f>H877</f>
        <v>3324.5</v>
      </c>
      <c r="I876" s="418">
        <f t="shared" ref="I876:P876" si="239">I877</f>
        <v>3031.5</v>
      </c>
      <c r="J876" s="418">
        <f t="shared" si="239"/>
        <v>2946.4</v>
      </c>
      <c r="K876" s="596">
        <f t="shared" si="239"/>
        <v>127</v>
      </c>
      <c r="L876" s="324">
        <f t="shared" si="239"/>
        <v>2020412</v>
      </c>
      <c r="M876" s="324">
        <f t="shared" si="239"/>
        <v>0</v>
      </c>
      <c r="N876" s="324">
        <f>N877</f>
        <v>0</v>
      </c>
      <c r="O876" s="324">
        <f t="shared" si="239"/>
        <v>2020412</v>
      </c>
      <c r="P876" s="324">
        <f t="shared" si="239"/>
        <v>0</v>
      </c>
      <c r="Q876" s="325" t="s">
        <v>40</v>
      </c>
      <c r="R876" s="325" t="s">
        <v>40</v>
      </c>
      <c r="S876" s="326">
        <v>43465</v>
      </c>
    </row>
    <row r="877" spans="1:19" s="1" customFormat="1" ht="31.5">
      <c r="A877" s="318" t="e">
        <f>#REF!+1</f>
        <v>#REF!</v>
      </c>
      <c r="B877" s="591" t="s">
        <v>694</v>
      </c>
      <c r="C877" s="318">
        <v>1983</v>
      </c>
      <c r="D877" s="320"/>
      <c r="E877" s="321" t="s">
        <v>219</v>
      </c>
      <c r="F877" s="320">
        <v>5</v>
      </c>
      <c r="G877" s="320">
        <v>4</v>
      </c>
      <c r="H877" s="587">
        <v>3324.5</v>
      </c>
      <c r="I877" s="588">
        <v>3031.5</v>
      </c>
      <c r="J877" s="589">
        <v>2946.4</v>
      </c>
      <c r="K877" s="590">
        <v>127</v>
      </c>
      <c r="L877" s="324">
        <v>2020412</v>
      </c>
      <c r="M877" s="324">
        <v>0</v>
      </c>
      <c r="N877" s="324">
        <v>0</v>
      </c>
      <c r="O877" s="324">
        <v>2020412</v>
      </c>
      <c r="P877" s="324">
        <v>0</v>
      </c>
      <c r="Q877" s="325">
        <f>L877/I877</f>
        <v>666.4727032822035</v>
      </c>
      <c r="R877" s="325">
        <v>7920</v>
      </c>
      <c r="S877" s="326">
        <v>43465</v>
      </c>
    </row>
    <row r="878" spans="1:19" s="1" customFormat="1" ht="15.75" customHeight="1">
      <c r="A878" s="321"/>
      <c r="B878" s="1370" t="s">
        <v>101</v>
      </c>
      <c r="C878" s="1370"/>
      <c r="D878" s="1370"/>
      <c r="E878" s="1370"/>
      <c r="F878" s="1370"/>
      <c r="G878" s="1370"/>
      <c r="H878" s="587">
        <f>H879</f>
        <v>1472.1</v>
      </c>
      <c r="I878" s="587">
        <f t="shared" ref="I878:P878" si="240">I879</f>
        <v>872.9</v>
      </c>
      <c r="J878" s="587">
        <f t="shared" si="240"/>
        <v>872.9</v>
      </c>
      <c r="K878" s="587">
        <f t="shared" si="240"/>
        <v>29</v>
      </c>
      <c r="L878" s="948">
        <f t="shared" si="240"/>
        <v>1646792</v>
      </c>
      <c r="M878" s="948">
        <f t="shared" si="240"/>
        <v>0</v>
      </c>
      <c r="N878" s="948">
        <f t="shared" si="240"/>
        <v>0</v>
      </c>
      <c r="O878" s="948">
        <f t="shared" si="240"/>
        <v>1646792</v>
      </c>
      <c r="P878" s="948">
        <f t="shared" si="240"/>
        <v>0</v>
      </c>
      <c r="Q878" s="418" t="s">
        <v>40</v>
      </c>
      <c r="R878" s="418" t="s">
        <v>40</v>
      </c>
      <c r="S878" s="326">
        <v>43465</v>
      </c>
    </row>
    <row r="879" spans="1:19" s="20" customFormat="1" ht="31.5">
      <c r="A879" s="321" t="e">
        <f>A877+1</f>
        <v>#REF!</v>
      </c>
      <c r="B879" s="843" t="s">
        <v>924</v>
      </c>
      <c r="C879" s="321">
        <v>1984</v>
      </c>
      <c r="D879" s="321"/>
      <c r="E879" s="321" t="s">
        <v>218</v>
      </c>
      <c r="F879" s="321">
        <v>2</v>
      </c>
      <c r="G879" s="321">
        <v>2</v>
      </c>
      <c r="H879" s="879">
        <v>1472.1</v>
      </c>
      <c r="I879" s="588">
        <v>872.9</v>
      </c>
      <c r="J879" s="588">
        <v>872.9</v>
      </c>
      <c r="K879" s="420">
        <v>29</v>
      </c>
      <c r="L879" s="324">
        <v>1646792</v>
      </c>
      <c r="M879" s="324">
        <v>0</v>
      </c>
      <c r="N879" s="324">
        <v>0</v>
      </c>
      <c r="O879" s="324">
        <f>L879</f>
        <v>1646792</v>
      </c>
      <c r="P879" s="324">
        <v>0</v>
      </c>
      <c r="Q879" s="588">
        <f>L879/I879</f>
        <v>1886.5757818765037</v>
      </c>
      <c r="R879" s="418">
        <v>7920</v>
      </c>
      <c r="S879" s="326">
        <v>43465</v>
      </c>
    </row>
    <row r="880" spans="1:19" s="20" customFormat="1" ht="15.75" customHeight="1">
      <c r="A880" s="318"/>
      <c r="B880" s="1360" t="s">
        <v>126</v>
      </c>
      <c r="C880" s="1360"/>
      <c r="D880" s="1360"/>
      <c r="E880" s="1360"/>
      <c r="F880" s="1360"/>
      <c r="G880" s="1360"/>
      <c r="H880" s="694">
        <f>H881</f>
        <v>0</v>
      </c>
      <c r="I880" s="375">
        <f t="shared" ref="I880:P880" si="241">I881</f>
        <v>0</v>
      </c>
      <c r="J880" s="375">
        <f t="shared" si="241"/>
        <v>0</v>
      </c>
      <c r="K880" s="378">
        <f t="shared" si="241"/>
        <v>0</v>
      </c>
      <c r="L880" s="324">
        <f t="shared" si="241"/>
        <v>0</v>
      </c>
      <c r="M880" s="324">
        <f t="shared" si="241"/>
        <v>0</v>
      </c>
      <c r="N880" s="324">
        <f t="shared" si="241"/>
        <v>0</v>
      </c>
      <c r="O880" s="324">
        <f t="shared" si="241"/>
        <v>0</v>
      </c>
      <c r="P880" s="324">
        <f t="shared" si="241"/>
        <v>0</v>
      </c>
      <c r="Q880" s="379" t="s">
        <v>40</v>
      </c>
      <c r="R880" s="375" t="s">
        <v>40</v>
      </c>
      <c r="S880" s="326">
        <v>43465</v>
      </c>
    </row>
    <row r="881" spans="1:19" s="1" customFormat="1" ht="15.75">
      <c r="A881" s="318"/>
      <c r="B881" s="618"/>
      <c r="C881" s="318"/>
      <c r="D881" s="318"/>
      <c r="E881" s="321"/>
      <c r="F881" s="318"/>
      <c r="G881" s="318"/>
      <c r="H881" s="760"/>
      <c r="I881" s="318"/>
      <c r="J881" s="318"/>
      <c r="K881" s="590"/>
      <c r="L881" s="324"/>
      <c r="M881" s="324"/>
      <c r="N881" s="324"/>
      <c r="O881" s="324"/>
      <c r="P881" s="324"/>
      <c r="Q881" s="379"/>
      <c r="R881" s="325"/>
      <c r="S881" s="326"/>
    </row>
    <row r="882" spans="1:19" s="1" customFormat="1" ht="15.75">
      <c r="A882" s="107"/>
      <c r="B882" s="1336" t="s">
        <v>46</v>
      </c>
      <c r="C882" s="1336"/>
      <c r="D882" s="1336"/>
      <c r="E882" s="1336"/>
      <c r="F882" s="1336"/>
      <c r="G882" s="1336"/>
      <c r="H882" s="128">
        <f>H883</f>
        <v>459.1</v>
      </c>
      <c r="I882" s="106">
        <f t="shared" ref="I882:P882" si="242">I883</f>
        <v>410.7</v>
      </c>
      <c r="J882" s="106">
        <f t="shared" si="242"/>
        <v>353.4</v>
      </c>
      <c r="K882" s="119">
        <f t="shared" si="242"/>
        <v>18</v>
      </c>
      <c r="L882" s="113">
        <f t="shared" si="242"/>
        <v>674133</v>
      </c>
      <c r="M882" s="113">
        <f t="shared" si="242"/>
        <v>0</v>
      </c>
      <c r="N882" s="113">
        <f t="shared" si="242"/>
        <v>0</v>
      </c>
      <c r="O882" s="113">
        <f t="shared" si="242"/>
        <v>674133</v>
      </c>
      <c r="P882" s="113">
        <f t="shared" si="242"/>
        <v>0</v>
      </c>
      <c r="Q882" s="106" t="s">
        <v>40</v>
      </c>
      <c r="R882" s="106" t="s">
        <v>40</v>
      </c>
      <c r="S882" s="326">
        <v>43465</v>
      </c>
    </row>
    <row r="883" spans="1:19" s="1" customFormat="1" ht="15.75">
      <c r="A883" s="107"/>
      <c r="B883" s="1336" t="s">
        <v>102</v>
      </c>
      <c r="C883" s="1336"/>
      <c r="D883" s="1336"/>
      <c r="E883" s="1336"/>
      <c r="F883" s="1336"/>
      <c r="G883" s="1336"/>
      <c r="H883" s="128">
        <f>H884+H885</f>
        <v>459.1</v>
      </c>
      <c r="I883" s="106">
        <f t="shared" ref="I883:N883" si="243">I884+I885</f>
        <v>410.7</v>
      </c>
      <c r="J883" s="106">
        <f t="shared" si="243"/>
        <v>353.4</v>
      </c>
      <c r="K883" s="119">
        <f t="shared" si="243"/>
        <v>18</v>
      </c>
      <c r="L883" s="113">
        <f t="shared" si="243"/>
        <v>674133</v>
      </c>
      <c r="M883" s="113">
        <f t="shared" si="243"/>
        <v>0</v>
      </c>
      <c r="N883" s="113">
        <f t="shared" si="243"/>
        <v>0</v>
      </c>
      <c r="O883" s="113">
        <f>O884+O885</f>
        <v>674133</v>
      </c>
      <c r="P883" s="113">
        <f t="shared" ref="P883" si="244">P884+P885</f>
        <v>0</v>
      </c>
      <c r="Q883" s="106" t="s">
        <v>40</v>
      </c>
      <c r="R883" s="106" t="s">
        <v>40</v>
      </c>
      <c r="S883" s="326">
        <v>43465</v>
      </c>
    </row>
    <row r="884" spans="1:19" s="1" customFormat="1" ht="15.75">
      <c r="A884" s="318">
        <f>A881+1</f>
        <v>1</v>
      </c>
      <c r="B884" s="319" t="s">
        <v>484</v>
      </c>
      <c r="C884" s="320">
        <v>1958</v>
      </c>
      <c r="D884" s="359"/>
      <c r="E884" s="321" t="s">
        <v>222</v>
      </c>
      <c r="F884" s="320">
        <v>2</v>
      </c>
      <c r="G884" s="320">
        <v>2</v>
      </c>
      <c r="H884" s="322">
        <v>459.1</v>
      </c>
      <c r="I884" s="360">
        <v>410.7</v>
      </c>
      <c r="J884" s="320">
        <v>353.4</v>
      </c>
      <c r="K884" s="323">
        <v>18</v>
      </c>
      <c r="L884" s="324">
        <v>674133</v>
      </c>
      <c r="M884" s="324">
        <v>0</v>
      </c>
      <c r="N884" s="324">
        <v>0</v>
      </c>
      <c r="O884" s="324">
        <v>674133</v>
      </c>
      <c r="P884" s="324">
        <v>0</v>
      </c>
      <c r="Q884" s="325">
        <f>L884/I884</f>
        <v>1641.4243973703433</v>
      </c>
      <c r="R884" s="325">
        <v>7920</v>
      </c>
      <c r="S884" s="326">
        <v>43465</v>
      </c>
    </row>
    <row r="885" spans="1:19" s="1" customFormat="1" ht="15.75">
      <c r="A885" s="107"/>
      <c r="B885" s="301"/>
      <c r="C885" s="108"/>
      <c r="D885" s="156"/>
      <c r="E885" s="109"/>
      <c r="F885" s="108"/>
      <c r="G885" s="108"/>
      <c r="H885" s="111"/>
      <c r="I885" s="108"/>
      <c r="J885" s="108"/>
      <c r="K885" s="112"/>
      <c r="L885" s="113"/>
      <c r="M885" s="113"/>
      <c r="N885" s="113"/>
      <c r="O885" s="113"/>
      <c r="P885" s="113"/>
      <c r="Q885" s="114"/>
      <c r="R885" s="114"/>
      <c r="S885" s="326"/>
    </row>
    <row r="886" spans="1:19" s="1" customFormat="1" ht="15.75">
      <c r="A886" s="107"/>
      <c r="B886" s="1336" t="s">
        <v>47</v>
      </c>
      <c r="C886" s="1336"/>
      <c r="D886" s="1336"/>
      <c r="E886" s="1336"/>
      <c r="F886" s="1336"/>
      <c r="G886" s="1336"/>
      <c r="H886" s="128">
        <f>H887</f>
        <v>597</v>
      </c>
      <c r="I886" s="106">
        <f t="shared" ref="I886:P887" si="245">I887</f>
        <v>553.20000000000005</v>
      </c>
      <c r="J886" s="106">
        <f t="shared" si="245"/>
        <v>553.20000000000005</v>
      </c>
      <c r="K886" s="119">
        <f t="shared" si="245"/>
        <v>22</v>
      </c>
      <c r="L886" s="113">
        <f t="shared" si="245"/>
        <v>1786109</v>
      </c>
      <c r="M886" s="113">
        <f>M887</f>
        <v>0</v>
      </c>
      <c r="N886" s="113">
        <f t="shared" si="245"/>
        <v>0</v>
      </c>
      <c r="O886" s="113">
        <f t="shared" si="245"/>
        <v>1786109</v>
      </c>
      <c r="P886" s="113">
        <f t="shared" si="245"/>
        <v>0</v>
      </c>
      <c r="Q886" s="106" t="s">
        <v>40</v>
      </c>
      <c r="R886" s="114" t="s">
        <v>40</v>
      </c>
      <c r="S886" s="326">
        <v>43465</v>
      </c>
    </row>
    <row r="887" spans="1:19" s="1" customFormat="1" ht="15.75">
      <c r="A887" s="318"/>
      <c r="B887" s="1359" t="s">
        <v>103</v>
      </c>
      <c r="C887" s="1359"/>
      <c r="D887" s="1359"/>
      <c r="E887" s="1359"/>
      <c r="F887" s="1359"/>
      <c r="G887" s="1359"/>
      <c r="H887" s="341">
        <f>H888</f>
        <v>597</v>
      </c>
      <c r="I887" s="341">
        <f t="shared" si="245"/>
        <v>553.20000000000005</v>
      </c>
      <c r="J887" s="341">
        <f t="shared" si="245"/>
        <v>553.20000000000005</v>
      </c>
      <c r="K887" s="341">
        <f t="shared" si="245"/>
        <v>22</v>
      </c>
      <c r="L887" s="675">
        <f t="shared" si="245"/>
        <v>1786109</v>
      </c>
      <c r="M887" s="675">
        <f t="shared" si="245"/>
        <v>0</v>
      </c>
      <c r="N887" s="675">
        <f t="shared" si="245"/>
        <v>0</v>
      </c>
      <c r="O887" s="675">
        <f t="shared" si="245"/>
        <v>1786109</v>
      </c>
      <c r="P887" s="675">
        <f t="shared" si="245"/>
        <v>0</v>
      </c>
      <c r="Q887" s="344" t="s">
        <v>40</v>
      </c>
      <c r="R887" s="344" t="s">
        <v>40</v>
      </c>
      <c r="S887" s="326">
        <v>43465</v>
      </c>
    </row>
    <row r="888" spans="1:19" s="1" customFormat="1" ht="31.5">
      <c r="A888" s="318">
        <f>A885+1</f>
        <v>1</v>
      </c>
      <c r="B888" s="938" t="s">
        <v>878</v>
      </c>
      <c r="C888" s="554" t="s">
        <v>879</v>
      </c>
      <c r="D888" s="554"/>
      <c r="E888" s="321" t="s">
        <v>218</v>
      </c>
      <c r="F888" s="320">
        <v>2</v>
      </c>
      <c r="G888" s="320">
        <v>2</v>
      </c>
      <c r="H888" s="587">
        <v>597</v>
      </c>
      <c r="I888" s="418">
        <v>553.20000000000005</v>
      </c>
      <c r="J888" s="418">
        <v>553.20000000000005</v>
      </c>
      <c r="K888" s="323">
        <v>22</v>
      </c>
      <c r="L888" s="324">
        <v>1786109</v>
      </c>
      <c r="M888" s="324">
        <v>0</v>
      </c>
      <c r="N888" s="324">
        <v>0</v>
      </c>
      <c r="O888" s="324">
        <v>1786109</v>
      </c>
      <c r="P888" s="324">
        <v>0</v>
      </c>
      <c r="Q888" s="418">
        <f>L888/I888</f>
        <v>3228.6858279103394</v>
      </c>
      <c r="R888" s="325">
        <v>7920</v>
      </c>
      <c r="S888" s="326">
        <v>43465</v>
      </c>
    </row>
    <row r="889" spans="1:19" s="1" customFormat="1" ht="15.75">
      <c r="A889" s="107"/>
      <c r="B889" s="1336" t="s">
        <v>48</v>
      </c>
      <c r="C889" s="1336"/>
      <c r="D889" s="1336"/>
      <c r="E889" s="1336"/>
      <c r="F889" s="1336"/>
      <c r="G889" s="1336"/>
      <c r="H889" s="128">
        <f t="shared" ref="H889:P889" si="246">H890+H894</f>
        <v>1595.8000000000002</v>
      </c>
      <c r="I889" s="106">
        <f t="shared" si="246"/>
        <v>1449</v>
      </c>
      <c r="J889" s="106">
        <f t="shared" si="246"/>
        <v>1359.9</v>
      </c>
      <c r="K889" s="119">
        <f t="shared" si="246"/>
        <v>74</v>
      </c>
      <c r="L889" s="113">
        <f t="shared" si="246"/>
        <v>2857043</v>
      </c>
      <c r="M889" s="113">
        <f t="shared" si="246"/>
        <v>0</v>
      </c>
      <c r="N889" s="113">
        <f t="shared" si="246"/>
        <v>414501.02</v>
      </c>
      <c r="O889" s="113">
        <f t="shared" si="246"/>
        <v>2442541.98</v>
      </c>
      <c r="P889" s="113">
        <f t="shared" si="246"/>
        <v>0</v>
      </c>
      <c r="Q889" s="106" t="s">
        <v>40</v>
      </c>
      <c r="R889" s="114" t="s">
        <v>40</v>
      </c>
      <c r="S889" s="326">
        <v>43465</v>
      </c>
    </row>
    <row r="890" spans="1:19" s="1" customFormat="1" ht="15.75">
      <c r="A890" s="318"/>
      <c r="B890" s="1359" t="s">
        <v>107</v>
      </c>
      <c r="C890" s="1359"/>
      <c r="D890" s="1359"/>
      <c r="E890" s="1359"/>
      <c r="F890" s="1359"/>
      <c r="G890" s="1359"/>
      <c r="H890" s="341">
        <f>SUM(H891:H892)</f>
        <v>1330.3000000000002</v>
      </c>
      <c r="I890" s="341">
        <f t="shared" ref="I890:P890" si="247">SUM(I891:I892)</f>
        <v>1206.0999999999999</v>
      </c>
      <c r="J890" s="341">
        <f t="shared" si="247"/>
        <v>1117</v>
      </c>
      <c r="K890" s="341">
        <f t="shared" si="247"/>
        <v>72</v>
      </c>
      <c r="L890" s="675">
        <f t="shared" si="247"/>
        <v>2303204</v>
      </c>
      <c r="M890" s="675">
        <f t="shared" si="247"/>
        <v>0</v>
      </c>
      <c r="N890" s="675">
        <f t="shared" si="247"/>
        <v>0</v>
      </c>
      <c r="O890" s="675">
        <f t="shared" si="247"/>
        <v>2303204</v>
      </c>
      <c r="P890" s="675">
        <f t="shared" si="247"/>
        <v>0</v>
      </c>
      <c r="Q890" s="344" t="s">
        <v>40</v>
      </c>
      <c r="R890" s="344" t="s">
        <v>40</v>
      </c>
      <c r="S890" s="326">
        <v>43465</v>
      </c>
    </row>
    <row r="891" spans="1:19" s="1" customFormat="1" ht="31.5">
      <c r="A891" s="318" t="e">
        <f>#REF!+1</f>
        <v>#REF!</v>
      </c>
      <c r="B891" s="591" t="s">
        <v>772</v>
      </c>
      <c r="C891" s="671">
        <v>1968</v>
      </c>
      <c r="D891" s="671"/>
      <c r="E891" s="321" t="s">
        <v>218</v>
      </c>
      <c r="F891" s="671">
        <v>5</v>
      </c>
      <c r="G891" s="671">
        <v>4</v>
      </c>
      <c r="H891" s="672">
        <v>541.20000000000005</v>
      </c>
      <c r="I891" s="673">
        <v>476.4</v>
      </c>
      <c r="J891" s="673">
        <v>387.3</v>
      </c>
      <c r="K891" s="674">
        <v>39</v>
      </c>
      <c r="L891" s="324">
        <v>1572372</v>
      </c>
      <c r="M891" s="324">
        <v>0</v>
      </c>
      <c r="N891" s="324">
        <v>0</v>
      </c>
      <c r="O891" s="324">
        <f>L891</f>
        <v>1572372</v>
      </c>
      <c r="P891" s="324">
        <v>0</v>
      </c>
      <c r="Q891" s="344">
        <f>L891/I891</f>
        <v>3300.5289672544081</v>
      </c>
      <c r="R891" s="325">
        <v>7920</v>
      </c>
      <c r="S891" s="326">
        <v>43465</v>
      </c>
    </row>
    <row r="892" spans="1:19" s="28" customFormat="1" ht="31.5">
      <c r="A892" s="318" t="e">
        <f t="shared" si="230"/>
        <v>#REF!</v>
      </c>
      <c r="B892" s="591" t="s">
        <v>773</v>
      </c>
      <c r="C892" s="340">
        <v>1980</v>
      </c>
      <c r="D892" s="340"/>
      <c r="E892" s="321" t="s">
        <v>218</v>
      </c>
      <c r="F892" s="340">
        <v>2</v>
      </c>
      <c r="G892" s="340">
        <v>2</v>
      </c>
      <c r="H892" s="341">
        <v>789.1</v>
      </c>
      <c r="I892" s="344">
        <v>729.7</v>
      </c>
      <c r="J892" s="344">
        <v>729.7</v>
      </c>
      <c r="K892" s="343">
        <v>33</v>
      </c>
      <c r="L892" s="324">
        <v>730832</v>
      </c>
      <c r="M892" s="324">
        <v>0</v>
      </c>
      <c r="N892" s="324">
        <v>0</v>
      </c>
      <c r="O892" s="324">
        <f>L892</f>
        <v>730832</v>
      </c>
      <c r="P892" s="324">
        <v>0</v>
      </c>
      <c r="Q892" s="344">
        <f>L892/I892</f>
        <v>1001.5513224612854</v>
      </c>
      <c r="R892" s="325">
        <v>7920</v>
      </c>
      <c r="S892" s="326">
        <v>43465</v>
      </c>
    </row>
    <row r="893" spans="1:19" s="28" customFormat="1" ht="15.75">
      <c r="A893" s="107"/>
      <c r="B893" s="161"/>
      <c r="C893" s="158"/>
      <c r="D893" s="158"/>
      <c r="E893" s="109"/>
      <c r="F893" s="158"/>
      <c r="G893" s="158"/>
      <c r="H893" s="159"/>
      <c r="I893" s="157"/>
      <c r="J893" s="157"/>
      <c r="K893" s="160"/>
      <c r="L893" s="113"/>
      <c r="M893" s="113"/>
      <c r="N893" s="113"/>
      <c r="O893" s="113"/>
      <c r="P893" s="113"/>
      <c r="Q893" s="106"/>
      <c r="R893" s="114"/>
      <c r="S893" s="326"/>
    </row>
    <row r="894" spans="1:19" s="1" customFormat="1" ht="15.75" customHeight="1">
      <c r="A894" s="107"/>
      <c r="B894" s="1329" t="s">
        <v>104</v>
      </c>
      <c r="C894" s="1329"/>
      <c r="D894" s="1329"/>
      <c r="E894" s="1329"/>
      <c r="F894" s="1329"/>
      <c r="G894" s="1329"/>
      <c r="H894" s="128">
        <f>H895</f>
        <v>265.5</v>
      </c>
      <c r="I894" s="106">
        <f t="shared" ref="I894:P894" si="248">I895</f>
        <v>242.9</v>
      </c>
      <c r="J894" s="106">
        <f t="shared" si="248"/>
        <v>242.9</v>
      </c>
      <c r="K894" s="119">
        <f t="shared" si="248"/>
        <v>2</v>
      </c>
      <c r="L894" s="113">
        <f t="shared" si="248"/>
        <v>553839</v>
      </c>
      <c r="M894" s="113">
        <f t="shared" si="248"/>
        <v>0</v>
      </c>
      <c r="N894" s="113">
        <f t="shared" si="248"/>
        <v>414501.02</v>
      </c>
      <c r="O894" s="113">
        <f t="shared" si="248"/>
        <v>139337.98000000001</v>
      </c>
      <c r="P894" s="113">
        <f t="shared" si="248"/>
        <v>0</v>
      </c>
      <c r="Q894" s="106" t="s">
        <v>40</v>
      </c>
      <c r="R894" s="114" t="s">
        <v>40</v>
      </c>
      <c r="S894" s="326">
        <v>43465</v>
      </c>
    </row>
    <row r="895" spans="1:19" s="1" customFormat="1" ht="31.5">
      <c r="A895" s="107">
        <f>A893+1</f>
        <v>1</v>
      </c>
      <c r="B895" s="301" t="s">
        <v>458</v>
      </c>
      <c r="C895" s="110">
        <v>1953</v>
      </c>
      <c r="D895" s="108"/>
      <c r="E895" s="109" t="s">
        <v>218</v>
      </c>
      <c r="F895" s="108">
        <v>2</v>
      </c>
      <c r="G895" s="108">
        <v>1</v>
      </c>
      <c r="H895" s="111">
        <v>265.5</v>
      </c>
      <c r="I895" s="108">
        <v>242.9</v>
      </c>
      <c r="J895" s="108">
        <v>242.9</v>
      </c>
      <c r="K895" s="112">
        <v>2</v>
      </c>
      <c r="L895" s="113">
        <f>N895+O895</f>
        <v>553839</v>
      </c>
      <c r="M895" s="113">
        <v>0</v>
      </c>
      <c r="N895" s="113">
        <v>414501.02</v>
      </c>
      <c r="O895" s="113">
        <v>139337.98000000001</v>
      </c>
      <c r="P895" s="113">
        <v>0</v>
      </c>
      <c r="Q895" s="114">
        <f>L895/I895</f>
        <v>2280.1111568546726</v>
      </c>
      <c r="R895" s="114">
        <v>6774</v>
      </c>
      <c r="S895" s="326">
        <v>43465</v>
      </c>
    </row>
    <row r="896" spans="1:19" s="1" customFormat="1" ht="15.75">
      <c r="A896" s="107"/>
      <c r="B896" s="1368" t="s">
        <v>49</v>
      </c>
      <c r="C896" s="1368"/>
      <c r="D896" s="1368"/>
      <c r="E896" s="1368"/>
      <c r="F896" s="1368"/>
      <c r="G896" s="1368"/>
      <c r="H896" s="128">
        <f>H897+H900+H903+H905</f>
        <v>3572.5</v>
      </c>
      <c r="I896" s="128">
        <f t="shared" ref="I896:P896" si="249">I897+I900+I903+I905</f>
        <v>3050.2000000000003</v>
      </c>
      <c r="J896" s="128">
        <f t="shared" si="249"/>
        <v>3006.9</v>
      </c>
      <c r="K896" s="162">
        <f t="shared" si="249"/>
        <v>171</v>
      </c>
      <c r="L896" s="113">
        <f t="shared" si="249"/>
        <v>6285922.7999999998</v>
      </c>
      <c r="M896" s="113">
        <f t="shared" si="249"/>
        <v>0</v>
      </c>
      <c r="N896" s="113">
        <f t="shared" si="249"/>
        <v>59804</v>
      </c>
      <c r="O896" s="113">
        <f t="shared" si="249"/>
        <v>6226118.7999999998</v>
      </c>
      <c r="P896" s="113">
        <f t="shared" si="249"/>
        <v>0</v>
      </c>
      <c r="Q896" s="106" t="s">
        <v>40</v>
      </c>
      <c r="R896" s="114" t="s">
        <v>40</v>
      </c>
      <c r="S896" s="326">
        <v>43465</v>
      </c>
    </row>
    <row r="897" spans="1:34" s="1" customFormat="1" ht="15.75">
      <c r="A897" s="107"/>
      <c r="B897" s="1336" t="s">
        <v>105</v>
      </c>
      <c r="C897" s="1336"/>
      <c r="D897" s="1336"/>
      <c r="E897" s="1336"/>
      <c r="F897" s="1336"/>
      <c r="G897" s="1336"/>
      <c r="H897" s="128">
        <f>H898+H899</f>
        <v>722</v>
      </c>
      <c r="I897" s="162">
        <f t="shared" ref="I897:J897" si="250">I898+I899</f>
        <v>475.1</v>
      </c>
      <c r="J897" s="162">
        <f t="shared" si="250"/>
        <v>431.8</v>
      </c>
      <c r="K897" s="119">
        <f>K898+K899</f>
        <v>39</v>
      </c>
      <c r="L897" s="113">
        <f t="shared" ref="L897:P897" si="251">L898+L899</f>
        <v>1753559</v>
      </c>
      <c r="M897" s="113">
        <f t="shared" si="251"/>
        <v>0</v>
      </c>
      <c r="N897" s="113">
        <f t="shared" si="251"/>
        <v>0</v>
      </c>
      <c r="O897" s="113">
        <f t="shared" si="251"/>
        <v>1753559</v>
      </c>
      <c r="P897" s="113">
        <f t="shared" si="251"/>
        <v>0</v>
      </c>
      <c r="Q897" s="106" t="s">
        <v>40</v>
      </c>
      <c r="R897" s="106" t="s">
        <v>40</v>
      </c>
      <c r="S897" s="326">
        <v>43465</v>
      </c>
    </row>
    <row r="898" spans="1:34" s="1" customFormat="1" ht="31.5">
      <c r="A898" s="318">
        <f>A895+1</f>
        <v>2</v>
      </c>
      <c r="B898" s="339" t="s">
        <v>482</v>
      </c>
      <c r="C898" s="340">
        <v>1968</v>
      </c>
      <c r="D898" s="340"/>
      <c r="E898" s="321" t="s">
        <v>218</v>
      </c>
      <c r="F898" s="340">
        <v>2</v>
      </c>
      <c r="G898" s="340">
        <v>2</v>
      </c>
      <c r="H898" s="341">
        <v>722</v>
      </c>
      <c r="I898" s="342">
        <v>475.1</v>
      </c>
      <c r="J898" s="342">
        <v>431.8</v>
      </c>
      <c r="K898" s="343">
        <v>39</v>
      </c>
      <c r="L898" s="324">
        <v>1753559</v>
      </c>
      <c r="M898" s="324">
        <v>0</v>
      </c>
      <c r="N898" s="324">
        <v>0</v>
      </c>
      <c r="O898" s="324">
        <f>L898</f>
        <v>1753559</v>
      </c>
      <c r="P898" s="324">
        <v>0</v>
      </c>
      <c r="Q898" s="344">
        <f>L898/I898</f>
        <v>3690.9261208166699</v>
      </c>
      <c r="R898" s="325">
        <v>7920</v>
      </c>
      <c r="S898" s="326">
        <v>43465</v>
      </c>
    </row>
    <row r="899" spans="1:34" s="1" customFormat="1" ht="15.75">
      <c r="A899" s="107"/>
      <c r="B899" s="307"/>
      <c r="C899" s="118"/>
      <c r="D899" s="118"/>
      <c r="E899" s="109"/>
      <c r="F899" s="118"/>
      <c r="G899" s="118"/>
      <c r="H899" s="128"/>
      <c r="I899" s="106"/>
      <c r="J899" s="118"/>
      <c r="K899" s="119"/>
      <c r="L899" s="113"/>
      <c r="M899" s="113"/>
      <c r="N899" s="113"/>
      <c r="O899" s="113"/>
      <c r="P899" s="113"/>
      <c r="Q899" s="106"/>
      <c r="R899" s="114"/>
      <c r="S899" s="326"/>
    </row>
    <row r="900" spans="1:34" s="1" customFormat="1" ht="15.75" customHeight="1">
      <c r="A900" s="107"/>
      <c r="B900" s="1329" t="s">
        <v>188</v>
      </c>
      <c r="C900" s="1329"/>
      <c r="D900" s="1329"/>
      <c r="E900" s="1329"/>
      <c r="F900" s="1329"/>
      <c r="G900" s="1329"/>
      <c r="H900" s="128">
        <f>H901+H902</f>
        <v>1595.1</v>
      </c>
      <c r="I900" s="128">
        <f t="shared" ref="I900:J900" si="252">I901+I902</f>
        <v>1431.3</v>
      </c>
      <c r="J900" s="128">
        <f t="shared" si="252"/>
        <v>1431.3</v>
      </c>
      <c r="K900" s="162">
        <f>K901+K902</f>
        <v>87</v>
      </c>
      <c r="L900" s="113">
        <f t="shared" ref="L900:P900" si="253">L901+L902</f>
        <v>1905804</v>
      </c>
      <c r="M900" s="113">
        <f t="shared" si="253"/>
        <v>0</v>
      </c>
      <c r="N900" s="113">
        <f t="shared" si="253"/>
        <v>59804</v>
      </c>
      <c r="O900" s="113">
        <f t="shared" si="253"/>
        <v>1846000</v>
      </c>
      <c r="P900" s="113">
        <f t="shared" si="253"/>
        <v>0</v>
      </c>
      <c r="Q900" s="106" t="s">
        <v>40</v>
      </c>
      <c r="R900" s="114" t="s">
        <v>40</v>
      </c>
      <c r="S900" s="326">
        <v>43465</v>
      </c>
    </row>
    <row r="901" spans="1:34" s="1" customFormat="1" ht="15.75">
      <c r="A901" s="107">
        <f>A899+1</f>
        <v>1</v>
      </c>
      <c r="B901" s="300" t="s">
        <v>410</v>
      </c>
      <c r="C901" s="302">
        <v>1968</v>
      </c>
      <c r="D901" s="118"/>
      <c r="E901" s="109" t="s">
        <v>219</v>
      </c>
      <c r="F901" s="118">
        <v>2</v>
      </c>
      <c r="G901" s="118">
        <v>3</v>
      </c>
      <c r="H901" s="128">
        <v>798.1</v>
      </c>
      <c r="I901" s="106">
        <v>714.4</v>
      </c>
      <c r="J901" s="118">
        <v>714.4</v>
      </c>
      <c r="K901" s="119">
        <v>42</v>
      </c>
      <c r="L901" s="113">
        <v>958459</v>
      </c>
      <c r="M901" s="113">
        <v>0</v>
      </c>
      <c r="N901" s="113">
        <v>35459</v>
      </c>
      <c r="O901" s="113">
        <v>923000</v>
      </c>
      <c r="P901" s="113">
        <v>0</v>
      </c>
      <c r="Q901" s="106">
        <f>L901/I901</f>
        <v>1341.6279395296754</v>
      </c>
      <c r="R901" s="114">
        <v>6774</v>
      </c>
      <c r="S901" s="326">
        <v>43465</v>
      </c>
    </row>
    <row r="902" spans="1:34" s="1" customFormat="1" ht="15.75">
      <c r="A902" s="107">
        <f t="shared" si="230"/>
        <v>2</v>
      </c>
      <c r="B902" s="307" t="s">
        <v>411</v>
      </c>
      <c r="C902" s="118">
        <v>1970</v>
      </c>
      <c r="D902" s="118"/>
      <c r="E902" s="109" t="s">
        <v>219</v>
      </c>
      <c r="F902" s="118">
        <v>2</v>
      </c>
      <c r="G902" s="118">
        <v>3</v>
      </c>
      <c r="H902" s="128">
        <v>797</v>
      </c>
      <c r="I902" s="106">
        <v>716.9</v>
      </c>
      <c r="J902" s="118">
        <v>716.9</v>
      </c>
      <c r="K902" s="119">
        <v>45</v>
      </c>
      <c r="L902" s="113">
        <v>947345</v>
      </c>
      <c r="M902" s="113">
        <v>0</v>
      </c>
      <c r="N902" s="113">
        <v>24345</v>
      </c>
      <c r="O902" s="113">
        <v>923000</v>
      </c>
      <c r="P902" s="113">
        <v>0</v>
      </c>
      <c r="Q902" s="106">
        <f>L902/I902</f>
        <v>1321.4465057888131</v>
      </c>
      <c r="R902" s="114">
        <v>6774</v>
      </c>
      <c r="S902" s="326">
        <v>43465</v>
      </c>
    </row>
    <row r="903" spans="1:34" s="1" customFormat="1" ht="15.75">
      <c r="A903" s="107"/>
      <c r="B903" s="1336" t="s">
        <v>189</v>
      </c>
      <c r="C903" s="1336"/>
      <c r="D903" s="1336"/>
      <c r="E903" s="1336"/>
      <c r="F903" s="1336"/>
      <c r="G903" s="1336"/>
      <c r="H903" s="128">
        <f>H904</f>
        <v>506.9</v>
      </c>
      <c r="I903" s="128">
        <f t="shared" ref="I903:P903" si="254">I904</f>
        <v>402.3</v>
      </c>
      <c r="J903" s="128">
        <f t="shared" si="254"/>
        <v>402.3</v>
      </c>
      <c r="K903" s="162">
        <f t="shared" si="254"/>
        <v>7</v>
      </c>
      <c r="L903" s="113">
        <f t="shared" si="254"/>
        <v>820660</v>
      </c>
      <c r="M903" s="113">
        <f t="shared" si="254"/>
        <v>0</v>
      </c>
      <c r="N903" s="113">
        <f t="shared" si="254"/>
        <v>0</v>
      </c>
      <c r="O903" s="113">
        <f t="shared" si="254"/>
        <v>820660</v>
      </c>
      <c r="P903" s="113">
        <f t="shared" si="254"/>
        <v>0</v>
      </c>
      <c r="Q903" s="106" t="s">
        <v>40</v>
      </c>
      <c r="R903" s="114" t="s">
        <v>40</v>
      </c>
      <c r="S903" s="326">
        <v>43465</v>
      </c>
    </row>
    <row r="904" spans="1:34" s="1" customFormat="1" ht="31.5">
      <c r="A904" s="107">
        <f>A902+1</f>
        <v>3</v>
      </c>
      <c r="B904" s="307" t="s">
        <v>412</v>
      </c>
      <c r="C904" s="118">
        <v>1958</v>
      </c>
      <c r="D904" s="118"/>
      <c r="E904" s="109" t="s">
        <v>218</v>
      </c>
      <c r="F904" s="118">
        <v>2</v>
      </c>
      <c r="G904" s="118">
        <v>1</v>
      </c>
      <c r="H904" s="128">
        <v>506.9</v>
      </c>
      <c r="I904" s="106">
        <v>402.3</v>
      </c>
      <c r="J904" s="118">
        <v>402.3</v>
      </c>
      <c r="K904" s="119">
        <v>7</v>
      </c>
      <c r="L904" s="113">
        <v>820660</v>
      </c>
      <c r="M904" s="113">
        <v>0</v>
      </c>
      <c r="N904" s="113">
        <v>0</v>
      </c>
      <c r="O904" s="113">
        <f>L904</f>
        <v>820660</v>
      </c>
      <c r="P904" s="113">
        <v>0</v>
      </c>
      <c r="Q904" s="106">
        <f>L904/I904</f>
        <v>2039.9204573701218</v>
      </c>
      <c r="R904" s="114">
        <v>6774</v>
      </c>
      <c r="S904" s="326">
        <v>43465</v>
      </c>
    </row>
    <row r="905" spans="1:34" s="1" customFormat="1" ht="15.75">
      <c r="A905" s="107"/>
      <c r="B905" s="1336" t="s">
        <v>131</v>
      </c>
      <c r="C905" s="1336"/>
      <c r="D905" s="1336"/>
      <c r="E905" s="1336"/>
      <c r="F905" s="1336"/>
      <c r="G905" s="1336"/>
      <c r="H905" s="128">
        <f>H906</f>
        <v>748.5</v>
      </c>
      <c r="I905" s="128">
        <f t="shared" ref="I905:P905" si="255">I906</f>
        <v>741.5</v>
      </c>
      <c r="J905" s="128">
        <f t="shared" si="255"/>
        <v>741.5</v>
      </c>
      <c r="K905" s="128">
        <f t="shared" si="255"/>
        <v>38</v>
      </c>
      <c r="L905" s="366">
        <f t="shared" si="255"/>
        <v>1805899.8</v>
      </c>
      <c r="M905" s="366">
        <f t="shared" si="255"/>
        <v>0</v>
      </c>
      <c r="N905" s="366">
        <f t="shared" si="255"/>
        <v>0</v>
      </c>
      <c r="O905" s="366">
        <f t="shared" si="255"/>
        <v>1805899.8</v>
      </c>
      <c r="P905" s="366">
        <f t="shared" si="255"/>
        <v>0</v>
      </c>
      <c r="Q905" s="106" t="s">
        <v>40</v>
      </c>
      <c r="R905" s="114" t="s">
        <v>40</v>
      </c>
      <c r="S905" s="326">
        <v>43465</v>
      </c>
    </row>
    <row r="906" spans="1:34" s="61" customFormat="1">
      <c r="A906" s="107">
        <f>A904+1</f>
        <v>4</v>
      </c>
      <c r="B906" s="163" t="s">
        <v>660</v>
      </c>
      <c r="C906" s="131">
        <v>1969</v>
      </c>
      <c r="D906" s="131"/>
      <c r="E906" s="109" t="s">
        <v>661</v>
      </c>
      <c r="F906" s="131">
        <v>2</v>
      </c>
      <c r="G906" s="131">
        <v>1</v>
      </c>
      <c r="H906" s="131">
        <v>748.5</v>
      </c>
      <c r="I906" s="131">
        <v>741.5</v>
      </c>
      <c r="J906" s="131">
        <v>741.5</v>
      </c>
      <c r="K906" s="131">
        <v>38</v>
      </c>
      <c r="L906" s="113">
        <v>1805899.8</v>
      </c>
      <c r="M906" s="113">
        <v>0</v>
      </c>
      <c r="N906" s="113">
        <v>0</v>
      </c>
      <c r="O906" s="113">
        <v>1805899.8</v>
      </c>
      <c r="P906" s="113">
        <v>0</v>
      </c>
      <c r="Q906" s="124">
        <f>L906/I906</f>
        <v>2435.4683749157116</v>
      </c>
      <c r="R906" s="114">
        <v>7920</v>
      </c>
      <c r="S906" s="326">
        <v>43465</v>
      </c>
    </row>
    <row r="907" spans="1:34" s="61" customFormat="1">
      <c r="A907" s="107"/>
      <c r="B907" s="145"/>
      <c r="C907" s="164"/>
      <c r="D907" s="131"/>
      <c r="E907" s="109"/>
      <c r="F907" s="131"/>
      <c r="G907" s="131"/>
      <c r="H907" s="131"/>
      <c r="I907" s="131"/>
      <c r="J907" s="131"/>
      <c r="K907" s="131"/>
      <c r="L907" s="113"/>
      <c r="M907" s="113"/>
      <c r="N907" s="113"/>
      <c r="O907" s="113"/>
      <c r="P907" s="113"/>
      <c r="Q907" s="124"/>
      <c r="R907" s="114"/>
      <c r="S907" s="326"/>
    </row>
    <row r="908" spans="1:34" s="1" customFormat="1" ht="15.75">
      <c r="A908" s="107"/>
      <c r="B908" s="1336" t="s">
        <v>50</v>
      </c>
      <c r="C908" s="1336"/>
      <c r="D908" s="1336"/>
      <c r="E908" s="1336"/>
      <c r="F908" s="1336"/>
      <c r="G908" s="1336"/>
      <c r="H908" s="106">
        <f>H909</f>
        <v>10972.3</v>
      </c>
      <c r="I908" s="106">
        <f t="shared" ref="I908:P908" si="256">I909</f>
        <v>9982.5</v>
      </c>
      <c r="J908" s="106">
        <f t="shared" si="256"/>
        <v>8768.7999999999993</v>
      </c>
      <c r="K908" s="119">
        <f t="shared" si="256"/>
        <v>402</v>
      </c>
      <c r="L908" s="113">
        <f t="shared" si="256"/>
        <v>13535827</v>
      </c>
      <c r="M908" s="113">
        <f t="shared" si="256"/>
        <v>0</v>
      </c>
      <c r="N908" s="113">
        <f t="shared" si="256"/>
        <v>0</v>
      </c>
      <c r="O908" s="113">
        <f t="shared" si="256"/>
        <v>13535827</v>
      </c>
      <c r="P908" s="113">
        <f t="shared" si="256"/>
        <v>0</v>
      </c>
      <c r="Q908" s="106" t="s">
        <v>40</v>
      </c>
      <c r="R908" s="114" t="s">
        <v>40</v>
      </c>
      <c r="S908" s="326">
        <v>43465</v>
      </c>
    </row>
    <row r="909" spans="1:34" s="18" customFormat="1" ht="15.75">
      <c r="A909" s="107"/>
      <c r="B909" s="1336" t="s">
        <v>106</v>
      </c>
      <c r="C909" s="1336"/>
      <c r="D909" s="1336"/>
      <c r="E909" s="1336"/>
      <c r="F909" s="1336"/>
      <c r="G909" s="1336"/>
      <c r="H909" s="409">
        <f t="shared" ref="H909:P909" si="257">SUM(H910:H915)</f>
        <v>10972.3</v>
      </c>
      <c r="I909" s="409">
        <f t="shared" si="257"/>
        <v>9982.5</v>
      </c>
      <c r="J909" s="409">
        <f t="shared" si="257"/>
        <v>8768.7999999999993</v>
      </c>
      <c r="K909" s="657">
        <f t="shared" si="257"/>
        <v>402</v>
      </c>
      <c r="L909" s="113">
        <f t="shared" si="257"/>
        <v>13535827</v>
      </c>
      <c r="M909" s="113">
        <f t="shared" si="257"/>
        <v>0</v>
      </c>
      <c r="N909" s="113">
        <f t="shared" si="257"/>
        <v>0</v>
      </c>
      <c r="O909" s="113">
        <f t="shared" si="257"/>
        <v>13535827</v>
      </c>
      <c r="P909" s="113">
        <f t="shared" si="257"/>
        <v>0</v>
      </c>
      <c r="Q909" s="106" t="s">
        <v>40</v>
      </c>
      <c r="R909" s="114" t="s">
        <v>40</v>
      </c>
      <c r="S909" s="326">
        <v>43465</v>
      </c>
    </row>
    <row r="910" spans="1:34" s="66" customFormat="1" ht="31.5">
      <c r="A910" s="107">
        <f>A907+1</f>
        <v>1</v>
      </c>
      <c r="B910" s="165" t="s">
        <v>843</v>
      </c>
      <c r="C910" s="166">
        <v>1978</v>
      </c>
      <c r="D910" s="167"/>
      <c r="E910" s="109" t="s">
        <v>218</v>
      </c>
      <c r="F910" s="167">
        <v>5</v>
      </c>
      <c r="G910" s="793">
        <v>4</v>
      </c>
      <c r="H910" s="795">
        <v>3329.3</v>
      </c>
      <c r="I910" s="794">
        <v>3057.4</v>
      </c>
      <c r="J910" s="794">
        <v>2858</v>
      </c>
      <c r="K910" s="794">
        <v>111</v>
      </c>
      <c r="L910" s="655">
        <v>2331667</v>
      </c>
      <c r="M910" s="113">
        <f>SUM(M911:M915)</f>
        <v>0</v>
      </c>
      <c r="N910" s="113">
        <f>SUM(N911:N915)</f>
        <v>0</v>
      </c>
      <c r="O910" s="113">
        <f t="shared" ref="O910:O915" si="258">L910</f>
        <v>2331667</v>
      </c>
      <c r="P910" s="113">
        <f>SUM(P911:P915)</f>
        <v>0</v>
      </c>
      <c r="Q910" s="168">
        <f t="shared" ref="Q910:Q915" si="259">L910/I910</f>
        <v>762.6306665794466</v>
      </c>
      <c r="R910" s="114">
        <v>7920</v>
      </c>
      <c r="S910" s="326">
        <v>43465</v>
      </c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</row>
    <row r="911" spans="1:34" s="50" customFormat="1" ht="31.5">
      <c r="A911" s="107">
        <f>A910+1</f>
        <v>2</v>
      </c>
      <c r="B911" s="165" t="s">
        <v>847</v>
      </c>
      <c r="C911" s="166">
        <v>1975</v>
      </c>
      <c r="D911" s="167"/>
      <c r="E911" s="109" t="s">
        <v>218</v>
      </c>
      <c r="F911" s="167">
        <v>2</v>
      </c>
      <c r="G911" s="793">
        <v>2</v>
      </c>
      <c r="H911" s="795">
        <v>834.4</v>
      </c>
      <c r="I911" s="794">
        <v>769.7</v>
      </c>
      <c r="J911" s="794">
        <v>396.1</v>
      </c>
      <c r="K911" s="794">
        <v>56</v>
      </c>
      <c r="L911" s="655">
        <v>2406324</v>
      </c>
      <c r="M911" s="113">
        <f>SUM(M912:M917)</f>
        <v>0</v>
      </c>
      <c r="N911" s="113">
        <f>SUM(N912:N917)</f>
        <v>0</v>
      </c>
      <c r="O911" s="113">
        <f t="shared" si="258"/>
        <v>2406324</v>
      </c>
      <c r="P911" s="113">
        <f>SUM(P912:P917)</f>
        <v>0</v>
      </c>
      <c r="Q911" s="168">
        <f t="shared" si="259"/>
        <v>3126.3141483694944</v>
      </c>
      <c r="R911" s="114">
        <v>7920</v>
      </c>
      <c r="S911" s="326">
        <v>43465</v>
      </c>
    </row>
    <row r="912" spans="1:34" s="50" customFormat="1" ht="31.5">
      <c r="A912" s="107">
        <f t="shared" ref="A912:A944" si="260">A911+1</f>
        <v>3</v>
      </c>
      <c r="B912" s="165" t="s">
        <v>848</v>
      </c>
      <c r="C912" s="166">
        <v>1971</v>
      </c>
      <c r="D912" s="167"/>
      <c r="E912" s="109" t="s">
        <v>218</v>
      </c>
      <c r="F912" s="167">
        <v>2</v>
      </c>
      <c r="G912" s="793">
        <v>2</v>
      </c>
      <c r="H912" s="795">
        <v>575.70000000000005</v>
      </c>
      <c r="I912" s="794">
        <v>528.20000000000005</v>
      </c>
      <c r="J912" s="794">
        <v>496.5</v>
      </c>
      <c r="K912" s="794">
        <v>13</v>
      </c>
      <c r="L912" s="655">
        <v>1559913</v>
      </c>
      <c r="M912" s="113">
        <f>SUM(M913:M916)</f>
        <v>0</v>
      </c>
      <c r="N912" s="113">
        <f>SUM(N913:N916)</f>
        <v>0</v>
      </c>
      <c r="O912" s="113">
        <f t="shared" si="258"/>
        <v>1559913</v>
      </c>
      <c r="P912" s="113">
        <f>SUM(P913:P916)</f>
        <v>0</v>
      </c>
      <c r="Q912" s="168">
        <f t="shared" si="259"/>
        <v>2953.2620219613782</v>
      </c>
      <c r="R912" s="114">
        <v>7920</v>
      </c>
      <c r="S912" s="326">
        <v>43465</v>
      </c>
    </row>
    <row r="913" spans="1:19" s="50" customFormat="1" ht="31.5">
      <c r="A913" s="107">
        <f t="shared" si="260"/>
        <v>4</v>
      </c>
      <c r="B913" s="165" t="s">
        <v>849</v>
      </c>
      <c r="C913" s="166">
        <v>1961</v>
      </c>
      <c r="D913" s="167"/>
      <c r="E913" s="109" t="s">
        <v>218</v>
      </c>
      <c r="F913" s="167">
        <v>2</v>
      </c>
      <c r="G913" s="793">
        <v>2</v>
      </c>
      <c r="H913" s="795">
        <v>502.8</v>
      </c>
      <c r="I913" s="794">
        <v>459</v>
      </c>
      <c r="J913" s="794">
        <v>348</v>
      </c>
      <c r="K913" s="794">
        <v>27</v>
      </c>
      <c r="L913" s="655">
        <v>1511041</v>
      </c>
      <c r="M913" s="113">
        <f>SUM(M914:M915)</f>
        <v>0</v>
      </c>
      <c r="N913" s="113">
        <f>SUM(N914:N915)</f>
        <v>0</v>
      </c>
      <c r="O913" s="113">
        <f t="shared" si="258"/>
        <v>1511041</v>
      </c>
      <c r="P913" s="113">
        <f>SUM(P914:P915)</f>
        <v>0</v>
      </c>
      <c r="Q913" s="168">
        <f t="shared" si="259"/>
        <v>3292.0283224400873</v>
      </c>
      <c r="R913" s="114">
        <v>7920</v>
      </c>
      <c r="S913" s="326">
        <v>43465</v>
      </c>
    </row>
    <row r="914" spans="1:19" s="50" customFormat="1" ht="31.5">
      <c r="A914" s="107">
        <v>5</v>
      </c>
      <c r="B914" s="165" t="s">
        <v>851</v>
      </c>
      <c r="C914" s="166">
        <v>1961</v>
      </c>
      <c r="D914" s="167"/>
      <c r="E914" s="109" t="s">
        <v>218</v>
      </c>
      <c r="F914" s="167">
        <v>2</v>
      </c>
      <c r="G914" s="793">
        <v>1</v>
      </c>
      <c r="H914" s="795">
        <v>339.4</v>
      </c>
      <c r="I914" s="794">
        <v>305.2</v>
      </c>
      <c r="J914" s="794">
        <v>222.7</v>
      </c>
      <c r="K914" s="794">
        <v>12</v>
      </c>
      <c r="L914" s="655">
        <v>936676</v>
      </c>
      <c r="M914" s="113">
        <f>SUM(M915:M919)</f>
        <v>0</v>
      </c>
      <c r="N914" s="113">
        <f>SUM(N915:N919)</f>
        <v>0</v>
      </c>
      <c r="O914" s="113">
        <f t="shared" si="258"/>
        <v>936676</v>
      </c>
      <c r="P914" s="113">
        <f>SUM(P915:P919)</f>
        <v>0</v>
      </c>
      <c r="Q914" s="168">
        <f t="shared" si="259"/>
        <v>3069.0563564875492</v>
      </c>
      <c r="R914" s="114">
        <v>7920</v>
      </c>
      <c r="S914" s="326">
        <v>43465</v>
      </c>
    </row>
    <row r="915" spans="1:19" s="50" customFormat="1" ht="31.5">
      <c r="A915" s="107">
        <v>6</v>
      </c>
      <c r="B915" s="165" t="s">
        <v>844</v>
      </c>
      <c r="C915" s="166">
        <v>1980</v>
      </c>
      <c r="D915" s="167"/>
      <c r="E915" s="109" t="s">
        <v>218</v>
      </c>
      <c r="F915" s="167">
        <v>5</v>
      </c>
      <c r="G915" s="793">
        <v>7</v>
      </c>
      <c r="H915" s="795">
        <v>5390.7</v>
      </c>
      <c r="I915" s="794">
        <v>4863</v>
      </c>
      <c r="J915" s="794">
        <v>4447.5</v>
      </c>
      <c r="K915" s="794">
        <v>183</v>
      </c>
      <c r="L915" s="655">
        <v>4790206</v>
      </c>
      <c r="M915" s="113">
        <f>SUM(M916:M920)</f>
        <v>0</v>
      </c>
      <c r="N915" s="113">
        <f>SUM(N916:N920)</f>
        <v>0</v>
      </c>
      <c r="O915" s="113">
        <f t="shared" si="258"/>
        <v>4790206</v>
      </c>
      <c r="P915" s="113">
        <f>SUM(P916:P920)</f>
        <v>0</v>
      </c>
      <c r="Q915" s="168">
        <f t="shared" si="259"/>
        <v>985.03105079169234</v>
      </c>
      <c r="R915" s="114">
        <v>7920</v>
      </c>
      <c r="S915" s="326">
        <v>43465</v>
      </c>
    </row>
    <row r="916" spans="1:19" s="1" customFormat="1" ht="15.75">
      <c r="A916" s="107"/>
      <c r="B916" s="1336" t="s">
        <v>51</v>
      </c>
      <c r="C916" s="1336"/>
      <c r="D916" s="1336"/>
      <c r="E916" s="1336"/>
      <c r="F916" s="1336"/>
      <c r="G916" s="1336"/>
      <c r="H916" s="765">
        <f>H917</f>
        <v>8644.4000000000015</v>
      </c>
      <c r="I916" s="791">
        <f t="shared" ref="I916:P916" si="261">I917</f>
        <v>8644.4000000000015</v>
      </c>
      <c r="J916" s="791">
        <f t="shared" si="261"/>
        <v>5920.9</v>
      </c>
      <c r="K916" s="777">
        <f t="shared" si="261"/>
        <v>283</v>
      </c>
      <c r="L916" s="113">
        <f t="shared" si="261"/>
        <v>11085155</v>
      </c>
      <c r="M916" s="113">
        <f t="shared" si="261"/>
        <v>0</v>
      </c>
      <c r="N916" s="113">
        <f t="shared" si="261"/>
        <v>0</v>
      </c>
      <c r="O916" s="113">
        <f t="shared" si="261"/>
        <v>11085155</v>
      </c>
      <c r="P916" s="113">
        <f t="shared" si="261"/>
        <v>0</v>
      </c>
      <c r="Q916" s="106" t="s">
        <v>40</v>
      </c>
      <c r="R916" s="106" t="s">
        <v>40</v>
      </c>
      <c r="S916" s="326">
        <v>43465</v>
      </c>
    </row>
    <row r="917" spans="1:19" s="1" customFormat="1" ht="27" customHeight="1">
      <c r="A917" s="107"/>
      <c r="B917" s="1336" t="s">
        <v>108</v>
      </c>
      <c r="C917" s="1336"/>
      <c r="D917" s="1336"/>
      <c r="E917" s="1336"/>
      <c r="F917" s="1343"/>
      <c r="G917" s="1343"/>
      <c r="H917" s="613">
        <f t="shared" ref="H917:P917" si="262">SUM(H918:H925)</f>
        <v>8644.4000000000015</v>
      </c>
      <c r="I917" s="952">
        <f t="shared" si="262"/>
        <v>8644.4000000000015</v>
      </c>
      <c r="J917" s="952">
        <f t="shared" si="262"/>
        <v>5920.9</v>
      </c>
      <c r="K917" s="657">
        <f t="shared" si="262"/>
        <v>283</v>
      </c>
      <c r="L917" s="113">
        <f t="shared" si="262"/>
        <v>11085155</v>
      </c>
      <c r="M917" s="113">
        <f t="shared" si="262"/>
        <v>0</v>
      </c>
      <c r="N917" s="113">
        <f t="shared" si="262"/>
        <v>0</v>
      </c>
      <c r="O917" s="113">
        <f t="shared" si="262"/>
        <v>11085155</v>
      </c>
      <c r="P917" s="113">
        <f t="shared" si="262"/>
        <v>0</v>
      </c>
      <c r="Q917" s="106" t="s">
        <v>40</v>
      </c>
      <c r="R917" s="106" t="s">
        <v>40</v>
      </c>
      <c r="S917" s="326">
        <v>43465</v>
      </c>
    </row>
    <row r="918" spans="1:19" s="51" customFormat="1" ht="31.5">
      <c r="A918" s="107">
        <v>1</v>
      </c>
      <c r="B918" s="945" t="s">
        <v>1006</v>
      </c>
      <c r="C918" s="118">
        <v>1974</v>
      </c>
      <c r="D918" s="118"/>
      <c r="E918" s="611" t="s">
        <v>218</v>
      </c>
      <c r="F918" s="968">
        <v>5</v>
      </c>
      <c r="G918" s="968">
        <v>4</v>
      </c>
      <c r="H918" s="959">
        <v>3702</v>
      </c>
      <c r="I918" s="960">
        <v>3702</v>
      </c>
      <c r="J918" s="959">
        <v>3117.7</v>
      </c>
      <c r="K918" s="968">
        <v>109</v>
      </c>
      <c r="L918" s="655">
        <f>O918</f>
        <v>2338689</v>
      </c>
      <c r="M918" s="113">
        <v>0</v>
      </c>
      <c r="N918" s="113">
        <v>0</v>
      </c>
      <c r="O918" s="113">
        <v>2338689</v>
      </c>
      <c r="P918" s="113">
        <v>0</v>
      </c>
      <c r="Q918" s="170">
        <f t="shared" ref="Q918:Q928" si="263">L918/I918</f>
        <v>631.73662884927069</v>
      </c>
      <c r="R918" s="114">
        <v>7920</v>
      </c>
      <c r="S918" s="326">
        <v>43465</v>
      </c>
    </row>
    <row r="919" spans="1:19" s="51" customFormat="1" ht="31.5">
      <c r="A919" s="107">
        <f t="shared" si="260"/>
        <v>2</v>
      </c>
      <c r="B919" s="945" t="s">
        <v>1007</v>
      </c>
      <c r="C919" s="118" t="s">
        <v>190</v>
      </c>
      <c r="D919" s="118"/>
      <c r="E919" s="611" t="s">
        <v>218</v>
      </c>
      <c r="F919" s="968">
        <v>2</v>
      </c>
      <c r="G919" s="968">
        <v>2</v>
      </c>
      <c r="H919" s="959">
        <v>172.5</v>
      </c>
      <c r="I919" s="960">
        <v>172.5</v>
      </c>
      <c r="J919" s="959">
        <v>128.19999999999999</v>
      </c>
      <c r="K919" s="968">
        <v>7</v>
      </c>
      <c r="L919" s="655">
        <f t="shared" ref="L919:L925" si="264">O919</f>
        <v>533628</v>
      </c>
      <c r="M919" s="113">
        <v>0</v>
      </c>
      <c r="N919" s="113">
        <v>0</v>
      </c>
      <c r="O919" s="113">
        <v>533628</v>
      </c>
      <c r="P919" s="113">
        <v>0</v>
      </c>
      <c r="Q919" s="170">
        <f t="shared" si="263"/>
        <v>3093.4956521739132</v>
      </c>
      <c r="R919" s="114">
        <v>7920</v>
      </c>
      <c r="S919" s="326">
        <v>43465</v>
      </c>
    </row>
    <row r="920" spans="1:19" s="51" customFormat="1" ht="31.5">
      <c r="A920" s="107">
        <f t="shared" si="260"/>
        <v>3</v>
      </c>
      <c r="B920" s="945" t="s">
        <v>1008</v>
      </c>
      <c r="C920" s="118">
        <v>1938</v>
      </c>
      <c r="D920" s="118"/>
      <c r="E920" s="611" t="s">
        <v>218</v>
      </c>
      <c r="F920" s="968">
        <v>2</v>
      </c>
      <c r="G920" s="968">
        <v>2</v>
      </c>
      <c r="H920" s="959">
        <v>256.60000000000002</v>
      </c>
      <c r="I920" s="960">
        <v>256.60000000000002</v>
      </c>
      <c r="J920" s="959">
        <v>165.1</v>
      </c>
      <c r="K920" s="968">
        <v>12</v>
      </c>
      <c r="L920" s="655">
        <f t="shared" si="264"/>
        <v>966865</v>
      </c>
      <c r="M920" s="113">
        <v>0</v>
      </c>
      <c r="N920" s="113">
        <v>0</v>
      </c>
      <c r="O920" s="113">
        <v>966865</v>
      </c>
      <c r="P920" s="113">
        <v>0</v>
      </c>
      <c r="Q920" s="170">
        <f t="shared" si="263"/>
        <v>3767.9851909586901</v>
      </c>
      <c r="R920" s="114">
        <v>7920</v>
      </c>
      <c r="S920" s="326">
        <v>43465</v>
      </c>
    </row>
    <row r="921" spans="1:19" s="1" customFormat="1" ht="30.6" customHeight="1">
      <c r="A921" s="107">
        <f t="shared" si="260"/>
        <v>4</v>
      </c>
      <c r="B921" s="945" t="s">
        <v>1009</v>
      </c>
      <c r="C921" s="172">
        <v>1960</v>
      </c>
      <c r="D921" s="171"/>
      <c r="E921" s="611" t="s">
        <v>218</v>
      </c>
      <c r="F921" s="968">
        <v>2</v>
      </c>
      <c r="G921" s="968">
        <v>1</v>
      </c>
      <c r="H921" s="959">
        <v>302.2</v>
      </c>
      <c r="I921" s="960">
        <v>302.2</v>
      </c>
      <c r="J921" s="959">
        <v>205.3</v>
      </c>
      <c r="K921" s="968">
        <v>12</v>
      </c>
      <c r="L921" s="655">
        <f t="shared" si="264"/>
        <v>947700</v>
      </c>
      <c r="M921" s="113">
        <v>0</v>
      </c>
      <c r="N921" s="113">
        <v>0</v>
      </c>
      <c r="O921" s="113">
        <v>947700</v>
      </c>
      <c r="P921" s="113">
        <v>0</v>
      </c>
      <c r="Q921" s="170">
        <f t="shared" si="263"/>
        <v>3136.0026472534746</v>
      </c>
      <c r="R921" s="114">
        <v>7920</v>
      </c>
      <c r="S921" s="326">
        <v>43465</v>
      </c>
    </row>
    <row r="922" spans="1:19" s="1" customFormat="1" ht="31.5">
      <c r="A922" s="107">
        <f t="shared" si="260"/>
        <v>5</v>
      </c>
      <c r="B922" s="945" t="s">
        <v>1010</v>
      </c>
      <c r="C922" s="118">
        <v>1959</v>
      </c>
      <c r="D922" s="118"/>
      <c r="E922" s="611" t="s">
        <v>218</v>
      </c>
      <c r="F922" s="968">
        <v>2</v>
      </c>
      <c r="G922" s="968">
        <v>1</v>
      </c>
      <c r="H922" s="959">
        <v>281.60000000000002</v>
      </c>
      <c r="I922" s="960">
        <v>281.60000000000002</v>
      </c>
      <c r="J922" s="959">
        <v>198.5</v>
      </c>
      <c r="K922" s="968">
        <v>13</v>
      </c>
      <c r="L922" s="655">
        <f t="shared" si="264"/>
        <v>853104</v>
      </c>
      <c r="M922" s="113">
        <v>0</v>
      </c>
      <c r="N922" s="113">
        <v>0</v>
      </c>
      <c r="O922" s="113">
        <v>853104</v>
      </c>
      <c r="P922" s="113">
        <v>0</v>
      </c>
      <c r="Q922" s="170">
        <f t="shared" si="263"/>
        <v>3029.488636363636</v>
      </c>
      <c r="R922" s="114">
        <v>7920</v>
      </c>
      <c r="S922" s="326">
        <v>43465</v>
      </c>
    </row>
    <row r="923" spans="1:19" s="23" customFormat="1" ht="31.5">
      <c r="A923" s="107">
        <f t="shared" si="260"/>
        <v>6</v>
      </c>
      <c r="B923" s="567" t="s">
        <v>1011</v>
      </c>
      <c r="C923" s="118" t="s">
        <v>190</v>
      </c>
      <c r="D923" s="118"/>
      <c r="E923" s="611" t="s">
        <v>218</v>
      </c>
      <c r="F923" s="968">
        <v>2</v>
      </c>
      <c r="G923" s="968">
        <v>2</v>
      </c>
      <c r="H923" s="959">
        <v>245</v>
      </c>
      <c r="I923" s="960">
        <v>245</v>
      </c>
      <c r="J923" s="959">
        <v>126</v>
      </c>
      <c r="K923" s="968">
        <v>7</v>
      </c>
      <c r="L923" s="655">
        <f t="shared" si="264"/>
        <v>789420</v>
      </c>
      <c r="M923" s="113">
        <v>0</v>
      </c>
      <c r="N923" s="113">
        <v>0</v>
      </c>
      <c r="O923" s="113">
        <v>789420</v>
      </c>
      <c r="P923" s="113">
        <v>0</v>
      </c>
      <c r="Q923" s="170">
        <f t="shared" si="263"/>
        <v>3222.1224489795918</v>
      </c>
      <c r="R923" s="114">
        <v>7920</v>
      </c>
      <c r="S923" s="326">
        <v>43465</v>
      </c>
    </row>
    <row r="924" spans="1:19" s="1" customFormat="1" ht="31.5">
      <c r="A924" s="107">
        <f t="shared" si="260"/>
        <v>7</v>
      </c>
      <c r="B924" s="945" t="s">
        <v>1012</v>
      </c>
      <c r="C924" s="118">
        <v>1963</v>
      </c>
      <c r="D924" s="118"/>
      <c r="E924" s="611" t="s">
        <v>218</v>
      </c>
      <c r="F924" s="968">
        <v>4</v>
      </c>
      <c r="G924" s="968">
        <v>3</v>
      </c>
      <c r="H924" s="959">
        <v>2536</v>
      </c>
      <c r="I924" s="960">
        <v>2536</v>
      </c>
      <c r="J924" s="959">
        <v>1398</v>
      </c>
      <c r="K924" s="968">
        <v>60</v>
      </c>
      <c r="L924" s="655">
        <f t="shared" si="264"/>
        <v>3688049</v>
      </c>
      <c r="M924" s="113">
        <v>0</v>
      </c>
      <c r="N924" s="113">
        <v>0</v>
      </c>
      <c r="O924" s="113">
        <v>3688049</v>
      </c>
      <c r="P924" s="113">
        <v>0</v>
      </c>
      <c r="Q924" s="170">
        <f t="shared" si="263"/>
        <v>1454.2779968454258</v>
      </c>
      <c r="R924" s="114">
        <v>7920</v>
      </c>
      <c r="S924" s="326">
        <v>43465</v>
      </c>
    </row>
    <row r="925" spans="1:19" s="1" customFormat="1" ht="31.5">
      <c r="A925" s="107">
        <f t="shared" si="260"/>
        <v>8</v>
      </c>
      <c r="B925" s="945" t="s">
        <v>1013</v>
      </c>
      <c r="C925" s="118">
        <v>1969</v>
      </c>
      <c r="D925" s="118"/>
      <c r="E925" s="611" t="s">
        <v>218</v>
      </c>
      <c r="F925" s="968">
        <v>3</v>
      </c>
      <c r="G925" s="968">
        <v>2</v>
      </c>
      <c r="H925" s="959">
        <v>1148.5</v>
      </c>
      <c r="I925" s="960">
        <v>1148.5</v>
      </c>
      <c r="J925" s="959">
        <v>582.1</v>
      </c>
      <c r="K925" s="968">
        <v>63</v>
      </c>
      <c r="L925" s="655">
        <f t="shared" si="264"/>
        <v>967700</v>
      </c>
      <c r="M925" s="113">
        <v>0</v>
      </c>
      <c r="N925" s="113">
        <v>0</v>
      </c>
      <c r="O925" s="113">
        <v>967700</v>
      </c>
      <c r="P925" s="113">
        <v>0</v>
      </c>
      <c r="Q925" s="170">
        <f t="shared" si="263"/>
        <v>842.5772747061385</v>
      </c>
      <c r="R925" s="114">
        <v>7920</v>
      </c>
      <c r="S925" s="326">
        <v>43465</v>
      </c>
    </row>
    <row r="926" spans="1:19" s="1" customFormat="1" ht="24.6" customHeight="1">
      <c r="A926" s="318"/>
      <c r="B926" s="1359" t="s">
        <v>882</v>
      </c>
      <c r="C926" s="1359"/>
      <c r="D926" s="1359"/>
      <c r="E926" s="1359"/>
      <c r="F926" s="1367"/>
      <c r="G926" s="1367"/>
      <c r="H926" s="969">
        <f>H927+H928</f>
        <v>1005.2</v>
      </c>
      <c r="I926" s="969">
        <f t="shared" ref="I926:P926" si="265">I927+I928</f>
        <v>1005.2</v>
      </c>
      <c r="J926" s="969">
        <f t="shared" si="265"/>
        <v>669.6</v>
      </c>
      <c r="K926" s="969">
        <f t="shared" si="265"/>
        <v>37</v>
      </c>
      <c r="L926" s="970">
        <f t="shared" si="265"/>
        <v>1029285</v>
      </c>
      <c r="M926" s="970">
        <f t="shared" si="265"/>
        <v>0</v>
      </c>
      <c r="N926" s="970">
        <f t="shared" si="265"/>
        <v>0</v>
      </c>
      <c r="O926" s="970">
        <f t="shared" si="265"/>
        <v>1029285</v>
      </c>
      <c r="P926" s="970">
        <f t="shared" si="265"/>
        <v>0</v>
      </c>
      <c r="Q926" s="344" t="s">
        <v>40</v>
      </c>
      <c r="R926" s="344" t="s">
        <v>40</v>
      </c>
      <c r="S926" s="326">
        <v>43465</v>
      </c>
    </row>
    <row r="927" spans="1:19" s="1" customFormat="1" ht="23.45" customHeight="1">
      <c r="A927" s="318"/>
      <c r="B927" s="971" t="s">
        <v>884</v>
      </c>
      <c r="C927" s="972">
        <v>1948</v>
      </c>
      <c r="D927" s="971"/>
      <c r="E927" s="321" t="s">
        <v>221</v>
      </c>
      <c r="F927" s="972">
        <v>2</v>
      </c>
      <c r="G927" s="972">
        <v>2</v>
      </c>
      <c r="H927" s="973">
        <v>516.5</v>
      </c>
      <c r="I927" s="973">
        <v>516.5</v>
      </c>
      <c r="J927" s="972">
        <v>316</v>
      </c>
      <c r="K927" s="974">
        <v>22</v>
      </c>
      <c r="L927" s="324">
        <v>781716</v>
      </c>
      <c r="M927" s="324">
        <v>0</v>
      </c>
      <c r="N927" s="324">
        <v>0</v>
      </c>
      <c r="O927" s="324">
        <v>781716</v>
      </c>
      <c r="P927" s="324">
        <v>0</v>
      </c>
      <c r="Q927" s="975">
        <f t="shared" si="263"/>
        <v>1513.486931268151</v>
      </c>
      <c r="R927" s="325">
        <v>7920</v>
      </c>
      <c r="S927" s="326">
        <v>43465</v>
      </c>
    </row>
    <row r="928" spans="1:19" s="1" customFormat="1" ht="22.9" customHeight="1">
      <c r="A928" s="318"/>
      <c r="B928" s="971" t="s">
        <v>885</v>
      </c>
      <c r="C928" s="972">
        <v>1938</v>
      </c>
      <c r="D928" s="971"/>
      <c r="E928" s="321" t="s">
        <v>221</v>
      </c>
      <c r="F928" s="972">
        <v>2</v>
      </c>
      <c r="G928" s="972">
        <v>1</v>
      </c>
      <c r="H928" s="973">
        <v>488.7</v>
      </c>
      <c r="I928" s="973">
        <v>488.7</v>
      </c>
      <c r="J928" s="972">
        <v>353.6</v>
      </c>
      <c r="K928" s="974">
        <v>15</v>
      </c>
      <c r="L928" s="324">
        <v>247569</v>
      </c>
      <c r="M928" s="324">
        <v>0</v>
      </c>
      <c r="N928" s="324">
        <v>0</v>
      </c>
      <c r="O928" s="324">
        <v>247569</v>
      </c>
      <c r="P928" s="324">
        <v>0</v>
      </c>
      <c r="Q928" s="975">
        <f t="shared" si="263"/>
        <v>506.58686310620016</v>
      </c>
      <c r="R928" s="325">
        <v>7920</v>
      </c>
      <c r="S928" s="326">
        <v>43465</v>
      </c>
    </row>
    <row r="929" spans="1:34" s="1" customFormat="1" ht="15.75">
      <c r="A929" s="107"/>
      <c r="B929" s="1336" t="s">
        <v>52</v>
      </c>
      <c r="C929" s="1336"/>
      <c r="D929" s="1336"/>
      <c r="E929" s="1336"/>
      <c r="F929" s="1336"/>
      <c r="G929" s="1336"/>
      <c r="H929" s="128">
        <f t="shared" ref="H929:P929" si="266">H933+H930+H935</f>
        <v>2360.4</v>
      </c>
      <c r="I929" s="128">
        <f t="shared" si="266"/>
        <v>2297</v>
      </c>
      <c r="J929" s="128">
        <f t="shared" si="266"/>
        <v>1649.1</v>
      </c>
      <c r="K929" s="162">
        <f t="shared" si="266"/>
        <v>89</v>
      </c>
      <c r="L929" s="113">
        <f t="shared" si="266"/>
        <v>3143655</v>
      </c>
      <c r="M929" s="113">
        <f t="shared" si="266"/>
        <v>0</v>
      </c>
      <c r="N929" s="113">
        <f t="shared" si="266"/>
        <v>92056</v>
      </c>
      <c r="O929" s="113">
        <f t="shared" si="266"/>
        <v>3051599</v>
      </c>
      <c r="P929" s="113">
        <f t="shared" si="266"/>
        <v>0</v>
      </c>
      <c r="Q929" s="106" t="s">
        <v>40</v>
      </c>
      <c r="R929" s="106" t="s">
        <v>40</v>
      </c>
      <c r="S929" s="326">
        <v>43465</v>
      </c>
    </row>
    <row r="930" spans="1:34" s="1" customFormat="1" ht="15.75">
      <c r="A930" s="318"/>
      <c r="B930" s="1359" t="s">
        <v>130</v>
      </c>
      <c r="C930" s="1359"/>
      <c r="D930" s="1359"/>
      <c r="E930" s="1359"/>
      <c r="F930" s="1359"/>
      <c r="G930" s="1359"/>
      <c r="H930" s="341">
        <f>H931</f>
        <v>704.6</v>
      </c>
      <c r="I930" s="341">
        <f t="shared" ref="I930:P930" si="267">I931</f>
        <v>704.6</v>
      </c>
      <c r="J930" s="341">
        <f t="shared" si="267"/>
        <v>455.3</v>
      </c>
      <c r="K930" s="341">
        <f t="shared" si="267"/>
        <v>24</v>
      </c>
      <c r="L930" s="675">
        <f t="shared" si="267"/>
        <v>1851309</v>
      </c>
      <c r="M930" s="675">
        <f t="shared" si="267"/>
        <v>0</v>
      </c>
      <c r="N930" s="675">
        <f t="shared" si="267"/>
        <v>0</v>
      </c>
      <c r="O930" s="675">
        <f t="shared" si="267"/>
        <v>1851309</v>
      </c>
      <c r="P930" s="675">
        <f t="shared" si="267"/>
        <v>0</v>
      </c>
      <c r="Q930" s="344" t="s">
        <v>40</v>
      </c>
      <c r="R930" s="344" t="s">
        <v>40</v>
      </c>
      <c r="S930" s="326">
        <v>43465</v>
      </c>
    </row>
    <row r="931" spans="1:34" s="41" customFormat="1" ht="31.5">
      <c r="A931" s="318" t="e">
        <f>#REF!+1</f>
        <v>#REF!</v>
      </c>
      <c r="B931" s="869" t="s">
        <v>673</v>
      </c>
      <c r="C931" s="375">
        <v>1960</v>
      </c>
      <c r="D931" s="375"/>
      <c r="E931" s="321" t="s">
        <v>218</v>
      </c>
      <c r="F931" s="375">
        <v>2</v>
      </c>
      <c r="G931" s="375">
        <v>2</v>
      </c>
      <c r="H931" s="375">
        <v>704.6</v>
      </c>
      <c r="I931" s="375">
        <v>704.6</v>
      </c>
      <c r="J931" s="375">
        <v>455.3</v>
      </c>
      <c r="K931" s="375">
        <v>24</v>
      </c>
      <c r="L931" s="324">
        <v>1851309</v>
      </c>
      <c r="M931" s="324">
        <v>0</v>
      </c>
      <c r="N931" s="324">
        <v>0</v>
      </c>
      <c r="O931" s="324">
        <f>L931</f>
        <v>1851309</v>
      </c>
      <c r="P931" s="324">
        <v>0</v>
      </c>
      <c r="Q931" s="325">
        <f>L931/I931</f>
        <v>2627.4609707635536</v>
      </c>
      <c r="R931" s="617">
        <v>7920</v>
      </c>
      <c r="S931" s="326">
        <v>43465</v>
      </c>
    </row>
    <row r="932" spans="1:34" s="41" customFormat="1" ht="15.75">
      <c r="A932" s="107"/>
      <c r="B932" s="145"/>
      <c r="C932" s="132"/>
      <c r="D932" s="132"/>
      <c r="E932" s="109"/>
      <c r="F932" s="132"/>
      <c r="G932" s="132"/>
      <c r="H932" s="174"/>
      <c r="I932" s="174"/>
      <c r="J932" s="107"/>
      <c r="K932" s="107"/>
      <c r="L932" s="113"/>
      <c r="M932" s="113"/>
      <c r="N932" s="113"/>
      <c r="O932" s="113"/>
      <c r="P932" s="113"/>
      <c r="Q932" s="114"/>
      <c r="R932" s="115"/>
      <c r="S932" s="326"/>
    </row>
    <row r="933" spans="1:34" s="1" customFormat="1" ht="15.75" customHeight="1">
      <c r="A933" s="107"/>
      <c r="B933" s="1329" t="s">
        <v>109</v>
      </c>
      <c r="C933" s="1329"/>
      <c r="D933" s="1329"/>
      <c r="E933" s="1329"/>
      <c r="F933" s="1329"/>
      <c r="G933" s="1329"/>
      <c r="H933" s="128">
        <f>H934</f>
        <v>799.3</v>
      </c>
      <c r="I933" s="106">
        <f t="shared" ref="I933:P933" si="268">I934</f>
        <v>735.9</v>
      </c>
      <c r="J933" s="106">
        <f t="shared" si="268"/>
        <v>693.8</v>
      </c>
      <c r="K933" s="119">
        <f t="shared" si="268"/>
        <v>32</v>
      </c>
      <c r="L933" s="113">
        <v>201010</v>
      </c>
      <c r="M933" s="113">
        <f t="shared" si="268"/>
        <v>0</v>
      </c>
      <c r="N933" s="113">
        <f t="shared" si="268"/>
        <v>92056</v>
      </c>
      <c r="O933" s="113">
        <f t="shared" si="268"/>
        <v>108954</v>
      </c>
      <c r="P933" s="113">
        <f t="shared" si="268"/>
        <v>0</v>
      </c>
      <c r="Q933" s="106" t="s">
        <v>40</v>
      </c>
      <c r="R933" s="106" t="s">
        <v>40</v>
      </c>
      <c r="S933" s="326">
        <v>43465</v>
      </c>
    </row>
    <row r="934" spans="1:34" s="1" customFormat="1" ht="15.75">
      <c r="A934" s="107">
        <f>A932+1</f>
        <v>1</v>
      </c>
      <c r="B934" s="303" t="s">
        <v>414</v>
      </c>
      <c r="C934" s="302">
        <v>1977</v>
      </c>
      <c r="D934" s="118"/>
      <c r="E934" s="109" t="s">
        <v>219</v>
      </c>
      <c r="F934" s="118">
        <v>2</v>
      </c>
      <c r="G934" s="118">
        <v>2</v>
      </c>
      <c r="H934" s="128">
        <v>799.3</v>
      </c>
      <c r="I934" s="106">
        <v>735.9</v>
      </c>
      <c r="J934" s="106">
        <v>693.8</v>
      </c>
      <c r="K934" s="119">
        <v>32</v>
      </c>
      <c r="L934" s="113">
        <v>201010</v>
      </c>
      <c r="M934" s="113">
        <v>0</v>
      </c>
      <c r="N934" s="113">
        <v>92056</v>
      </c>
      <c r="O934" s="113">
        <v>108954</v>
      </c>
      <c r="P934" s="113">
        <v>0</v>
      </c>
      <c r="Q934" s="106">
        <f>L934/I934</f>
        <v>273.14852561489334</v>
      </c>
      <c r="R934" s="114">
        <v>6774</v>
      </c>
      <c r="S934" s="326">
        <v>43465</v>
      </c>
    </row>
    <row r="935" spans="1:34" s="23" customFormat="1" ht="15.75" customHeight="1">
      <c r="A935" s="107"/>
      <c r="B935" s="1334" t="s">
        <v>198</v>
      </c>
      <c r="C935" s="1334"/>
      <c r="D935" s="1334"/>
      <c r="E935" s="1334"/>
      <c r="F935" s="1334"/>
      <c r="G935" s="1334"/>
      <c r="H935" s="128">
        <f>H936</f>
        <v>856.5</v>
      </c>
      <c r="I935" s="128">
        <f t="shared" ref="I935:P935" si="269">I936</f>
        <v>856.5</v>
      </c>
      <c r="J935" s="128">
        <f t="shared" si="269"/>
        <v>500</v>
      </c>
      <c r="K935" s="175">
        <f t="shared" si="269"/>
        <v>33</v>
      </c>
      <c r="L935" s="113">
        <f t="shared" si="269"/>
        <v>1091336</v>
      </c>
      <c r="M935" s="113">
        <f t="shared" si="269"/>
        <v>0</v>
      </c>
      <c r="N935" s="113">
        <f t="shared" si="269"/>
        <v>0</v>
      </c>
      <c r="O935" s="113">
        <f t="shared" si="269"/>
        <v>1091336</v>
      </c>
      <c r="P935" s="113">
        <f t="shared" si="269"/>
        <v>0</v>
      </c>
      <c r="Q935" s="106" t="s">
        <v>40</v>
      </c>
      <c r="R935" s="114" t="s">
        <v>40</v>
      </c>
      <c r="S935" s="326">
        <v>43465</v>
      </c>
    </row>
    <row r="936" spans="1:34" s="23" customFormat="1" ht="31.5">
      <c r="A936" s="107">
        <f>A934+1</f>
        <v>2</v>
      </c>
      <c r="B936" s="300" t="s">
        <v>415</v>
      </c>
      <c r="C936" s="302">
        <v>1982</v>
      </c>
      <c r="D936" s="118"/>
      <c r="E936" s="109" t="s">
        <v>218</v>
      </c>
      <c r="F936" s="118">
        <v>2</v>
      </c>
      <c r="G936" s="118">
        <v>3</v>
      </c>
      <c r="H936" s="128">
        <v>856.5</v>
      </c>
      <c r="I936" s="106">
        <v>856.5</v>
      </c>
      <c r="J936" s="106">
        <v>500</v>
      </c>
      <c r="K936" s="119">
        <v>33</v>
      </c>
      <c r="L936" s="113">
        <v>1091336</v>
      </c>
      <c r="M936" s="113">
        <v>0</v>
      </c>
      <c r="N936" s="113">
        <v>0</v>
      </c>
      <c r="O936" s="113">
        <f>L936</f>
        <v>1091336</v>
      </c>
      <c r="P936" s="113">
        <v>0</v>
      </c>
      <c r="Q936" s="106">
        <f>L936/I936</f>
        <v>1274.1809690601285</v>
      </c>
      <c r="R936" s="114">
        <v>6774</v>
      </c>
      <c r="S936" s="326">
        <v>43465</v>
      </c>
    </row>
    <row r="937" spans="1:34" s="1" customFormat="1" ht="15.75">
      <c r="A937" s="107"/>
      <c r="B937" s="1336" t="s">
        <v>53</v>
      </c>
      <c r="C937" s="1336"/>
      <c r="D937" s="1336"/>
      <c r="E937" s="1336"/>
      <c r="F937" s="1336"/>
      <c r="G937" s="1336"/>
      <c r="H937" s="106">
        <f t="shared" ref="H937:P937" si="270">H938+H945+H947+H949+H958+H961+H963+H956</f>
        <v>60427.200000000012</v>
      </c>
      <c r="I937" s="106">
        <f t="shared" si="270"/>
        <v>45396.3</v>
      </c>
      <c r="J937" s="106">
        <f t="shared" si="270"/>
        <v>43423.3</v>
      </c>
      <c r="K937" s="106">
        <f t="shared" si="270"/>
        <v>1907</v>
      </c>
      <c r="L937" s="565">
        <f t="shared" si="270"/>
        <v>46439075.920000002</v>
      </c>
      <c r="M937" s="565">
        <f t="shared" si="270"/>
        <v>0</v>
      </c>
      <c r="N937" s="565">
        <f t="shared" si="270"/>
        <v>146321.84</v>
      </c>
      <c r="O937" s="565">
        <f t="shared" si="270"/>
        <v>46292754.079999998</v>
      </c>
      <c r="P937" s="565">
        <f t="shared" si="270"/>
        <v>0</v>
      </c>
      <c r="Q937" s="106" t="s">
        <v>40</v>
      </c>
      <c r="R937" s="106" t="s">
        <v>40</v>
      </c>
      <c r="S937" s="326">
        <v>43465</v>
      </c>
    </row>
    <row r="938" spans="1:34" s="1" customFormat="1" ht="15.75">
      <c r="A938" s="107"/>
      <c r="B938" s="1336" t="s">
        <v>88</v>
      </c>
      <c r="C938" s="1336"/>
      <c r="D938" s="1336"/>
      <c r="E938" s="1336"/>
      <c r="F938" s="1336"/>
      <c r="G938" s="1336"/>
      <c r="H938" s="128">
        <f>SUM(H939:H944)</f>
        <v>44029.100000000006</v>
      </c>
      <c r="I938" s="128">
        <f t="shared" ref="I938:P938" si="271">SUM(I939:I944)</f>
        <v>30480.100000000002</v>
      </c>
      <c r="J938" s="128">
        <f t="shared" si="271"/>
        <v>29442.800000000003</v>
      </c>
      <c r="K938" s="128">
        <f t="shared" si="271"/>
        <v>1255</v>
      </c>
      <c r="L938" s="565">
        <f t="shared" si="271"/>
        <v>29383642</v>
      </c>
      <c r="M938" s="565">
        <f t="shared" si="271"/>
        <v>0</v>
      </c>
      <c r="N938" s="565">
        <f t="shared" si="271"/>
        <v>0</v>
      </c>
      <c r="O938" s="565">
        <f t="shared" si="271"/>
        <v>29383642</v>
      </c>
      <c r="P938" s="565">
        <f t="shared" si="271"/>
        <v>0</v>
      </c>
      <c r="Q938" s="106" t="s">
        <v>40</v>
      </c>
      <c r="R938" s="106" t="s">
        <v>40</v>
      </c>
      <c r="S938" s="326">
        <v>43465</v>
      </c>
    </row>
    <row r="939" spans="1:34" s="21" customFormat="1" ht="28.15" customHeight="1">
      <c r="A939" s="318">
        <v>1</v>
      </c>
      <c r="B939" s="851" t="s">
        <v>748</v>
      </c>
      <c r="C939" s="417">
        <v>1990</v>
      </c>
      <c r="D939" s="417"/>
      <c r="E939" s="321" t="s">
        <v>219</v>
      </c>
      <c r="F939" s="417">
        <v>9</v>
      </c>
      <c r="G939" s="852">
        <v>3</v>
      </c>
      <c r="H939" s="857">
        <v>8571.2000000000007</v>
      </c>
      <c r="I939" s="857">
        <v>5968.9</v>
      </c>
      <c r="J939" s="857">
        <f>I939-135.6</f>
        <v>5833.2999999999993</v>
      </c>
      <c r="K939" s="857">
        <v>237</v>
      </c>
      <c r="L939" s="325">
        <v>5877687</v>
      </c>
      <c r="M939" s="854">
        <v>0</v>
      </c>
      <c r="N939" s="324">
        <v>0</v>
      </c>
      <c r="O939" s="324">
        <f>L939</f>
        <v>5877687</v>
      </c>
      <c r="P939" s="324">
        <v>0</v>
      </c>
      <c r="Q939" s="325">
        <f t="shared" ref="Q939:Q944" si="272">L939/I939</f>
        <v>984.71862487225462</v>
      </c>
      <c r="R939" s="325">
        <v>7920</v>
      </c>
      <c r="S939" s="326">
        <v>43465</v>
      </c>
    </row>
    <row r="940" spans="1:34" s="21" customFormat="1" ht="19.149999999999999" customHeight="1">
      <c r="A940" s="318">
        <f t="shared" si="260"/>
        <v>2</v>
      </c>
      <c r="B940" s="851" t="s">
        <v>749</v>
      </c>
      <c r="C940" s="417">
        <v>1990</v>
      </c>
      <c r="D940" s="417"/>
      <c r="E940" s="321" t="s">
        <v>219</v>
      </c>
      <c r="F940" s="417">
        <v>9</v>
      </c>
      <c r="G940" s="852">
        <v>2</v>
      </c>
      <c r="H940" s="325">
        <v>5349</v>
      </c>
      <c r="I940" s="325">
        <v>3785.4</v>
      </c>
      <c r="J940" s="325">
        <f>I940-189.7</f>
        <v>3595.7000000000003</v>
      </c>
      <c r="K940" s="325">
        <v>153</v>
      </c>
      <c r="L940" s="325">
        <v>3911300</v>
      </c>
      <c r="M940" s="854">
        <v>0</v>
      </c>
      <c r="N940" s="324">
        <v>0</v>
      </c>
      <c r="O940" s="324">
        <f t="shared" ref="O940:O944" si="273">L940</f>
        <v>3911300</v>
      </c>
      <c r="P940" s="324">
        <v>0</v>
      </c>
      <c r="Q940" s="325">
        <f t="shared" si="272"/>
        <v>1033.259364928409</v>
      </c>
      <c r="R940" s="325">
        <v>7920</v>
      </c>
      <c r="S940" s="326">
        <v>43465</v>
      </c>
    </row>
    <row r="941" spans="1:34" s="21" customFormat="1" ht="20.45" customHeight="1">
      <c r="A941" s="318">
        <f t="shared" si="260"/>
        <v>3</v>
      </c>
      <c r="B941" s="851" t="s">
        <v>750</v>
      </c>
      <c r="C941" s="417">
        <v>1989</v>
      </c>
      <c r="D941" s="417"/>
      <c r="E941" s="321" t="s">
        <v>219</v>
      </c>
      <c r="F941" s="417">
        <v>9</v>
      </c>
      <c r="G941" s="852">
        <v>3</v>
      </c>
      <c r="H941" s="855">
        <v>7783.6</v>
      </c>
      <c r="I941" s="855">
        <v>5580.6</v>
      </c>
      <c r="J941" s="855">
        <f>I941</f>
        <v>5580.6</v>
      </c>
      <c r="K941" s="325">
        <v>241</v>
      </c>
      <c r="L941" s="325">
        <v>5873712</v>
      </c>
      <c r="M941" s="854">
        <v>0</v>
      </c>
      <c r="N941" s="324">
        <v>0</v>
      </c>
      <c r="O941" s="324">
        <f t="shared" si="273"/>
        <v>5873712</v>
      </c>
      <c r="P941" s="324">
        <v>0</v>
      </c>
      <c r="Q941" s="325">
        <f t="shared" si="272"/>
        <v>1052.5233845823029</v>
      </c>
      <c r="R941" s="325">
        <v>7920</v>
      </c>
      <c r="S941" s="326">
        <v>43465</v>
      </c>
    </row>
    <row r="942" spans="1:34" s="21" customFormat="1" ht="27" customHeight="1">
      <c r="A942" s="318">
        <f t="shared" si="260"/>
        <v>4</v>
      </c>
      <c r="B942" s="851" t="s">
        <v>751</v>
      </c>
      <c r="C942" s="417">
        <v>1988</v>
      </c>
      <c r="D942" s="417"/>
      <c r="E942" s="321" t="s">
        <v>219</v>
      </c>
      <c r="F942" s="417">
        <v>9</v>
      </c>
      <c r="G942" s="852">
        <v>3</v>
      </c>
      <c r="H942" s="853">
        <v>8105.9</v>
      </c>
      <c r="I942" s="853">
        <v>5431.3</v>
      </c>
      <c r="J942" s="853">
        <v>5098.1000000000004</v>
      </c>
      <c r="K942" s="853">
        <v>226</v>
      </c>
      <c r="L942" s="325">
        <v>5872977</v>
      </c>
      <c r="M942" s="854">
        <v>0</v>
      </c>
      <c r="N942" s="324">
        <v>0</v>
      </c>
      <c r="O942" s="324">
        <f t="shared" si="273"/>
        <v>5872977</v>
      </c>
      <c r="P942" s="324">
        <v>0</v>
      </c>
      <c r="Q942" s="325">
        <f t="shared" si="272"/>
        <v>1081.3206782906486</v>
      </c>
      <c r="R942" s="325">
        <v>7920</v>
      </c>
      <c r="S942" s="326">
        <v>43465</v>
      </c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</row>
    <row r="943" spans="1:34" s="52" customFormat="1" ht="23.45" customHeight="1">
      <c r="A943" s="318">
        <f t="shared" si="260"/>
        <v>5</v>
      </c>
      <c r="B943" s="851" t="s">
        <v>752</v>
      </c>
      <c r="C943" s="417">
        <v>1992</v>
      </c>
      <c r="D943" s="417"/>
      <c r="E943" s="321" t="s">
        <v>219</v>
      </c>
      <c r="F943" s="417">
        <v>9</v>
      </c>
      <c r="G943" s="852">
        <v>3</v>
      </c>
      <c r="H943" s="856">
        <v>9508.2000000000007</v>
      </c>
      <c r="I943" s="856">
        <v>6412.6</v>
      </c>
      <c r="J943" s="856">
        <f>I943-255.7</f>
        <v>6156.9000000000005</v>
      </c>
      <c r="K943" s="857">
        <v>267</v>
      </c>
      <c r="L943" s="857">
        <v>5882933</v>
      </c>
      <c r="M943" s="854">
        <v>0</v>
      </c>
      <c r="N943" s="324">
        <v>0</v>
      </c>
      <c r="O943" s="324">
        <f t="shared" si="273"/>
        <v>5882933</v>
      </c>
      <c r="P943" s="324">
        <v>0</v>
      </c>
      <c r="Q943" s="325">
        <f t="shared" si="272"/>
        <v>917.40214577550444</v>
      </c>
      <c r="R943" s="325">
        <v>7920</v>
      </c>
      <c r="S943" s="326">
        <v>43465</v>
      </c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</row>
    <row r="944" spans="1:34" s="21" customFormat="1" ht="31.5">
      <c r="A944" s="318">
        <f t="shared" si="260"/>
        <v>6</v>
      </c>
      <c r="B944" s="843" t="s">
        <v>753</v>
      </c>
      <c r="C944" s="417">
        <v>1993</v>
      </c>
      <c r="D944" s="417"/>
      <c r="E944" s="321" t="s">
        <v>218</v>
      </c>
      <c r="F944" s="417">
        <v>9</v>
      </c>
      <c r="G944" s="852">
        <v>1</v>
      </c>
      <c r="H944" s="856">
        <v>4711.2</v>
      </c>
      <c r="I944" s="856">
        <v>3301.3</v>
      </c>
      <c r="J944" s="856">
        <f>I944-123.1</f>
        <v>3178.2000000000003</v>
      </c>
      <c r="K944" s="857">
        <v>131</v>
      </c>
      <c r="L944" s="857">
        <v>1965033</v>
      </c>
      <c r="M944" s="854">
        <v>0</v>
      </c>
      <c r="N944" s="324">
        <v>0</v>
      </c>
      <c r="O944" s="324">
        <f t="shared" si="273"/>
        <v>1965033</v>
      </c>
      <c r="P944" s="324">
        <v>0</v>
      </c>
      <c r="Q944" s="325">
        <f t="shared" si="272"/>
        <v>595.23006088510579</v>
      </c>
      <c r="R944" s="325">
        <v>7920</v>
      </c>
      <c r="S944" s="326">
        <v>43465</v>
      </c>
    </row>
    <row r="945" spans="1:19" s="21" customFormat="1" ht="15.75" customHeight="1">
      <c r="A945" s="107"/>
      <c r="B945" s="1344" t="s">
        <v>132</v>
      </c>
      <c r="C945" s="1344"/>
      <c r="D945" s="1344"/>
      <c r="E945" s="1344"/>
      <c r="F945" s="1344"/>
      <c r="G945" s="1344"/>
      <c r="H945" s="117">
        <f>H946</f>
        <v>781</v>
      </c>
      <c r="I945" s="117">
        <f t="shared" ref="I945:P945" si="274">I946</f>
        <v>720.8</v>
      </c>
      <c r="J945" s="117">
        <f t="shared" si="274"/>
        <v>637.4</v>
      </c>
      <c r="K945" s="155">
        <f t="shared" si="274"/>
        <v>22</v>
      </c>
      <c r="L945" s="113">
        <f t="shared" si="274"/>
        <v>1107622</v>
      </c>
      <c r="M945" s="113">
        <f t="shared" si="274"/>
        <v>0</v>
      </c>
      <c r="N945" s="113">
        <f t="shared" si="274"/>
        <v>0</v>
      </c>
      <c r="O945" s="113">
        <f t="shared" si="274"/>
        <v>1107622</v>
      </c>
      <c r="P945" s="113">
        <f t="shared" si="274"/>
        <v>0</v>
      </c>
      <c r="Q945" s="114" t="s">
        <v>40</v>
      </c>
      <c r="R945" s="114" t="s">
        <v>40</v>
      </c>
      <c r="S945" s="326">
        <v>43465</v>
      </c>
    </row>
    <row r="946" spans="1:19" s="21" customFormat="1" ht="41.45" customHeight="1">
      <c r="A946" s="318" t="e">
        <f>#REF!+1</f>
        <v>#REF!</v>
      </c>
      <c r="B946" s="843" t="s">
        <v>701</v>
      </c>
      <c r="C946" s="417">
        <v>1972</v>
      </c>
      <c r="D946" s="417"/>
      <c r="E946" s="321" t="s">
        <v>218</v>
      </c>
      <c r="F946" s="417">
        <v>2</v>
      </c>
      <c r="G946" s="417">
        <v>2</v>
      </c>
      <c r="H946" s="587">
        <v>781</v>
      </c>
      <c r="I946" s="587">
        <v>720.8</v>
      </c>
      <c r="J946" s="587">
        <v>637.4</v>
      </c>
      <c r="K946" s="596">
        <v>22</v>
      </c>
      <c r="L946" s="324">
        <v>1107622</v>
      </c>
      <c r="M946" s="324">
        <v>0</v>
      </c>
      <c r="N946" s="324">
        <v>0</v>
      </c>
      <c r="O946" s="324">
        <f>L946</f>
        <v>1107622</v>
      </c>
      <c r="P946" s="324">
        <v>0</v>
      </c>
      <c r="Q946" s="325">
        <f>L946/I946</f>
        <v>1536.6564927857937</v>
      </c>
      <c r="R946" s="325">
        <v>7920</v>
      </c>
      <c r="S946" s="326">
        <v>43465</v>
      </c>
    </row>
    <row r="947" spans="1:19" s="1" customFormat="1" ht="15.75" customHeight="1">
      <c r="A947" s="107"/>
      <c r="B947" s="1329" t="s">
        <v>110</v>
      </c>
      <c r="C947" s="1329"/>
      <c r="D947" s="1329"/>
      <c r="E947" s="1329"/>
      <c r="F947" s="1329"/>
      <c r="G947" s="1329"/>
      <c r="H947" s="128">
        <f t="shared" ref="H947:O947" si="275">SUM(H948:H948)</f>
        <v>894.6</v>
      </c>
      <c r="I947" s="106">
        <f t="shared" si="275"/>
        <v>565.1</v>
      </c>
      <c r="J947" s="106">
        <f t="shared" si="275"/>
        <v>565.1</v>
      </c>
      <c r="K947" s="119">
        <f t="shared" si="275"/>
        <v>57</v>
      </c>
      <c r="L947" s="113">
        <f t="shared" si="275"/>
        <v>2348226</v>
      </c>
      <c r="M947" s="113">
        <f t="shared" si="275"/>
        <v>0</v>
      </c>
      <c r="N947" s="113">
        <f t="shared" si="275"/>
        <v>0</v>
      </c>
      <c r="O947" s="113">
        <f t="shared" si="275"/>
        <v>2348226</v>
      </c>
      <c r="P947" s="113">
        <v>0</v>
      </c>
      <c r="Q947" s="106" t="s">
        <v>40</v>
      </c>
      <c r="R947" s="106" t="s">
        <v>40</v>
      </c>
      <c r="S947" s="326">
        <v>43465</v>
      </c>
    </row>
    <row r="948" spans="1:19" s="1" customFormat="1" ht="15.75">
      <c r="A948" s="318" t="e">
        <f>A946+1</f>
        <v>#REF!</v>
      </c>
      <c r="B948" s="319" t="s">
        <v>475</v>
      </c>
      <c r="C948" s="318">
        <v>1972</v>
      </c>
      <c r="D948" s="320"/>
      <c r="E948" s="321" t="s">
        <v>473</v>
      </c>
      <c r="F948" s="320">
        <v>2</v>
      </c>
      <c r="G948" s="320">
        <v>3</v>
      </c>
      <c r="H948" s="322">
        <v>894.6</v>
      </c>
      <c r="I948" s="320">
        <v>565.1</v>
      </c>
      <c r="J948" s="320">
        <v>565.1</v>
      </c>
      <c r="K948" s="323">
        <v>57</v>
      </c>
      <c r="L948" s="324">
        <v>2348226</v>
      </c>
      <c r="M948" s="324">
        <v>0</v>
      </c>
      <c r="N948" s="324">
        <v>0</v>
      </c>
      <c r="O948" s="324">
        <v>2348226</v>
      </c>
      <c r="P948" s="324">
        <v>0</v>
      </c>
      <c r="Q948" s="325">
        <f>L948/I948</f>
        <v>4155.416740399929</v>
      </c>
      <c r="R948" s="325">
        <v>7920</v>
      </c>
      <c r="S948" s="326">
        <v>43465</v>
      </c>
    </row>
    <row r="949" spans="1:19" s="1" customFormat="1" ht="19.149999999999999" customHeight="1">
      <c r="A949" s="318"/>
      <c r="B949" s="1366" t="s">
        <v>128</v>
      </c>
      <c r="C949" s="1366"/>
      <c r="D949" s="1354"/>
      <c r="E949" s="1354"/>
      <c r="F949" s="1366"/>
      <c r="G949" s="1366"/>
      <c r="H949" s="801">
        <f>SUM(H950:H953)</f>
        <v>11540.800000000001</v>
      </c>
      <c r="I949" s="801">
        <f t="shared" ref="I949:P949" si="276">SUM(I950:I953)</f>
        <v>10578.000000000002</v>
      </c>
      <c r="J949" s="801">
        <f t="shared" si="276"/>
        <v>10228.1</v>
      </c>
      <c r="K949" s="801">
        <f t="shared" si="276"/>
        <v>394</v>
      </c>
      <c r="L949" s="801">
        <f t="shared" si="276"/>
        <v>9209860</v>
      </c>
      <c r="M949" s="802">
        <f t="shared" si="276"/>
        <v>0</v>
      </c>
      <c r="N949" s="802">
        <f t="shared" si="276"/>
        <v>0</v>
      </c>
      <c r="O949" s="802">
        <f t="shared" si="276"/>
        <v>9209860</v>
      </c>
      <c r="P949" s="802">
        <f t="shared" si="276"/>
        <v>0</v>
      </c>
      <c r="Q949" s="801" t="s">
        <v>40</v>
      </c>
      <c r="R949" s="736" t="s">
        <v>40</v>
      </c>
      <c r="S949" s="326">
        <v>43465</v>
      </c>
    </row>
    <row r="950" spans="1:19" s="59" customFormat="1" ht="21.6" customHeight="1">
      <c r="A950" s="803"/>
      <c r="B950" s="804" t="s">
        <v>725</v>
      </c>
      <c r="C950" s="805">
        <v>1991</v>
      </c>
      <c r="D950" s="806"/>
      <c r="E950" s="737" t="s">
        <v>219</v>
      </c>
      <c r="F950" s="805">
        <v>5</v>
      </c>
      <c r="G950" s="805">
        <v>5</v>
      </c>
      <c r="H950" s="807">
        <v>4237.8999999999996</v>
      </c>
      <c r="I950" s="808">
        <v>3869.7</v>
      </c>
      <c r="J950" s="807">
        <v>3564.5</v>
      </c>
      <c r="K950" s="805">
        <v>155</v>
      </c>
      <c r="L950" s="650">
        <v>2620143</v>
      </c>
      <c r="M950" s="809">
        <v>0</v>
      </c>
      <c r="N950" s="809">
        <v>0</v>
      </c>
      <c r="O950" s="809">
        <f>L950</f>
        <v>2620143</v>
      </c>
      <c r="P950" s="809">
        <v>0</v>
      </c>
      <c r="Q950" s="810">
        <f>L950/I950</f>
        <v>677.09202263741383</v>
      </c>
      <c r="R950" s="810">
        <v>7920</v>
      </c>
      <c r="S950" s="622">
        <v>43465</v>
      </c>
    </row>
    <row r="951" spans="1:19" s="59" customFormat="1" ht="22.9" customHeight="1">
      <c r="A951" s="803"/>
      <c r="B951" s="804" t="s">
        <v>726</v>
      </c>
      <c r="C951" s="805">
        <v>1995</v>
      </c>
      <c r="D951" s="806"/>
      <c r="E951" s="737" t="s">
        <v>219</v>
      </c>
      <c r="F951" s="805">
        <v>5</v>
      </c>
      <c r="G951" s="805">
        <v>6</v>
      </c>
      <c r="H951" s="807">
        <v>4861.6000000000004</v>
      </c>
      <c r="I951" s="808">
        <v>4465</v>
      </c>
      <c r="J951" s="807">
        <v>4465</v>
      </c>
      <c r="K951" s="805">
        <v>158</v>
      </c>
      <c r="L951" s="650">
        <v>3158092</v>
      </c>
      <c r="M951" s="809">
        <v>0</v>
      </c>
      <c r="N951" s="809">
        <v>0</v>
      </c>
      <c r="O951" s="809">
        <f t="shared" ref="O951:O953" si="277">L951</f>
        <v>3158092</v>
      </c>
      <c r="P951" s="809">
        <v>0</v>
      </c>
      <c r="Q951" s="810">
        <f t="shared" ref="Q951:Q953" si="278">L951/I951</f>
        <v>707.29944008958569</v>
      </c>
      <c r="R951" s="810">
        <v>7920</v>
      </c>
      <c r="S951" s="622">
        <v>43465</v>
      </c>
    </row>
    <row r="952" spans="1:19" s="59" customFormat="1" ht="33" customHeight="1">
      <c r="A952" s="803"/>
      <c r="B952" s="804" t="s">
        <v>727</v>
      </c>
      <c r="C952" s="805">
        <v>1983</v>
      </c>
      <c r="D952" s="806"/>
      <c r="E952" s="737" t="s">
        <v>219</v>
      </c>
      <c r="F952" s="805">
        <v>3</v>
      </c>
      <c r="G952" s="805">
        <v>3</v>
      </c>
      <c r="H952" s="807">
        <v>1514.1</v>
      </c>
      <c r="I952" s="807">
        <v>1403.1</v>
      </c>
      <c r="J952" s="807">
        <v>1403.1</v>
      </c>
      <c r="K952" s="805">
        <v>46</v>
      </c>
      <c r="L952" s="650">
        <v>1623752</v>
      </c>
      <c r="M952" s="809">
        <v>0</v>
      </c>
      <c r="N952" s="809">
        <v>0</v>
      </c>
      <c r="O952" s="809">
        <f t="shared" si="277"/>
        <v>1623752</v>
      </c>
      <c r="P952" s="809">
        <v>0</v>
      </c>
      <c r="Q952" s="810">
        <f t="shared" si="278"/>
        <v>1157.2603520775426</v>
      </c>
      <c r="R952" s="810">
        <v>7920</v>
      </c>
      <c r="S952" s="622">
        <v>43465</v>
      </c>
    </row>
    <row r="953" spans="1:19" s="59" customFormat="1" ht="31.5">
      <c r="A953" s="803"/>
      <c r="B953" s="804" t="s">
        <v>728</v>
      </c>
      <c r="C953" s="805">
        <v>1975</v>
      </c>
      <c r="D953" s="806"/>
      <c r="E953" s="737" t="s">
        <v>218</v>
      </c>
      <c r="F953" s="805">
        <v>2</v>
      </c>
      <c r="G953" s="805">
        <v>3</v>
      </c>
      <c r="H953" s="807">
        <v>927.2</v>
      </c>
      <c r="I953" s="808">
        <v>840.2</v>
      </c>
      <c r="J953" s="807">
        <v>795.5</v>
      </c>
      <c r="K953" s="805">
        <v>35</v>
      </c>
      <c r="L953" s="650">
        <v>1807873</v>
      </c>
      <c r="M953" s="809">
        <v>0</v>
      </c>
      <c r="N953" s="809">
        <v>0</v>
      </c>
      <c r="O953" s="809">
        <f t="shared" si="277"/>
        <v>1807873</v>
      </c>
      <c r="P953" s="809">
        <v>0</v>
      </c>
      <c r="Q953" s="810">
        <f t="shared" si="278"/>
        <v>2151.7174482266128</v>
      </c>
      <c r="R953" s="810">
        <v>7920</v>
      </c>
      <c r="S953" s="622">
        <v>43465</v>
      </c>
    </row>
    <row r="954" spans="1:19" s="59" customFormat="1" ht="15.75">
      <c r="A954" s="318"/>
      <c r="B954" s="632"/>
      <c r="C954" s="381"/>
      <c r="D954" s="320"/>
      <c r="E954" s="321"/>
      <c r="F954" s="633"/>
      <c r="G954" s="633"/>
      <c r="H954" s="633"/>
      <c r="I954" s="634"/>
      <c r="J954" s="633"/>
      <c r="K954" s="633"/>
      <c r="L954" s="426"/>
      <c r="M954" s="426"/>
      <c r="N954" s="426"/>
      <c r="O954" s="426"/>
      <c r="P954" s="426"/>
      <c r="Q954" s="623"/>
      <c r="R954" s="623"/>
      <c r="S954" s="326"/>
    </row>
    <row r="955" spans="1:19" s="59" customFormat="1" ht="15.75">
      <c r="A955" s="318"/>
      <c r="B955" s="336"/>
      <c r="C955" s="318"/>
      <c r="D955" s="320"/>
      <c r="E955" s="321"/>
      <c r="F955" s="320"/>
      <c r="G955" s="320"/>
      <c r="H955" s="320"/>
      <c r="I955" s="340"/>
      <c r="J955" s="320"/>
      <c r="K955" s="320"/>
      <c r="L955" s="324"/>
      <c r="M955" s="324"/>
      <c r="N955" s="324"/>
      <c r="O955" s="324"/>
      <c r="P955" s="324"/>
      <c r="Q955" s="325"/>
      <c r="R955" s="325"/>
      <c r="S955" s="326"/>
    </row>
    <row r="956" spans="1:19" s="59" customFormat="1" ht="24" customHeight="1">
      <c r="A956" s="107"/>
      <c r="B956" s="1362" t="s">
        <v>668</v>
      </c>
      <c r="C956" s="1363"/>
      <c r="D956" s="1363"/>
      <c r="E956" s="1363"/>
      <c r="F956" s="1363"/>
      <c r="G956" s="1364"/>
      <c r="H956" s="131">
        <f>H957</f>
        <v>687.8</v>
      </c>
      <c r="I956" s="131">
        <f t="shared" ref="I956:P956" si="279">I957</f>
        <v>639.4</v>
      </c>
      <c r="J956" s="131">
        <f t="shared" si="279"/>
        <v>639.4</v>
      </c>
      <c r="K956" s="131">
        <f t="shared" si="279"/>
        <v>23</v>
      </c>
      <c r="L956" s="570">
        <f t="shared" si="279"/>
        <v>1720569</v>
      </c>
      <c r="M956" s="570">
        <f t="shared" si="279"/>
        <v>0</v>
      </c>
      <c r="N956" s="570">
        <f t="shared" si="279"/>
        <v>0</v>
      </c>
      <c r="O956" s="570">
        <f t="shared" si="279"/>
        <v>1720569</v>
      </c>
      <c r="P956" s="570">
        <f t="shared" si="279"/>
        <v>0</v>
      </c>
      <c r="Q956" s="106" t="s">
        <v>40</v>
      </c>
      <c r="R956" s="114" t="s">
        <v>40</v>
      </c>
      <c r="S956" s="326">
        <v>43465</v>
      </c>
    </row>
    <row r="957" spans="1:19" s="59" customFormat="1" ht="35.450000000000003" customHeight="1">
      <c r="A957" s="107"/>
      <c r="B957" s="145" t="s">
        <v>671</v>
      </c>
      <c r="C957" s="132">
        <v>1960</v>
      </c>
      <c r="D957" s="131"/>
      <c r="E957" s="109" t="s">
        <v>218</v>
      </c>
      <c r="F957" s="131">
        <v>2</v>
      </c>
      <c r="G957" s="131">
        <v>2</v>
      </c>
      <c r="H957" s="131">
        <v>687.8</v>
      </c>
      <c r="I957" s="176">
        <v>639.4</v>
      </c>
      <c r="J957" s="131">
        <v>639.4</v>
      </c>
      <c r="K957" s="131">
        <v>23</v>
      </c>
      <c r="L957" s="113">
        <v>1720569</v>
      </c>
      <c r="M957" s="113">
        <v>0</v>
      </c>
      <c r="N957" s="113">
        <v>0</v>
      </c>
      <c r="O957" s="113">
        <v>1720569</v>
      </c>
      <c r="P957" s="113">
        <v>0</v>
      </c>
      <c r="Q957" s="124">
        <f t="shared" ref="Q957" si="280">L957/I957</f>
        <v>2690.9117923052863</v>
      </c>
      <c r="R957" s="114">
        <v>7920</v>
      </c>
      <c r="S957" s="326">
        <v>43465</v>
      </c>
    </row>
    <row r="958" spans="1:19" s="1" customFormat="1" ht="22.9" customHeight="1">
      <c r="A958" s="107"/>
      <c r="B958" s="1336" t="s">
        <v>994</v>
      </c>
      <c r="C958" s="1336"/>
      <c r="D958" s="1336"/>
      <c r="E958" s="1336"/>
      <c r="F958" s="1336"/>
      <c r="G958" s="1336"/>
      <c r="H958" s="128">
        <f>H959+H960</f>
        <v>932.40000000000009</v>
      </c>
      <c r="I958" s="128">
        <f t="shared" ref="I958:P958" si="281">I959+I960</f>
        <v>932.40000000000009</v>
      </c>
      <c r="J958" s="128">
        <f t="shared" si="281"/>
        <v>661.40000000000009</v>
      </c>
      <c r="K958" s="128">
        <f t="shared" si="281"/>
        <v>55</v>
      </c>
      <c r="L958" s="565">
        <f t="shared" si="281"/>
        <v>580386</v>
      </c>
      <c r="M958" s="565">
        <f t="shared" si="281"/>
        <v>0</v>
      </c>
      <c r="N958" s="565">
        <f t="shared" si="281"/>
        <v>0</v>
      </c>
      <c r="O958" s="565">
        <f t="shared" si="281"/>
        <v>580386</v>
      </c>
      <c r="P958" s="565">
        <f t="shared" si="281"/>
        <v>0</v>
      </c>
      <c r="Q958" s="106" t="s">
        <v>40</v>
      </c>
      <c r="R958" s="114" t="s">
        <v>40</v>
      </c>
      <c r="S958" s="326">
        <v>43465</v>
      </c>
    </row>
    <row r="959" spans="1:19" s="1" customFormat="1" ht="40.9" customHeight="1">
      <c r="A959" s="107"/>
      <c r="B959" s="945" t="s">
        <v>996</v>
      </c>
      <c r="C959" s="118">
        <v>1965</v>
      </c>
      <c r="D959" s="945"/>
      <c r="E959" s="944" t="s">
        <v>218</v>
      </c>
      <c r="F959" s="945">
        <v>2</v>
      </c>
      <c r="G959" s="945">
        <v>3</v>
      </c>
      <c r="H959" s="128">
        <v>445.8</v>
      </c>
      <c r="I959" s="106">
        <v>445.8</v>
      </c>
      <c r="J959" s="106">
        <v>316.60000000000002</v>
      </c>
      <c r="K959" s="119">
        <v>13</v>
      </c>
      <c r="L959" s="113">
        <v>290233</v>
      </c>
      <c r="M959" s="113">
        <v>0</v>
      </c>
      <c r="N959" s="113">
        <v>0</v>
      </c>
      <c r="O959" s="113">
        <v>290233</v>
      </c>
      <c r="P959" s="113">
        <v>0</v>
      </c>
      <c r="Q959" s="106">
        <f>L959/I959</f>
        <v>651.03858232391201</v>
      </c>
      <c r="R959" s="114">
        <v>7920</v>
      </c>
      <c r="S959" s="326">
        <v>43465</v>
      </c>
    </row>
    <row r="960" spans="1:19" s="1" customFormat="1" ht="31.5">
      <c r="A960" s="107"/>
      <c r="B960" s="945" t="s">
        <v>997</v>
      </c>
      <c r="C960" s="118">
        <v>1965</v>
      </c>
      <c r="D960" s="304"/>
      <c r="E960" s="109" t="s">
        <v>218</v>
      </c>
      <c r="F960" s="118">
        <v>2</v>
      </c>
      <c r="G960" s="118">
        <v>3</v>
      </c>
      <c r="H960" s="128">
        <v>486.6</v>
      </c>
      <c r="I960" s="106">
        <v>486.6</v>
      </c>
      <c r="J960" s="106">
        <v>344.8</v>
      </c>
      <c r="K960" s="119">
        <v>42</v>
      </c>
      <c r="L960" s="113">
        <v>290153</v>
      </c>
      <c r="M960" s="113">
        <v>0</v>
      </c>
      <c r="N960" s="113">
        <v>0</v>
      </c>
      <c r="O960" s="113">
        <v>290153</v>
      </c>
      <c r="P960" s="113">
        <v>0</v>
      </c>
      <c r="Q960" s="106">
        <f>L960/I960</f>
        <v>596.28647759967112</v>
      </c>
      <c r="R960" s="114">
        <v>7920</v>
      </c>
      <c r="S960" s="326">
        <v>43465</v>
      </c>
    </row>
    <row r="961" spans="1:19" s="1" customFormat="1" ht="15.75" customHeight="1">
      <c r="A961" s="107"/>
      <c r="B961" s="1329" t="s">
        <v>111</v>
      </c>
      <c r="C961" s="1329"/>
      <c r="D961" s="1329"/>
      <c r="E961" s="1329"/>
      <c r="F961" s="1329"/>
      <c r="G961" s="1329"/>
      <c r="H961" s="128">
        <f>H962</f>
        <v>533.5</v>
      </c>
      <c r="I961" s="128">
        <f t="shared" ref="I961:J961" si="282">I962</f>
        <v>525.5</v>
      </c>
      <c r="J961" s="128">
        <f t="shared" si="282"/>
        <v>294.10000000000002</v>
      </c>
      <c r="K961" s="119">
        <f>K962</f>
        <v>54</v>
      </c>
      <c r="L961" s="113">
        <f>L962</f>
        <v>657835.92000000004</v>
      </c>
      <c r="M961" s="113">
        <f t="shared" ref="M961:P961" si="283">M962</f>
        <v>0</v>
      </c>
      <c r="N961" s="113">
        <f t="shared" si="283"/>
        <v>146321.84</v>
      </c>
      <c r="O961" s="113">
        <f t="shared" si="283"/>
        <v>511514.08</v>
      </c>
      <c r="P961" s="113">
        <f t="shared" si="283"/>
        <v>0</v>
      </c>
      <c r="Q961" s="106" t="s">
        <v>40</v>
      </c>
      <c r="R961" s="106" t="s">
        <v>40</v>
      </c>
      <c r="S961" s="326">
        <v>43465</v>
      </c>
    </row>
    <row r="962" spans="1:19" s="1" customFormat="1" ht="31.5">
      <c r="A962" s="107"/>
      <c r="B962" s="303" t="s">
        <v>420</v>
      </c>
      <c r="C962" s="302">
        <v>1967</v>
      </c>
      <c r="D962" s="304"/>
      <c r="E962" s="109" t="s">
        <v>218</v>
      </c>
      <c r="F962" s="118">
        <v>2</v>
      </c>
      <c r="G962" s="118">
        <v>2</v>
      </c>
      <c r="H962" s="128">
        <v>533.5</v>
      </c>
      <c r="I962" s="106">
        <v>525.5</v>
      </c>
      <c r="J962" s="106">
        <v>294.10000000000002</v>
      </c>
      <c r="K962" s="119">
        <v>54</v>
      </c>
      <c r="L962" s="113">
        <v>657835.92000000004</v>
      </c>
      <c r="M962" s="113">
        <v>0</v>
      </c>
      <c r="N962" s="113">
        <v>146321.84</v>
      </c>
      <c r="O962" s="113">
        <v>511514.08</v>
      </c>
      <c r="P962" s="113">
        <v>0</v>
      </c>
      <c r="Q962" s="106">
        <f>L961/I962</f>
        <v>1251.828582302569</v>
      </c>
      <c r="R962" s="114">
        <v>6774</v>
      </c>
      <c r="S962" s="326">
        <v>43465</v>
      </c>
    </row>
    <row r="963" spans="1:19" s="1" customFormat="1" ht="15.75">
      <c r="A963" s="318"/>
      <c r="B963" s="1359" t="s">
        <v>129</v>
      </c>
      <c r="C963" s="1359"/>
      <c r="D963" s="1359"/>
      <c r="E963" s="1359"/>
      <c r="F963" s="1359"/>
      <c r="G963" s="1359"/>
      <c r="H963" s="341">
        <f>H964</f>
        <v>1028</v>
      </c>
      <c r="I963" s="341">
        <f t="shared" ref="I963:P963" si="284">I964</f>
        <v>955</v>
      </c>
      <c r="J963" s="341">
        <f t="shared" si="284"/>
        <v>955</v>
      </c>
      <c r="K963" s="341">
        <f t="shared" si="284"/>
        <v>47</v>
      </c>
      <c r="L963" s="675">
        <f t="shared" si="284"/>
        <v>1430935</v>
      </c>
      <c r="M963" s="675">
        <f t="shared" si="284"/>
        <v>0</v>
      </c>
      <c r="N963" s="675">
        <f t="shared" si="284"/>
        <v>0</v>
      </c>
      <c r="O963" s="675">
        <f t="shared" si="284"/>
        <v>1430935</v>
      </c>
      <c r="P963" s="675">
        <f t="shared" si="284"/>
        <v>0</v>
      </c>
      <c r="Q963" s="344" t="s">
        <v>40</v>
      </c>
      <c r="R963" s="325" t="s">
        <v>40</v>
      </c>
      <c r="S963" s="326">
        <v>43465</v>
      </c>
    </row>
    <row r="964" spans="1:19" s="59" customFormat="1" ht="31.5">
      <c r="A964" s="318"/>
      <c r="B964" s="942" t="s">
        <v>682</v>
      </c>
      <c r="C964" s="320">
        <v>1972</v>
      </c>
      <c r="D964" s="320"/>
      <c r="E964" s="321" t="s">
        <v>218</v>
      </c>
      <c r="F964" s="320">
        <v>3</v>
      </c>
      <c r="G964" s="320">
        <v>2</v>
      </c>
      <c r="H964" s="318">
        <v>1028</v>
      </c>
      <c r="I964" s="320">
        <v>955</v>
      </c>
      <c r="J964" s="320">
        <v>955</v>
      </c>
      <c r="K964" s="320">
        <v>47</v>
      </c>
      <c r="L964" s="324">
        <v>1430935</v>
      </c>
      <c r="M964" s="324">
        <v>0</v>
      </c>
      <c r="N964" s="324">
        <v>0</v>
      </c>
      <c r="O964" s="324">
        <v>1430935</v>
      </c>
      <c r="P964" s="324">
        <v>0</v>
      </c>
      <c r="Q964" s="325">
        <f>L964/I964</f>
        <v>1498.3612565445026</v>
      </c>
      <c r="R964" s="325">
        <v>7920</v>
      </c>
      <c r="S964" s="326">
        <v>43465</v>
      </c>
    </row>
    <row r="965" spans="1:19" s="59" customFormat="1" ht="15.75">
      <c r="A965" s="318"/>
      <c r="B965" s="336"/>
      <c r="C965" s="320"/>
      <c r="D965" s="320"/>
      <c r="E965" s="321"/>
      <c r="F965" s="320"/>
      <c r="G965" s="320"/>
      <c r="H965" s="320"/>
      <c r="I965" s="320"/>
      <c r="J965" s="320"/>
      <c r="K965" s="320"/>
      <c r="L965" s="324"/>
      <c r="M965" s="324"/>
      <c r="N965" s="324"/>
      <c r="O965" s="324"/>
      <c r="P965" s="324"/>
      <c r="Q965" s="325"/>
      <c r="R965" s="325"/>
      <c r="S965" s="326"/>
    </row>
    <row r="966" spans="1:19" s="59" customFormat="1" ht="15.75">
      <c r="A966" s="318"/>
      <c r="B966" s="336"/>
      <c r="C966" s="320"/>
      <c r="D966" s="320"/>
      <c r="E966" s="321"/>
      <c r="F966" s="320"/>
      <c r="G966" s="320"/>
      <c r="H966" s="320"/>
      <c r="I966" s="320"/>
      <c r="J966" s="320"/>
      <c r="K966" s="320"/>
      <c r="L966" s="324"/>
      <c r="M966" s="324"/>
      <c r="N966" s="324"/>
      <c r="O966" s="324"/>
      <c r="P966" s="324"/>
      <c r="Q966" s="325"/>
      <c r="R966" s="325"/>
      <c r="S966" s="326"/>
    </row>
    <row r="967" spans="1:19" s="59" customFormat="1" ht="15.75">
      <c r="A967" s="318"/>
      <c r="B967" s="336"/>
      <c r="C967" s="320"/>
      <c r="D967" s="320"/>
      <c r="E967" s="321"/>
      <c r="F967" s="320"/>
      <c r="G967" s="320"/>
      <c r="H967" s="320"/>
      <c r="I967" s="320"/>
      <c r="J967" s="320"/>
      <c r="K967" s="320"/>
      <c r="L967" s="324"/>
      <c r="M967" s="324"/>
      <c r="N967" s="324"/>
      <c r="O967" s="324"/>
      <c r="P967" s="324"/>
      <c r="Q967" s="325"/>
      <c r="R967" s="325"/>
      <c r="S967" s="326"/>
    </row>
    <row r="968" spans="1:19" s="1" customFormat="1" ht="15.75">
      <c r="A968" s="107"/>
      <c r="B968" s="1336" t="s">
        <v>54</v>
      </c>
      <c r="C968" s="1336"/>
      <c r="D968" s="1336"/>
      <c r="E968" s="1336"/>
      <c r="F968" s="1336"/>
      <c r="G968" s="1336"/>
      <c r="H968" s="128">
        <f>H969</f>
        <v>1983</v>
      </c>
      <c r="I968" s="106">
        <f t="shared" ref="I968:P968" si="285">I969</f>
        <v>1780.1</v>
      </c>
      <c r="J968" s="106">
        <f t="shared" si="285"/>
        <v>1780.1</v>
      </c>
      <c r="K968" s="119">
        <f t="shared" si="285"/>
        <v>80</v>
      </c>
      <c r="L968" s="113">
        <f t="shared" si="285"/>
        <v>2222747</v>
      </c>
      <c r="M968" s="113">
        <f t="shared" si="285"/>
        <v>0</v>
      </c>
      <c r="N968" s="113">
        <f t="shared" si="285"/>
        <v>0</v>
      </c>
      <c r="O968" s="113">
        <f t="shared" si="285"/>
        <v>2222747</v>
      </c>
      <c r="P968" s="113">
        <f t="shared" si="285"/>
        <v>0</v>
      </c>
      <c r="Q968" s="106" t="s">
        <v>40</v>
      </c>
      <c r="R968" s="106" t="s">
        <v>40</v>
      </c>
      <c r="S968" s="326">
        <v>43465</v>
      </c>
    </row>
    <row r="969" spans="1:19" s="1" customFormat="1" ht="15.75" customHeight="1">
      <c r="A969" s="107"/>
      <c r="B969" s="1329" t="s">
        <v>112</v>
      </c>
      <c r="C969" s="1329"/>
      <c r="D969" s="1329"/>
      <c r="E969" s="1329"/>
      <c r="F969" s="1329"/>
      <c r="G969" s="1329"/>
      <c r="H969" s="128">
        <f>SUM(H970:H972)</f>
        <v>1983</v>
      </c>
      <c r="I969" s="106">
        <f t="shared" ref="I969:P969" si="286">SUM(I970:I972)</f>
        <v>1780.1</v>
      </c>
      <c r="J969" s="106">
        <f t="shared" si="286"/>
        <v>1780.1</v>
      </c>
      <c r="K969" s="119">
        <f t="shared" si="286"/>
        <v>80</v>
      </c>
      <c r="L969" s="113">
        <f t="shared" si="286"/>
        <v>2222747</v>
      </c>
      <c r="M969" s="113">
        <f t="shared" si="286"/>
        <v>0</v>
      </c>
      <c r="N969" s="113">
        <f t="shared" si="286"/>
        <v>0</v>
      </c>
      <c r="O969" s="113">
        <f t="shared" si="286"/>
        <v>2222747</v>
      </c>
      <c r="P969" s="113">
        <f t="shared" si="286"/>
        <v>0</v>
      </c>
      <c r="Q969" s="106" t="s">
        <v>40</v>
      </c>
      <c r="R969" s="106" t="s">
        <v>40</v>
      </c>
      <c r="S969" s="326">
        <v>43465</v>
      </c>
    </row>
    <row r="970" spans="1:19" s="35" customFormat="1" ht="31.5">
      <c r="A970" s="107"/>
      <c r="B970" s="301" t="s">
        <v>422</v>
      </c>
      <c r="C970" s="107">
        <v>1972</v>
      </c>
      <c r="D970" s="173"/>
      <c r="E970" s="109" t="s">
        <v>218</v>
      </c>
      <c r="F970" s="108">
        <v>2</v>
      </c>
      <c r="G970" s="108">
        <v>2</v>
      </c>
      <c r="H970" s="111">
        <v>778.9</v>
      </c>
      <c r="I970" s="126">
        <v>719.8</v>
      </c>
      <c r="J970" s="126">
        <v>719.8</v>
      </c>
      <c r="K970" s="112">
        <v>27</v>
      </c>
      <c r="L970" s="113">
        <v>1003542</v>
      </c>
      <c r="M970" s="113">
        <v>0</v>
      </c>
      <c r="N970" s="113">
        <v>0</v>
      </c>
      <c r="O970" s="113">
        <f>L970</f>
        <v>1003542</v>
      </c>
      <c r="P970" s="113">
        <v>0</v>
      </c>
      <c r="Q970" s="114">
        <f>L970/I970</f>
        <v>1394.1956098916366</v>
      </c>
      <c r="R970" s="114">
        <v>6774</v>
      </c>
      <c r="S970" s="326">
        <v>43465</v>
      </c>
    </row>
    <row r="971" spans="1:19" s="35" customFormat="1" ht="31.5">
      <c r="A971" s="107"/>
      <c r="B971" s="301" t="s">
        <v>421</v>
      </c>
      <c r="C971" s="177">
        <v>1980</v>
      </c>
      <c r="D971" s="178"/>
      <c r="E971" s="109" t="s">
        <v>218</v>
      </c>
      <c r="F971" s="108">
        <v>3</v>
      </c>
      <c r="G971" s="108">
        <v>2</v>
      </c>
      <c r="H971" s="111">
        <v>928.6</v>
      </c>
      <c r="I971" s="126">
        <v>843.2</v>
      </c>
      <c r="J971" s="126">
        <v>843.2</v>
      </c>
      <c r="K971" s="112">
        <v>39</v>
      </c>
      <c r="L971" s="113">
        <v>740146</v>
      </c>
      <c r="M971" s="113">
        <v>0</v>
      </c>
      <c r="N971" s="113">
        <v>0</v>
      </c>
      <c r="O971" s="113">
        <f>L971</f>
        <v>740146</v>
      </c>
      <c r="P971" s="113">
        <v>0</v>
      </c>
      <c r="Q971" s="114">
        <f>L971/I971</f>
        <v>877.7822580645161</v>
      </c>
      <c r="R971" s="114">
        <v>6774</v>
      </c>
      <c r="S971" s="326">
        <v>43465</v>
      </c>
    </row>
    <row r="972" spans="1:19" s="35" customFormat="1" ht="15.75">
      <c r="A972" s="107"/>
      <c r="B972" s="301" t="s">
        <v>423</v>
      </c>
      <c r="C972" s="108">
        <v>1965</v>
      </c>
      <c r="D972" s="173"/>
      <c r="E972" s="109" t="s">
        <v>221</v>
      </c>
      <c r="F972" s="108">
        <v>2</v>
      </c>
      <c r="G972" s="108">
        <v>2</v>
      </c>
      <c r="H972" s="111">
        <v>275.5</v>
      </c>
      <c r="I972" s="126">
        <v>217.1</v>
      </c>
      <c r="J972" s="126">
        <v>217.1</v>
      </c>
      <c r="K972" s="112">
        <v>14</v>
      </c>
      <c r="L972" s="113">
        <v>479059</v>
      </c>
      <c r="M972" s="113">
        <v>0</v>
      </c>
      <c r="N972" s="113">
        <v>0</v>
      </c>
      <c r="O972" s="113">
        <f>L972</f>
        <v>479059</v>
      </c>
      <c r="P972" s="113">
        <v>0</v>
      </c>
      <c r="Q972" s="114">
        <f>L972/I972</f>
        <v>2206.6282818977429</v>
      </c>
      <c r="R972" s="114">
        <v>6774</v>
      </c>
      <c r="S972" s="326">
        <v>43465</v>
      </c>
    </row>
    <row r="973" spans="1:19" s="1" customFormat="1" ht="15.75">
      <c r="A973" s="107"/>
      <c r="B973" s="1336" t="s">
        <v>55</v>
      </c>
      <c r="C973" s="1336"/>
      <c r="D973" s="1336"/>
      <c r="E973" s="1336"/>
      <c r="F973" s="1336"/>
      <c r="G973" s="1336"/>
      <c r="H973" s="128">
        <f>H974</f>
        <v>561.4</v>
      </c>
      <c r="I973" s="106">
        <f t="shared" ref="I973:R974" si="287">I974</f>
        <v>513.79999999999995</v>
      </c>
      <c r="J973" s="106">
        <f t="shared" si="287"/>
        <v>450.8</v>
      </c>
      <c r="K973" s="119">
        <f t="shared" si="287"/>
        <v>19</v>
      </c>
      <c r="L973" s="113">
        <f t="shared" si="287"/>
        <v>1739787</v>
      </c>
      <c r="M973" s="113">
        <f t="shared" si="287"/>
        <v>0</v>
      </c>
      <c r="N973" s="113">
        <f t="shared" si="287"/>
        <v>0</v>
      </c>
      <c r="O973" s="113">
        <f t="shared" si="287"/>
        <v>1739787</v>
      </c>
      <c r="P973" s="113">
        <f t="shared" si="287"/>
        <v>0</v>
      </c>
      <c r="Q973" s="106" t="str">
        <f t="shared" si="287"/>
        <v>Х</v>
      </c>
      <c r="R973" s="106" t="str">
        <f t="shared" si="287"/>
        <v>Х</v>
      </c>
      <c r="S973" s="326">
        <v>43465</v>
      </c>
    </row>
    <row r="974" spans="1:19" s="1" customFormat="1" ht="15.75">
      <c r="A974" s="107"/>
      <c r="B974" s="1336" t="s">
        <v>122</v>
      </c>
      <c r="C974" s="1336"/>
      <c r="D974" s="1336"/>
      <c r="E974" s="1336"/>
      <c r="F974" s="1336"/>
      <c r="G974" s="1336"/>
      <c r="H974" s="128">
        <f>H975</f>
        <v>561.4</v>
      </c>
      <c r="I974" s="128">
        <f t="shared" si="287"/>
        <v>513.79999999999995</v>
      </c>
      <c r="J974" s="128">
        <f t="shared" si="287"/>
        <v>450.8</v>
      </c>
      <c r="K974" s="128">
        <f t="shared" si="287"/>
        <v>19</v>
      </c>
      <c r="L974" s="366">
        <f t="shared" si="287"/>
        <v>1739787</v>
      </c>
      <c r="M974" s="366">
        <f t="shared" si="287"/>
        <v>0</v>
      </c>
      <c r="N974" s="366">
        <f t="shared" si="287"/>
        <v>0</v>
      </c>
      <c r="O974" s="366">
        <f t="shared" si="287"/>
        <v>1739787</v>
      </c>
      <c r="P974" s="366">
        <f t="shared" si="287"/>
        <v>0</v>
      </c>
      <c r="Q974" s="106" t="s">
        <v>40</v>
      </c>
      <c r="R974" s="114" t="s">
        <v>40</v>
      </c>
      <c r="S974" s="326">
        <v>43465</v>
      </c>
    </row>
    <row r="975" spans="1:19" s="1" customFormat="1" ht="15.75">
      <c r="A975" s="318"/>
      <c r="B975" s="336" t="s">
        <v>602</v>
      </c>
      <c r="C975" s="554" t="s">
        <v>603</v>
      </c>
      <c r="D975" s="320"/>
      <c r="E975" s="321" t="s">
        <v>220</v>
      </c>
      <c r="F975" s="320">
        <v>2</v>
      </c>
      <c r="G975" s="320">
        <v>2</v>
      </c>
      <c r="H975" s="322">
        <v>561.4</v>
      </c>
      <c r="I975" s="325">
        <v>513.79999999999995</v>
      </c>
      <c r="J975" s="325">
        <v>450.8</v>
      </c>
      <c r="K975" s="323">
        <v>19</v>
      </c>
      <c r="L975" s="324">
        <v>1739787</v>
      </c>
      <c r="M975" s="324">
        <v>0</v>
      </c>
      <c r="N975" s="324">
        <v>0</v>
      </c>
      <c r="O975" s="324">
        <v>1739787</v>
      </c>
      <c r="P975" s="324">
        <v>0</v>
      </c>
      <c r="Q975" s="325">
        <f>L975/I975</f>
        <v>3386.1171662125344</v>
      </c>
      <c r="R975" s="325">
        <v>7920</v>
      </c>
      <c r="S975" s="326">
        <v>43465</v>
      </c>
    </row>
    <row r="976" spans="1:19" s="1" customFormat="1" ht="15.75">
      <c r="A976" s="318"/>
      <c r="B976" s="336"/>
      <c r="C976" s="554"/>
      <c r="D976" s="320"/>
      <c r="E976" s="321"/>
      <c r="F976" s="320"/>
      <c r="G976" s="320"/>
      <c r="H976" s="322"/>
      <c r="I976" s="325"/>
      <c r="J976" s="325"/>
      <c r="K976" s="323"/>
      <c r="L976" s="324"/>
      <c r="M976" s="324"/>
      <c r="N976" s="324"/>
      <c r="O976" s="324"/>
      <c r="P976" s="324"/>
      <c r="Q976" s="325"/>
      <c r="R976" s="325"/>
      <c r="S976" s="326"/>
    </row>
    <row r="977" spans="1:19" s="1" customFormat="1" ht="15.75">
      <c r="A977" s="318"/>
      <c r="B977" s="336"/>
      <c r="C977" s="554"/>
      <c r="D977" s="320"/>
      <c r="E977" s="321"/>
      <c r="F977" s="320"/>
      <c r="G977" s="320"/>
      <c r="H977" s="322"/>
      <c r="I977" s="325"/>
      <c r="J977" s="325"/>
      <c r="K977" s="323"/>
      <c r="L977" s="324"/>
      <c r="M977" s="324"/>
      <c r="N977" s="324"/>
      <c r="O977" s="324"/>
      <c r="P977" s="324"/>
      <c r="Q977" s="325"/>
      <c r="R977" s="325"/>
      <c r="S977" s="326"/>
    </row>
    <row r="978" spans="1:19" s="1" customFormat="1" ht="15.75">
      <c r="A978" s="107"/>
      <c r="B978" s="1336" t="s">
        <v>56</v>
      </c>
      <c r="C978" s="1336"/>
      <c r="D978" s="1336"/>
      <c r="E978" s="1336"/>
      <c r="F978" s="1336"/>
      <c r="G978" s="1336"/>
      <c r="H978" s="128">
        <f t="shared" ref="H978:P978" si="288">H986+H979+H990</f>
        <v>8391.7000000000007</v>
      </c>
      <c r="I978" s="106">
        <f t="shared" si="288"/>
        <v>6727.7999999999993</v>
      </c>
      <c r="J978" s="106">
        <f t="shared" si="288"/>
        <v>5681.7</v>
      </c>
      <c r="K978" s="119">
        <f t="shared" si="288"/>
        <v>401</v>
      </c>
      <c r="L978" s="113">
        <f t="shared" si="288"/>
        <v>11022985.029999999</v>
      </c>
      <c r="M978" s="113">
        <f t="shared" si="288"/>
        <v>0</v>
      </c>
      <c r="N978" s="113">
        <f t="shared" si="288"/>
        <v>0</v>
      </c>
      <c r="O978" s="113">
        <f t="shared" si="288"/>
        <v>11022985.029999999</v>
      </c>
      <c r="P978" s="113">
        <f t="shared" si="288"/>
        <v>0</v>
      </c>
      <c r="Q978" s="106" t="str">
        <f t="shared" ref="Q978:R978" si="289">Q979</f>
        <v>Х</v>
      </c>
      <c r="R978" s="106" t="str">
        <f t="shared" si="289"/>
        <v>Х</v>
      </c>
      <c r="S978" s="326">
        <v>43465</v>
      </c>
    </row>
    <row r="979" spans="1:19" s="18" customFormat="1" ht="22.9" customHeight="1">
      <c r="A979" s="318"/>
      <c r="B979" s="1360" t="s">
        <v>424</v>
      </c>
      <c r="C979" s="1360"/>
      <c r="D979" s="1360"/>
      <c r="E979" s="1360"/>
      <c r="F979" s="1365"/>
      <c r="G979" s="1365"/>
      <c r="H979" s="733">
        <f>SUM(H980:H985)</f>
        <v>5703</v>
      </c>
      <c r="I979" s="733">
        <f t="shared" ref="I979:P979" si="290">SUM(I980:I985)</f>
        <v>4172.7</v>
      </c>
      <c r="J979" s="733">
        <f t="shared" si="290"/>
        <v>3504.7999999999997</v>
      </c>
      <c r="K979" s="733">
        <f t="shared" si="290"/>
        <v>262</v>
      </c>
      <c r="L979" s="734">
        <f t="shared" si="290"/>
        <v>8669678</v>
      </c>
      <c r="M979" s="734">
        <f t="shared" si="290"/>
        <v>0</v>
      </c>
      <c r="N979" s="734">
        <f t="shared" si="290"/>
        <v>0</v>
      </c>
      <c r="O979" s="734">
        <f t="shared" si="290"/>
        <v>8669678</v>
      </c>
      <c r="P979" s="734">
        <f t="shared" si="290"/>
        <v>0</v>
      </c>
      <c r="Q979" s="735" t="s">
        <v>40</v>
      </c>
      <c r="R979" s="736" t="s">
        <v>40</v>
      </c>
      <c r="S979" s="326">
        <v>43465</v>
      </c>
    </row>
    <row r="980" spans="1:19" s="62" customFormat="1" ht="31.5">
      <c r="A980" s="318"/>
      <c r="B980" s="618" t="s">
        <v>708</v>
      </c>
      <c r="C980" s="318" t="s">
        <v>714</v>
      </c>
      <c r="D980" s="318"/>
      <c r="E980" s="737" t="s">
        <v>218</v>
      </c>
      <c r="F980" s="318">
        <v>2</v>
      </c>
      <c r="G980" s="318">
        <v>1</v>
      </c>
      <c r="H980" s="318">
        <v>496.4</v>
      </c>
      <c r="I980" s="318">
        <v>286.2</v>
      </c>
      <c r="J980" s="318">
        <v>286.2</v>
      </c>
      <c r="K980" s="318">
        <v>10</v>
      </c>
      <c r="L980" s="738">
        <v>435475</v>
      </c>
      <c r="M980" s="738">
        <v>0</v>
      </c>
      <c r="N980" s="738">
        <v>0</v>
      </c>
      <c r="O980" s="738">
        <v>435475</v>
      </c>
      <c r="P980" s="738">
        <v>0</v>
      </c>
      <c r="Q980" s="738">
        <f t="shared" ref="Q980:Q985" si="291">L980/I980</f>
        <v>1521.575821104123</v>
      </c>
      <c r="R980" s="738">
        <v>7920</v>
      </c>
      <c r="S980" s="622">
        <v>43465</v>
      </c>
    </row>
    <row r="981" spans="1:19" s="62" customFormat="1" ht="31.5">
      <c r="A981" s="318"/>
      <c r="B981" s="739" t="s">
        <v>709</v>
      </c>
      <c r="C981" s="318">
        <v>1963</v>
      </c>
      <c r="D981" s="318"/>
      <c r="E981" s="737" t="s">
        <v>218</v>
      </c>
      <c r="F981" s="318">
        <v>2</v>
      </c>
      <c r="G981" s="318">
        <v>2</v>
      </c>
      <c r="H981" s="318">
        <v>403.2</v>
      </c>
      <c r="I981" s="318">
        <v>356.4</v>
      </c>
      <c r="J981" s="318">
        <v>356.4</v>
      </c>
      <c r="K981" s="318">
        <v>26</v>
      </c>
      <c r="L981" s="738">
        <v>1920530</v>
      </c>
      <c r="M981" s="738">
        <v>0</v>
      </c>
      <c r="N981" s="738">
        <v>0</v>
      </c>
      <c r="O981" s="738">
        <v>1920530</v>
      </c>
      <c r="P981" s="738">
        <v>0</v>
      </c>
      <c r="Q981" s="738">
        <f t="shared" si="291"/>
        <v>5388.6924803591473</v>
      </c>
      <c r="R981" s="738">
        <v>7920</v>
      </c>
      <c r="S981" s="622">
        <v>43465</v>
      </c>
    </row>
    <row r="982" spans="1:19" s="62" customFormat="1" ht="31.5">
      <c r="A982" s="318"/>
      <c r="B982" s="618" t="s">
        <v>710</v>
      </c>
      <c r="C982" s="318">
        <v>1966</v>
      </c>
      <c r="D982" s="318"/>
      <c r="E982" s="737" t="s">
        <v>218</v>
      </c>
      <c r="F982" s="318">
        <v>3</v>
      </c>
      <c r="G982" s="318">
        <v>2</v>
      </c>
      <c r="H982" s="318">
        <v>892.3</v>
      </c>
      <c r="I982" s="318">
        <v>581.6</v>
      </c>
      <c r="J982" s="318">
        <v>427.1</v>
      </c>
      <c r="K982" s="318">
        <v>47</v>
      </c>
      <c r="L982" s="738">
        <v>957137</v>
      </c>
      <c r="M982" s="738">
        <v>0</v>
      </c>
      <c r="N982" s="738">
        <v>0</v>
      </c>
      <c r="O982" s="738">
        <v>957137</v>
      </c>
      <c r="P982" s="738">
        <v>0</v>
      </c>
      <c r="Q982" s="738">
        <f t="shared" si="291"/>
        <v>1645.6963548830811</v>
      </c>
      <c r="R982" s="738">
        <v>7920</v>
      </c>
      <c r="S982" s="622">
        <v>43465</v>
      </c>
    </row>
    <row r="983" spans="1:19" s="62" customFormat="1" ht="31.5">
      <c r="A983" s="318"/>
      <c r="B983" s="616" t="s">
        <v>711</v>
      </c>
      <c r="C983" s="318">
        <v>1962</v>
      </c>
      <c r="D983" s="318"/>
      <c r="E983" s="737" t="s">
        <v>218</v>
      </c>
      <c r="F983" s="318">
        <v>2</v>
      </c>
      <c r="G983" s="318">
        <v>2</v>
      </c>
      <c r="H983" s="318">
        <v>517.5</v>
      </c>
      <c r="I983" s="318">
        <v>458.6</v>
      </c>
      <c r="J983" s="318">
        <v>384.7</v>
      </c>
      <c r="K983" s="318">
        <v>16</v>
      </c>
      <c r="L983" s="738">
        <v>1620768</v>
      </c>
      <c r="M983" s="738">
        <v>0</v>
      </c>
      <c r="N983" s="738">
        <v>0</v>
      </c>
      <c r="O983" s="738">
        <v>1620768</v>
      </c>
      <c r="P983" s="738">
        <v>0</v>
      </c>
      <c r="Q983" s="738">
        <f t="shared" si="291"/>
        <v>3534.1648495420845</v>
      </c>
      <c r="R983" s="738">
        <v>7920</v>
      </c>
      <c r="S983" s="622">
        <v>43465</v>
      </c>
    </row>
    <row r="984" spans="1:19" s="62" customFormat="1" ht="31.5">
      <c r="A984" s="318"/>
      <c r="B984" s="618" t="s">
        <v>712</v>
      </c>
      <c r="C984" s="318">
        <v>1958</v>
      </c>
      <c r="D984" s="318"/>
      <c r="E984" s="737" t="s">
        <v>218</v>
      </c>
      <c r="F984" s="318">
        <v>2</v>
      </c>
      <c r="G984" s="318">
        <v>2</v>
      </c>
      <c r="H984" s="318">
        <v>859.2</v>
      </c>
      <c r="I984" s="318">
        <v>800.4</v>
      </c>
      <c r="J984" s="318">
        <v>673.3</v>
      </c>
      <c r="K984" s="318">
        <v>32</v>
      </c>
      <c r="L984" s="738">
        <v>1496185</v>
      </c>
      <c r="M984" s="738">
        <v>0</v>
      </c>
      <c r="N984" s="738">
        <v>0</v>
      </c>
      <c r="O984" s="738">
        <v>1496185</v>
      </c>
      <c r="P984" s="738">
        <v>0</v>
      </c>
      <c r="Q984" s="738">
        <f t="shared" si="291"/>
        <v>1869.2966016991504</v>
      </c>
      <c r="R984" s="738">
        <v>7920</v>
      </c>
      <c r="S984" s="622">
        <v>43465</v>
      </c>
    </row>
    <row r="985" spans="1:19" s="62" customFormat="1" ht="31.5">
      <c r="A985" s="318"/>
      <c r="B985" s="616" t="s">
        <v>713</v>
      </c>
      <c r="C985" s="318">
        <v>1970</v>
      </c>
      <c r="D985" s="318"/>
      <c r="E985" s="737" t="s">
        <v>218</v>
      </c>
      <c r="F985" s="318">
        <v>4</v>
      </c>
      <c r="G985" s="318">
        <v>1</v>
      </c>
      <c r="H985" s="318">
        <v>2534.4</v>
      </c>
      <c r="I985" s="318">
        <v>1689.5</v>
      </c>
      <c r="J985" s="318">
        <v>1377.1</v>
      </c>
      <c r="K985" s="318">
        <v>131</v>
      </c>
      <c r="L985" s="738">
        <v>2239583</v>
      </c>
      <c r="M985" s="738">
        <v>0</v>
      </c>
      <c r="N985" s="738">
        <v>0</v>
      </c>
      <c r="O985" s="738">
        <v>2239583</v>
      </c>
      <c r="P985" s="738">
        <v>0</v>
      </c>
      <c r="Q985" s="738">
        <f t="shared" si="291"/>
        <v>1325.589227582125</v>
      </c>
      <c r="R985" s="738">
        <v>7920</v>
      </c>
      <c r="S985" s="622">
        <v>43465</v>
      </c>
    </row>
    <row r="986" spans="1:19" s="1" customFormat="1" ht="21.6" customHeight="1">
      <c r="A986" s="107"/>
      <c r="B986" s="1329" t="s">
        <v>121</v>
      </c>
      <c r="C986" s="1329"/>
      <c r="D986" s="1329"/>
      <c r="E986" s="1329"/>
      <c r="F986" s="1329"/>
      <c r="G986" s="1329"/>
      <c r="H986" s="128">
        <f>H987+H988+H989</f>
        <v>1293.3000000000002</v>
      </c>
      <c r="I986" s="128">
        <f t="shared" ref="I986:P986" si="292">I987+I988+I989</f>
        <v>1159.6999999999998</v>
      </c>
      <c r="J986" s="128">
        <f t="shared" si="292"/>
        <v>849.40000000000009</v>
      </c>
      <c r="K986" s="128">
        <f t="shared" si="292"/>
        <v>57</v>
      </c>
      <c r="L986" s="565">
        <f t="shared" si="292"/>
        <v>2114731</v>
      </c>
      <c r="M986" s="565">
        <f t="shared" si="292"/>
        <v>0</v>
      </c>
      <c r="N986" s="565">
        <f t="shared" si="292"/>
        <v>0</v>
      </c>
      <c r="O986" s="565">
        <f t="shared" si="292"/>
        <v>2114731</v>
      </c>
      <c r="P986" s="565">
        <f t="shared" si="292"/>
        <v>0</v>
      </c>
      <c r="Q986" s="106" t="s">
        <v>40</v>
      </c>
      <c r="R986" s="106" t="s">
        <v>40</v>
      </c>
      <c r="S986" s="622">
        <v>43465</v>
      </c>
    </row>
    <row r="987" spans="1:19" s="1" customFormat="1" ht="30.6" customHeight="1">
      <c r="A987" s="107"/>
      <c r="B987" s="934" t="s">
        <v>990</v>
      </c>
      <c r="C987" s="935">
        <v>1956</v>
      </c>
      <c r="D987" s="934"/>
      <c r="E987" s="935" t="s">
        <v>218</v>
      </c>
      <c r="F987" s="935">
        <v>2</v>
      </c>
      <c r="G987" s="935">
        <v>2</v>
      </c>
      <c r="H987" s="128">
        <v>432.6</v>
      </c>
      <c r="I987" s="106">
        <v>387.2</v>
      </c>
      <c r="J987" s="106">
        <v>182.5</v>
      </c>
      <c r="K987" s="119">
        <v>26</v>
      </c>
      <c r="L987" s="113">
        <v>730231</v>
      </c>
      <c r="M987" s="113">
        <v>0</v>
      </c>
      <c r="N987" s="113">
        <v>0</v>
      </c>
      <c r="O987" s="113">
        <v>730231</v>
      </c>
      <c r="P987" s="113">
        <v>0</v>
      </c>
      <c r="Q987" s="106">
        <f>L987/I987</f>
        <v>1885.9271694214876</v>
      </c>
      <c r="R987" s="106">
        <v>7920</v>
      </c>
      <c r="S987" s="622">
        <v>43465</v>
      </c>
    </row>
    <row r="988" spans="1:19" s="1" customFormat="1" ht="37.15" customHeight="1">
      <c r="A988" s="107"/>
      <c r="B988" s="934" t="s">
        <v>991</v>
      </c>
      <c r="C988" s="935">
        <v>1954</v>
      </c>
      <c r="D988" s="934"/>
      <c r="E988" s="935" t="s">
        <v>218</v>
      </c>
      <c r="F988" s="935">
        <v>2</v>
      </c>
      <c r="G988" s="935">
        <v>2</v>
      </c>
      <c r="H988" s="128">
        <v>427.1</v>
      </c>
      <c r="I988" s="106">
        <v>383.9</v>
      </c>
      <c r="J988" s="106">
        <v>278.3</v>
      </c>
      <c r="K988" s="119">
        <v>17</v>
      </c>
      <c r="L988" s="113">
        <v>692216</v>
      </c>
      <c r="M988" s="113">
        <v>0</v>
      </c>
      <c r="N988" s="113">
        <v>0</v>
      </c>
      <c r="O988" s="113">
        <v>692216</v>
      </c>
      <c r="P988" s="113">
        <v>0</v>
      </c>
      <c r="Q988" s="106">
        <f>L988/I988</f>
        <v>1803.1153946340194</v>
      </c>
      <c r="R988" s="106">
        <v>7920</v>
      </c>
      <c r="S988" s="622">
        <v>43465</v>
      </c>
    </row>
    <row r="989" spans="1:19" s="1" customFormat="1" ht="31.5">
      <c r="A989" s="107"/>
      <c r="B989" s="934" t="s">
        <v>992</v>
      </c>
      <c r="C989" s="935">
        <v>1953</v>
      </c>
      <c r="D989" s="118"/>
      <c r="E989" s="109" t="s">
        <v>218</v>
      </c>
      <c r="F989" s="118">
        <v>2</v>
      </c>
      <c r="G989" s="118">
        <v>2</v>
      </c>
      <c r="H989" s="128">
        <v>433.6</v>
      </c>
      <c r="I989" s="106">
        <v>388.6</v>
      </c>
      <c r="J989" s="106">
        <v>388.6</v>
      </c>
      <c r="K989" s="119">
        <v>14</v>
      </c>
      <c r="L989" s="113">
        <v>692284</v>
      </c>
      <c r="M989" s="113">
        <v>0</v>
      </c>
      <c r="N989" s="113">
        <v>0</v>
      </c>
      <c r="O989" s="113">
        <f>L989</f>
        <v>692284</v>
      </c>
      <c r="P989" s="113">
        <v>0</v>
      </c>
      <c r="Q989" s="106">
        <f>L989/I989</f>
        <v>1781.4822439526504</v>
      </c>
      <c r="R989" s="114">
        <v>7920</v>
      </c>
      <c r="S989" s="326">
        <v>43465</v>
      </c>
    </row>
    <row r="990" spans="1:19" s="1" customFormat="1" ht="15.75" customHeight="1">
      <c r="A990" s="107"/>
      <c r="B990" s="1329" t="s">
        <v>120</v>
      </c>
      <c r="C990" s="1329"/>
      <c r="D990" s="1329"/>
      <c r="E990" s="1329"/>
      <c r="F990" s="1329"/>
      <c r="G990" s="1329"/>
      <c r="H990" s="128">
        <f>H991</f>
        <v>1395.4</v>
      </c>
      <c r="I990" s="106">
        <f t="shared" ref="I990:P990" si="293">I991</f>
        <v>1395.4</v>
      </c>
      <c r="J990" s="106">
        <f t="shared" si="293"/>
        <v>1327.5</v>
      </c>
      <c r="K990" s="119">
        <f t="shared" si="293"/>
        <v>82</v>
      </c>
      <c r="L990" s="113">
        <f t="shared" si="293"/>
        <v>238576.03</v>
      </c>
      <c r="M990" s="113">
        <f t="shared" si="293"/>
        <v>0</v>
      </c>
      <c r="N990" s="113">
        <f t="shared" si="293"/>
        <v>0</v>
      </c>
      <c r="O990" s="113">
        <f t="shared" si="293"/>
        <v>238576.03</v>
      </c>
      <c r="P990" s="113">
        <f t="shared" si="293"/>
        <v>0</v>
      </c>
      <c r="Q990" s="106" t="s">
        <v>40</v>
      </c>
      <c r="R990" s="106" t="s">
        <v>40</v>
      </c>
      <c r="S990" s="326">
        <v>43465</v>
      </c>
    </row>
    <row r="991" spans="1:19" s="1" customFormat="1" ht="15.75">
      <c r="A991" s="107"/>
      <c r="B991" s="303" t="s">
        <v>445</v>
      </c>
      <c r="C991" s="302">
        <v>1982</v>
      </c>
      <c r="D991" s="118"/>
      <c r="E991" s="109" t="s">
        <v>219</v>
      </c>
      <c r="F991" s="118">
        <v>3</v>
      </c>
      <c r="G991" s="118">
        <v>3</v>
      </c>
      <c r="H991" s="128">
        <v>1395.4</v>
      </c>
      <c r="I991" s="106">
        <f>H991</f>
        <v>1395.4</v>
      </c>
      <c r="J991" s="106">
        <v>1327.5</v>
      </c>
      <c r="K991" s="119">
        <v>82</v>
      </c>
      <c r="L991" s="113">
        <v>238576.03</v>
      </c>
      <c r="M991" s="113">
        <v>0</v>
      </c>
      <c r="N991" s="113">
        <v>0</v>
      </c>
      <c r="O991" s="113">
        <f>L991</f>
        <v>238576.03</v>
      </c>
      <c r="P991" s="113">
        <v>0</v>
      </c>
      <c r="Q991" s="106">
        <f>L991/I991</f>
        <v>170.97321914863122</v>
      </c>
      <c r="R991" s="114">
        <v>6774</v>
      </c>
      <c r="S991" s="326">
        <v>43465</v>
      </c>
    </row>
    <row r="992" spans="1:19" s="1" customFormat="1" ht="15.75">
      <c r="A992" s="107"/>
      <c r="B992" s="1336" t="s">
        <v>57</v>
      </c>
      <c r="C992" s="1336"/>
      <c r="D992" s="1336"/>
      <c r="E992" s="1336"/>
      <c r="F992" s="1336"/>
      <c r="G992" s="1336"/>
      <c r="H992" s="128">
        <f>H993</f>
        <v>4519.1000000000004</v>
      </c>
      <c r="I992" s="128">
        <f t="shared" ref="I992:P992" si="294">I993</f>
        <v>4025.1000000000004</v>
      </c>
      <c r="J992" s="128">
        <f t="shared" si="294"/>
        <v>4025.1000000000004</v>
      </c>
      <c r="K992" s="119">
        <f t="shared" si="294"/>
        <v>141</v>
      </c>
      <c r="L992" s="113">
        <f t="shared" si="294"/>
        <v>2547865</v>
      </c>
      <c r="M992" s="113">
        <f t="shared" si="294"/>
        <v>0</v>
      </c>
      <c r="N992" s="113">
        <f t="shared" si="294"/>
        <v>0</v>
      </c>
      <c r="O992" s="113">
        <f t="shared" si="294"/>
        <v>2547865</v>
      </c>
      <c r="P992" s="113">
        <f t="shared" si="294"/>
        <v>0</v>
      </c>
      <c r="Q992" s="106" t="s">
        <v>40</v>
      </c>
      <c r="R992" s="114" t="s">
        <v>40</v>
      </c>
      <c r="S992" s="326">
        <v>43465</v>
      </c>
    </row>
    <row r="993" spans="1:19" s="1" customFormat="1" ht="15.75" customHeight="1">
      <c r="A993" s="107"/>
      <c r="B993" s="1329" t="s">
        <v>119</v>
      </c>
      <c r="C993" s="1329"/>
      <c r="D993" s="1329"/>
      <c r="E993" s="1329"/>
      <c r="F993" s="1329"/>
      <c r="G993" s="1329"/>
      <c r="H993" s="128">
        <f t="shared" ref="H993:P993" si="295">H994+H995</f>
        <v>4519.1000000000004</v>
      </c>
      <c r="I993" s="128">
        <f t="shared" si="295"/>
        <v>4025.1000000000004</v>
      </c>
      <c r="J993" s="128">
        <f t="shared" si="295"/>
        <v>4025.1000000000004</v>
      </c>
      <c r="K993" s="119">
        <f t="shared" si="295"/>
        <v>141</v>
      </c>
      <c r="L993" s="113">
        <f t="shared" si="295"/>
        <v>2547865</v>
      </c>
      <c r="M993" s="113">
        <f t="shared" si="295"/>
        <v>0</v>
      </c>
      <c r="N993" s="113">
        <f t="shared" si="295"/>
        <v>0</v>
      </c>
      <c r="O993" s="113">
        <f t="shared" si="295"/>
        <v>2547865</v>
      </c>
      <c r="P993" s="113">
        <f t="shared" si="295"/>
        <v>0</v>
      </c>
      <c r="Q993" s="106" t="s">
        <v>40</v>
      </c>
      <c r="R993" s="106" t="s">
        <v>40</v>
      </c>
      <c r="S993" s="326">
        <v>43465</v>
      </c>
    </row>
    <row r="994" spans="1:19" s="1" customFormat="1" ht="15.75">
      <c r="A994" s="107"/>
      <c r="B994" s="907" t="s">
        <v>982</v>
      </c>
      <c r="C994" s="302">
        <v>1989</v>
      </c>
      <c r="D994" s="118"/>
      <c r="E994" s="109" t="s">
        <v>219</v>
      </c>
      <c r="F994" s="118">
        <v>3</v>
      </c>
      <c r="G994" s="118">
        <v>3</v>
      </c>
      <c r="H994" s="128">
        <v>1415</v>
      </c>
      <c r="I994" s="128">
        <v>1289.7</v>
      </c>
      <c r="J994" s="128">
        <v>1289.7</v>
      </c>
      <c r="K994" s="119">
        <v>52</v>
      </c>
      <c r="L994" s="113">
        <v>440353</v>
      </c>
      <c r="M994" s="113">
        <v>0</v>
      </c>
      <c r="N994" s="113">
        <v>0</v>
      </c>
      <c r="O994" s="113">
        <f>L994</f>
        <v>440353</v>
      </c>
      <c r="P994" s="113">
        <v>0</v>
      </c>
      <c r="Q994" s="106">
        <f>L994/I994</f>
        <v>341.43831898891216</v>
      </c>
      <c r="R994" s="114">
        <v>7920</v>
      </c>
      <c r="S994" s="326">
        <v>43465</v>
      </c>
    </row>
    <row r="995" spans="1:19" s="23" customFormat="1" ht="31.5">
      <c r="A995" s="107"/>
      <c r="B995" s="908" t="s">
        <v>983</v>
      </c>
      <c r="C995" s="302">
        <v>1992</v>
      </c>
      <c r="D995" s="118"/>
      <c r="E995" s="109" t="s">
        <v>218</v>
      </c>
      <c r="F995" s="118">
        <v>5</v>
      </c>
      <c r="G995" s="118">
        <v>4</v>
      </c>
      <c r="H995" s="128">
        <v>3104.1</v>
      </c>
      <c r="I995" s="128">
        <v>2735.4</v>
      </c>
      <c r="J995" s="128">
        <v>2735.4</v>
      </c>
      <c r="K995" s="119">
        <v>89</v>
      </c>
      <c r="L995" s="113">
        <v>2107512</v>
      </c>
      <c r="M995" s="113">
        <v>0</v>
      </c>
      <c r="N995" s="113">
        <v>0</v>
      </c>
      <c r="O995" s="113">
        <f>L995</f>
        <v>2107512</v>
      </c>
      <c r="P995" s="113">
        <v>0</v>
      </c>
      <c r="Q995" s="106">
        <f>L995/I995</f>
        <v>770.45843386707611</v>
      </c>
      <c r="R995" s="114">
        <v>7920</v>
      </c>
      <c r="S995" s="326">
        <v>43465</v>
      </c>
    </row>
    <row r="996" spans="1:19" s="1" customFormat="1" ht="15.75">
      <c r="A996" s="107"/>
      <c r="B996" s="1336" t="s">
        <v>58</v>
      </c>
      <c r="C996" s="1336"/>
      <c r="D996" s="1336"/>
      <c r="E996" s="1336"/>
      <c r="F996" s="1336"/>
      <c r="G996" s="1336"/>
      <c r="H996" s="128">
        <f>H997</f>
        <v>15250.300000000001</v>
      </c>
      <c r="I996" s="128">
        <f t="shared" ref="I996:P996" si="296">I997</f>
        <v>13418.4</v>
      </c>
      <c r="J996" s="128">
        <f t="shared" si="296"/>
        <v>12151.1</v>
      </c>
      <c r="K996" s="119">
        <f t="shared" si="296"/>
        <v>490</v>
      </c>
      <c r="L996" s="113">
        <f t="shared" si="296"/>
        <v>12013200</v>
      </c>
      <c r="M996" s="113">
        <f t="shared" si="296"/>
        <v>0</v>
      </c>
      <c r="N996" s="113">
        <f t="shared" si="296"/>
        <v>0</v>
      </c>
      <c r="O996" s="113">
        <f t="shared" si="296"/>
        <v>12013200</v>
      </c>
      <c r="P996" s="113">
        <f t="shared" si="296"/>
        <v>0</v>
      </c>
      <c r="Q996" s="106" t="s">
        <v>40</v>
      </c>
      <c r="R996" s="106" t="s">
        <v>40</v>
      </c>
      <c r="S996" s="326">
        <v>43465</v>
      </c>
    </row>
    <row r="997" spans="1:19" s="1" customFormat="1" ht="15.75" customHeight="1">
      <c r="A997" s="107"/>
      <c r="B997" s="1329" t="s">
        <v>87</v>
      </c>
      <c r="C997" s="1329"/>
      <c r="D997" s="1329"/>
      <c r="E997" s="1329"/>
      <c r="F997" s="1329"/>
      <c r="G997" s="1329"/>
      <c r="H997" s="128">
        <f>SUM(H998:H1006)</f>
        <v>15250.300000000001</v>
      </c>
      <c r="I997" s="106">
        <f t="shared" ref="I997:N997" si="297">SUM(I998:I1006)</f>
        <v>13418.4</v>
      </c>
      <c r="J997" s="106">
        <f t="shared" si="297"/>
        <v>12151.1</v>
      </c>
      <c r="K997" s="119">
        <f t="shared" si="297"/>
        <v>490</v>
      </c>
      <c r="L997" s="113">
        <f t="shared" si="297"/>
        <v>12013200</v>
      </c>
      <c r="M997" s="113">
        <f t="shared" si="297"/>
        <v>0</v>
      </c>
      <c r="N997" s="113">
        <f t="shared" si="297"/>
        <v>0</v>
      </c>
      <c r="O997" s="113">
        <f>SUM(O998:O1006)</f>
        <v>12013200</v>
      </c>
      <c r="P997" s="113">
        <v>0</v>
      </c>
      <c r="Q997" s="106" t="s">
        <v>40</v>
      </c>
      <c r="R997" s="106" t="s">
        <v>40</v>
      </c>
      <c r="S997" s="326">
        <v>43465</v>
      </c>
    </row>
    <row r="998" spans="1:19" s="30" customFormat="1" ht="31.5">
      <c r="A998" s="107"/>
      <c r="B998" s="300" t="s">
        <v>425</v>
      </c>
      <c r="C998" s="179">
        <v>1962</v>
      </c>
      <c r="D998" s="99"/>
      <c r="E998" s="109" t="s">
        <v>218</v>
      </c>
      <c r="F998" s="99">
        <v>5</v>
      </c>
      <c r="G998" s="99">
        <v>4</v>
      </c>
      <c r="H998" s="180">
        <v>3382</v>
      </c>
      <c r="I998" s="115">
        <v>3164.5</v>
      </c>
      <c r="J998" s="115">
        <v>2546.4</v>
      </c>
      <c r="K998" s="154">
        <v>88</v>
      </c>
      <c r="L998" s="113">
        <f t="shared" ref="L998:L1006" si="298">O998</f>
        <v>2239107</v>
      </c>
      <c r="M998" s="113">
        <v>0</v>
      </c>
      <c r="N998" s="113">
        <v>0</v>
      </c>
      <c r="O998" s="113">
        <v>2239107</v>
      </c>
      <c r="P998" s="113">
        <v>0</v>
      </c>
      <c r="Q998" s="100">
        <f t="shared" ref="Q998:Q1006" si="299">L998/I998</f>
        <v>707.57054826986882</v>
      </c>
      <c r="R998" s="114">
        <v>6774</v>
      </c>
      <c r="S998" s="326">
        <v>43465</v>
      </c>
    </row>
    <row r="999" spans="1:19" s="30" customFormat="1" ht="15.75">
      <c r="A999" s="107"/>
      <c r="B999" s="300" t="s">
        <v>79</v>
      </c>
      <c r="C999" s="99">
        <v>1949</v>
      </c>
      <c r="D999" s="99"/>
      <c r="E999" s="109" t="s">
        <v>222</v>
      </c>
      <c r="F999" s="99">
        <v>2</v>
      </c>
      <c r="G999" s="99">
        <v>2</v>
      </c>
      <c r="H999" s="180">
        <v>448.3</v>
      </c>
      <c r="I999" s="100">
        <v>402.5</v>
      </c>
      <c r="J999" s="100">
        <v>346.7</v>
      </c>
      <c r="K999" s="101">
        <v>16</v>
      </c>
      <c r="L999" s="113">
        <f t="shared" si="298"/>
        <v>706234</v>
      </c>
      <c r="M999" s="113">
        <v>0</v>
      </c>
      <c r="N999" s="113">
        <v>0</v>
      </c>
      <c r="O999" s="113">
        <v>706234</v>
      </c>
      <c r="P999" s="113">
        <v>0</v>
      </c>
      <c r="Q999" s="100">
        <f t="shared" si="299"/>
        <v>1754.6186335403727</v>
      </c>
      <c r="R999" s="114">
        <v>6774</v>
      </c>
      <c r="S999" s="326">
        <v>43465</v>
      </c>
    </row>
    <row r="1000" spans="1:19" s="30" customFormat="1" ht="15.75">
      <c r="A1000" s="107"/>
      <c r="B1000" s="300" t="s">
        <v>78</v>
      </c>
      <c r="C1000" s="99">
        <v>1949</v>
      </c>
      <c r="D1000" s="99"/>
      <c r="E1000" s="109" t="s">
        <v>221</v>
      </c>
      <c r="F1000" s="99">
        <v>2</v>
      </c>
      <c r="G1000" s="99">
        <v>2</v>
      </c>
      <c r="H1000" s="180">
        <v>438.3</v>
      </c>
      <c r="I1000" s="100">
        <v>393.5</v>
      </c>
      <c r="J1000" s="100">
        <f>I1000-49.9</f>
        <v>343.6</v>
      </c>
      <c r="K1000" s="101">
        <v>16</v>
      </c>
      <c r="L1000" s="113">
        <f t="shared" si="298"/>
        <v>651603</v>
      </c>
      <c r="M1000" s="113">
        <v>0</v>
      </c>
      <c r="N1000" s="113">
        <v>0</v>
      </c>
      <c r="O1000" s="113">
        <v>651603</v>
      </c>
      <c r="P1000" s="113">
        <v>0</v>
      </c>
      <c r="Q1000" s="100">
        <f t="shared" si="299"/>
        <v>1655.9161372299873</v>
      </c>
      <c r="R1000" s="114">
        <v>6774</v>
      </c>
      <c r="S1000" s="326">
        <v>43465</v>
      </c>
    </row>
    <row r="1001" spans="1:19" s="30" customFormat="1" ht="31.5">
      <c r="A1001" s="107"/>
      <c r="B1001" s="300" t="s">
        <v>426</v>
      </c>
      <c r="C1001" s="179">
        <v>1990</v>
      </c>
      <c r="D1001" s="99"/>
      <c r="E1001" s="109" t="s">
        <v>218</v>
      </c>
      <c r="F1001" s="99">
        <v>3</v>
      </c>
      <c r="G1001" s="99">
        <v>1</v>
      </c>
      <c r="H1001" s="180">
        <v>700.1</v>
      </c>
      <c r="I1001" s="115">
        <v>650.70000000000005</v>
      </c>
      <c r="J1001" s="115">
        <v>650.70000000000005</v>
      </c>
      <c r="K1001" s="154">
        <v>18</v>
      </c>
      <c r="L1001" s="113">
        <f t="shared" si="298"/>
        <v>698701</v>
      </c>
      <c r="M1001" s="113">
        <v>0</v>
      </c>
      <c r="N1001" s="113">
        <v>0</v>
      </c>
      <c r="O1001" s="113">
        <v>698701</v>
      </c>
      <c r="P1001" s="113">
        <v>0</v>
      </c>
      <c r="Q1001" s="100">
        <f t="shared" si="299"/>
        <v>1073.7682495773781</v>
      </c>
      <c r="R1001" s="114">
        <v>6774</v>
      </c>
      <c r="S1001" s="326">
        <v>43465</v>
      </c>
    </row>
    <row r="1002" spans="1:19" s="30" customFormat="1" ht="31.5">
      <c r="A1002" s="107"/>
      <c r="B1002" s="300" t="s">
        <v>80</v>
      </c>
      <c r="C1002" s="179">
        <v>1982</v>
      </c>
      <c r="D1002" s="99"/>
      <c r="E1002" s="109" t="s">
        <v>218</v>
      </c>
      <c r="F1002" s="99">
        <v>5</v>
      </c>
      <c r="G1002" s="99">
        <v>4</v>
      </c>
      <c r="H1002" s="181">
        <v>3159.2</v>
      </c>
      <c r="I1002" s="115">
        <v>2600.8000000000002</v>
      </c>
      <c r="J1002" s="115">
        <v>2455.5</v>
      </c>
      <c r="K1002" s="154">
        <v>106</v>
      </c>
      <c r="L1002" s="113">
        <f t="shared" si="298"/>
        <v>1512903</v>
      </c>
      <c r="M1002" s="113">
        <v>0</v>
      </c>
      <c r="N1002" s="113">
        <v>0</v>
      </c>
      <c r="O1002" s="113">
        <v>1512903</v>
      </c>
      <c r="P1002" s="113">
        <v>0</v>
      </c>
      <c r="Q1002" s="100">
        <f t="shared" si="299"/>
        <v>581.70678252845278</v>
      </c>
      <c r="R1002" s="114">
        <v>6774</v>
      </c>
      <c r="S1002" s="326">
        <v>43465</v>
      </c>
    </row>
    <row r="1003" spans="1:19" s="30" customFormat="1" ht="15.75">
      <c r="A1003" s="107"/>
      <c r="B1003" s="300" t="s">
        <v>84</v>
      </c>
      <c r="C1003" s="179">
        <v>1953</v>
      </c>
      <c r="D1003" s="99"/>
      <c r="E1003" s="109" t="s">
        <v>220</v>
      </c>
      <c r="F1003" s="99">
        <v>2</v>
      </c>
      <c r="G1003" s="99">
        <v>2</v>
      </c>
      <c r="H1003" s="181">
        <v>664.5</v>
      </c>
      <c r="I1003" s="115">
        <v>609.4</v>
      </c>
      <c r="J1003" s="115">
        <f>450.2-48.3</f>
        <v>401.9</v>
      </c>
      <c r="K1003" s="154">
        <v>15</v>
      </c>
      <c r="L1003" s="113">
        <f t="shared" si="298"/>
        <v>1668544</v>
      </c>
      <c r="M1003" s="113">
        <v>0</v>
      </c>
      <c r="N1003" s="113">
        <v>0</v>
      </c>
      <c r="O1003" s="113">
        <v>1668544</v>
      </c>
      <c r="P1003" s="113">
        <v>0</v>
      </c>
      <c r="Q1003" s="100">
        <f t="shared" si="299"/>
        <v>2738.0111585165737</v>
      </c>
      <c r="R1003" s="114">
        <v>6774</v>
      </c>
      <c r="S1003" s="326">
        <v>43465</v>
      </c>
    </row>
    <row r="1004" spans="1:19" s="30" customFormat="1" ht="31.5">
      <c r="A1004" s="107"/>
      <c r="B1004" s="300" t="s">
        <v>81</v>
      </c>
      <c r="C1004" s="179">
        <v>1988</v>
      </c>
      <c r="D1004" s="99"/>
      <c r="E1004" s="109" t="s">
        <v>218</v>
      </c>
      <c r="F1004" s="99">
        <v>5</v>
      </c>
      <c r="G1004" s="99">
        <v>6</v>
      </c>
      <c r="H1004" s="181">
        <v>4806.3999999999996</v>
      </c>
      <c r="I1004" s="115">
        <v>4087.2</v>
      </c>
      <c r="J1004" s="115">
        <v>4087.2</v>
      </c>
      <c r="K1004" s="154">
        <v>172</v>
      </c>
      <c r="L1004" s="113">
        <f t="shared" si="298"/>
        <v>2294873</v>
      </c>
      <c r="M1004" s="113">
        <v>0</v>
      </c>
      <c r="N1004" s="113">
        <v>0</v>
      </c>
      <c r="O1004" s="113">
        <v>2294873</v>
      </c>
      <c r="P1004" s="113">
        <v>0</v>
      </c>
      <c r="Q1004" s="100">
        <f t="shared" si="299"/>
        <v>561.47802896848702</v>
      </c>
      <c r="R1004" s="114">
        <v>6774</v>
      </c>
      <c r="S1004" s="326">
        <v>43465</v>
      </c>
    </row>
    <row r="1005" spans="1:19" s="30" customFormat="1" ht="15.75">
      <c r="A1005" s="107"/>
      <c r="B1005" s="300" t="s">
        <v>82</v>
      </c>
      <c r="C1005" s="179">
        <v>1948</v>
      </c>
      <c r="D1005" s="99"/>
      <c r="E1005" s="109" t="s">
        <v>221</v>
      </c>
      <c r="F1005" s="99">
        <v>2</v>
      </c>
      <c r="G1005" s="99">
        <v>1</v>
      </c>
      <c r="H1005" s="181">
        <v>559.9</v>
      </c>
      <c r="I1005" s="115">
        <v>503.7</v>
      </c>
      <c r="J1005" s="115">
        <f>I1005-190.7</f>
        <v>313</v>
      </c>
      <c r="K1005" s="154">
        <v>26</v>
      </c>
      <c r="L1005" s="113">
        <f t="shared" si="298"/>
        <v>879987</v>
      </c>
      <c r="M1005" s="113">
        <v>0</v>
      </c>
      <c r="N1005" s="113">
        <v>0</v>
      </c>
      <c r="O1005" s="113">
        <v>879987</v>
      </c>
      <c r="P1005" s="113">
        <v>0</v>
      </c>
      <c r="Q1005" s="100">
        <f t="shared" si="299"/>
        <v>1747.0458606313282</v>
      </c>
      <c r="R1005" s="114">
        <v>6774</v>
      </c>
      <c r="S1005" s="326">
        <v>43465</v>
      </c>
    </row>
    <row r="1006" spans="1:19" s="30" customFormat="1" ht="31.5">
      <c r="A1006" s="107"/>
      <c r="B1006" s="300" t="s">
        <v>83</v>
      </c>
      <c r="C1006" s="179">
        <v>1958</v>
      </c>
      <c r="D1006" s="99"/>
      <c r="E1006" s="109" t="s">
        <v>218</v>
      </c>
      <c r="F1006" s="99">
        <v>2</v>
      </c>
      <c r="G1006" s="99">
        <v>3</v>
      </c>
      <c r="H1006" s="181">
        <v>1091.5999999999999</v>
      </c>
      <c r="I1006" s="115">
        <v>1006.1</v>
      </c>
      <c r="J1006" s="115">
        <v>1006.1</v>
      </c>
      <c r="K1006" s="154">
        <v>33</v>
      </c>
      <c r="L1006" s="113">
        <f t="shared" si="298"/>
        <v>1361248</v>
      </c>
      <c r="M1006" s="113">
        <v>0</v>
      </c>
      <c r="N1006" s="113">
        <v>0</v>
      </c>
      <c r="O1006" s="113">
        <v>1361248</v>
      </c>
      <c r="P1006" s="113">
        <v>0</v>
      </c>
      <c r="Q1006" s="100">
        <f t="shared" si="299"/>
        <v>1352.9947321339828</v>
      </c>
      <c r="R1006" s="114">
        <v>6774</v>
      </c>
      <c r="S1006" s="326">
        <v>43465</v>
      </c>
    </row>
    <row r="1007" spans="1:19" s="1" customFormat="1" ht="15.75">
      <c r="A1007" s="107"/>
      <c r="B1007" s="1336" t="s">
        <v>60</v>
      </c>
      <c r="C1007" s="1336"/>
      <c r="D1007" s="1336"/>
      <c r="E1007" s="1336"/>
      <c r="F1007" s="1336"/>
      <c r="G1007" s="1336"/>
      <c r="H1007" s="128">
        <f>H1008</f>
        <v>10619.599999999999</v>
      </c>
      <c r="I1007" s="106">
        <f t="shared" ref="I1007:P1007" si="300">I1008</f>
        <v>8195.6999999999989</v>
      </c>
      <c r="J1007" s="106">
        <f t="shared" si="300"/>
        <v>6450.3</v>
      </c>
      <c r="K1007" s="119">
        <f t="shared" si="300"/>
        <v>429</v>
      </c>
      <c r="L1007" s="113">
        <f t="shared" si="300"/>
        <v>9462538</v>
      </c>
      <c r="M1007" s="113">
        <f t="shared" si="300"/>
        <v>0</v>
      </c>
      <c r="N1007" s="113">
        <f t="shared" si="300"/>
        <v>0</v>
      </c>
      <c r="O1007" s="113">
        <f t="shared" si="300"/>
        <v>9462538</v>
      </c>
      <c r="P1007" s="113">
        <f t="shared" si="300"/>
        <v>0</v>
      </c>
      <c r="Q1007" s="106" t="s">
        <v>40</v>
      </c>
      <c r="R1007" s="106" t="s">
        <v>40</v>
      </c>
      <c r="S1007" s="326">
        <v>43465</v>
      </c>
    </row>
    <row r="1008" spans="1:19" s="1" customFormat="1" ht="15.75">
      <c r="A1008" s="107"/>
      <c r="B1008" s="1336" t="s">
        <v>113</v>
      </c>
      <c r="C1008" s="1336"/>
      <c r="D1008" s="1336"/>
      <c r="E1008" s="1336"/>
      <c r="F1008" s="1336"/>
      <c r="G1008" s="1336"/>
      <c r="H1008" s="128">
        <f>SUM(H1009:H1012)</f>
        <v>10619.599999999999</v>
      </c>
      <c r="I1008" s="106">
        <f t="shared" ref="I1008:P1008" si="301">SUM(I1009:I1012)</f>
        <v>8195.6999999999989</v>
      </c>
      <c r="J1008" s="106">
        <f t="shared" si="301"/>
        <v>6450.3</v>
      </c>
      <c r="K1008" s="119">
        <f t="shared" si="301"/>
        <v>429</v>
      </c>
      <c r="L1008" s="113">
        <f t="shared" si="301"/>
        <v>9462538</v>
      </c>
      <c r="M1008" s="113">
        <f t="shared" si="301"/>
        <v>0</v>
      </c>
      <c r="N1008" s="113">
        <f t="shared" si="301"/>
        <v>0</v>
      </c>
      <c r="O1008" s="113">
        <f t="shared" si="301"/>
        <v>9462538</v>
      </c>
      <c r="P1008" s="113">
        <f t="shared" si="301"/>
        <v>0</v>
      </c>
      <c r="Q1008" s="106" t="s">
        <v>40</v>
      </c>
      <c r="R1008" s="106" t="s">
        <v>40</v>
      </c>
      <c r="S1008" s="326">
        <v>43465</v>
      </c>
    </row>
    <row r="1009" spans="1:19" s="53" customFormat="1" ht="15.75">
      <c r="A1009" s="107"/>
      <c r="B1009" s="301" t="s">
        <v>76</v>
      </c>
      <c r="C1009" s="108">
        <v>1979</v>
      </c>
      <c r="D1009" s="108"/>
      <c r="E1009" s="109" t="s">
        <v>219</v>
      </c>
      <c r="F1009" s="108">
        <v>5</v>
      </c>
      <c r="G1009" s="108">
        <v>4</v>
      </c>
      <c r="H1009" s="111">
        <v>3482.7</v>
      </c>
      <c r="I1009" s="108">
        <v>3216.7</v>
      </c>
      <c r="J1009" s="108">
        <v>2864.9</v>
      </c>
      <c r="K1009" s="112">
        <v>131</v>
      </c>
      <c r="L1009" s="113">
        <v>3626543</v>
      </c>
      <c r="M1009" s="113">
        <v>0</v>
      </c>
      <c r="N1009" s="113">
        <v>0</v>
      </c>
      <c r="O1009" s="113">
        <f>L1009</f>
        <v>3626543</v>
      </c>
      <c r="P1009" s="113">
        <v>0</v>
      </c>
      <c r="Q1009" s="114">
        <f>L1009/I1009</f>
        <v>1127.4110112848573</v>
      </c>
      <c r="R1009" s="114">
        <v>6774</v>
      </c>
      <c r="S1009" s="326">
        <v>43465</v>
      </c>
    </row>
    <row r="1010" spans="1:19" s="53" customFormat="1" ht="31.5">
      <c r="A1010" s="107"/>
      <c r="B1010" s="301" t="s">
        <v>75</v>
      </c>
      <c r="C1010" s="108">
        <v>1978</v>
      </c>
      <c r="D1010" s="108"/>
      <c r="E1010" s="109" t="s">
        <v>218</v>
      </c>
      <c r="F1010" s="108">
        <v>5</v>
      </c>
      <c r="G1010" s="108">
        <v>1</v>
      </c>
      <c r="H1010" s="111">
        <v>4056.6</v>
      </c>
      <c r="I1010" s="108">
        <v>2191.6</v>
      </c>
      <c r="J1010" s="108">
        <v>937</v>
      </c>
      <c r="K1010" s="112">
        <v>196</v>
      </c>
      <c r="L1010" s="113">
        <v>2160246</v>
      </c>
      <c r="M1010" s="113">
        <v>0</v>
      </c>
      <c r="N1010" s="113">
        <v>0</v>
      </c>
      <c r="O1010" s="113">
        <f>L1010</f>
        <v>2160246</v>
      </c>
      <c r="P1010" s="113">
        <v>0</v>
      </c>
      <c r="Q1010" s="114">
        <f>L1010/I1010</f>
        <v>985.69355721847057</v>
      </c>
      <c r="R1010" s="114">
        <v>6774</v>
      </c>
      <c r="S1010" s="326">
        <v>43465</v>
      </c>
    </row>
    <row r="1011" spans="1:19" s="53" customFormat="1" ht="31.5">
      <c r="A1011" s="107"/>
      <c r="B1011" s="301" t="s">
        <v>77</v>
      </c>
      <c r="C1011" s="108">
        <v>1925</v>
      </c>
      <c r="D1011" s="108"/>
      <c r="E1011" s="109" t="s">
        <v>218</v>
      </c>
      <c r="F1011" s="108">
        <v>2</v>
      </c>
      <c r="G1011" s="108">
        <v>2</v>
      </c>
      <c r="H1011" s="111">
        <v>597.1</v>
      </c>
      <c r="I1011" s="108">
        <v>487.9</v>
      </c>
      <c r="J1011" s="108">
        <v>455.6</v>
      </c>
      <c r="K1011" s="112">
        <v>16</v>
      </c>
      <c r="L1011" s="113">
        <v>1013564</v>
      </c>
      <c r="M1011" s="113">
        <v>0</v>
      </c>
      <c r="N1011" s="113">
        <v>0</v>
      </c>
      <c r="O1011" s="113">
        <f>L1011</f>
        <v>1013564</v>
      </c>
      <c r="P1011" s="113">
        <v>0</v>
      </c>
      <c r="Q1011" s="114">
        <f>L1011/I1011</f>
        <v>2077.401106784177</v>
      </c>
      <c r="R1011" s="114">
        <v>6774</v>
      </c>
      <c r="S1011" s="326">
        <v>43465</v>
      </c>
    </row>
    <row r="1012" spans="1:19" s="53" customFormat="1" ht="15.75">
      <c r="A1012" s="107"/>
      <c r="B1012" s="301" t="s">
        <v>427</v>
      </c>
      <c r="C1012" s="108">
        <v>1982</v>
      </c>
      <c r="D1012" s="108"/>
      <c r="E1012" s="109" t="s">
        <v>219</v>
      </c>
      <c r="F1012" s="108">
        <v>5</v>
      </c>
      <c r="G1012" s="108">
        <v>3</v>
      </c>
      <c r="H1012" s="111">
        <v>2483.1999999999998</v>
      </c>
      <c r="I1012" s="108">
        <v>2299.5</v>
      </c>
      <c r="J1012" s="108">
        <v>2192.8000000000002</v>
      </c>
      <c r="K1012" s="112">
        <v>86</v>
      </c>
      <c r="L1012" s="113">
        <v>2662185</v>
      </c>
      <c r="M1012" s="113">
        <v>0</v>
      </c>
      <c r="N1012" s="113">
        <v>0</v>
      </c>
      <c r="O1012" s="113">
        <f>L1012</f>
        <v>2662185</v>
      </c>
      <c r="P1012" s="113">
        <v>0</v>
      </c>
      <c r="Q1012" s="114">
        <f>L1012/I1012</f>
        <v>1157.723418134377</v>
      </c>
      <c r="R1012" s="114">
        <v>6774</v>
      </c>
      <c r="S1012" s="326">
        <v>43465</v>
      </c>
    </row>
    <row r="1013" spans="1:19" s="53" customFormat="1" ht="15.75" customHeight="1">
      <c r="A1013" s="107"/>
      <c r="B1013" s="1333" t="s">
        <v>208</v>
      </c>
      <c r="C1013" s="1333"/>
      <c r="D1013" s="1333"/>
      <c r="E1013" s="1333"/>
      <c r="F1013" s="1333"/>
      <c r="G1013" s="1333"/>
      <c r="H1013" s="114">
        <f t="shared" ref="H1013:O1014" si="302">H1014</f>
        <v>274.14</v>
      </c>
      <c r="I1013" s="114">
        <f t="shared" si="302"/>
        <v>246.3</v>
      </c>
      <c r="J1013" s="114">
        <f t="shared" si="302"/>
        <v>221.6</v>
      </c>
      <c r="K1013" s="112">
        <f t="shared" si="302"/>
        <v>13</v>
      </c>
      <c r="L1013" s="113">
        <f t="shared" si="302"/>
        <v>423156</v>
      </c>
      <c r="M1013" s="113">
        <f t="shared" si="302"/>
        <v>0</v>
      </c>
      <c r="N1013" s="113">
        <f t="shared" si="302"/>
        <v>0</v>
      </c>
      <c r="O1013" s="113">
        <f t="shared" si="302"/>
        <v>423156</v>
      </c>
      <c r="P1013" s="113">
        <f>P1014</f>
        <v>0</v>
      </c>
      <c r="Q1013" s="106" t="s">
        <v>40</v>
      </c>
      <c r="R1013" s="114" t="s">
        <v>40</v>
      </c>
      <c r="S1013" s="326">
        <v>43465</v>
      </c>
    </row>
    <row r="1014" spans="1:19" s="53" customFormat="1" ht="15.75">
      <c r="A1014" s="107"/>
      <c r="B1014" s="1336" t="s">
        <v>209</v>
      </c>
      <c r="C1014" s="1336"/>
      <c r="D1014" s="1336"/>
      <c r="E1014" s="1336"/>
      <c r="F1014" s="1336"/>
      <c r="G1014" s="1336"/>
      <c r="H1014" s="114">
        <f t="shared" si="302"/>
        <v>274.14</v>
      </c>
      <c r="I1014" s="114">
        <f t="shared" si="302"/>
        <v>246.3</v>
      </c>
      <c r="J1014" s="114">
        <f t="shared" si="302"/>
        <v>221.6</v>
      </c>
      <c r="K1014" s="112">
        <f t="shared" si="302"/>
        <v>13</v>
      </c>
      <c r="L1014" s="113">
        <f t="shared" si="302"/>
        <v>423156</v>
      </c>
      <c r="M1014" s="113">
        <f t="shared" si="302"/>
        <v>0</v>
      </c>
      <c r="N1014" s="113">
        <f t="shared" si="302"/>
        <v>0</v>
      </c>
      <c r="O1014" s="113">
        <f t="shared" si="302"/>
        <v>423156</v>
      </c>
      <c r="P1014" s="113">
        <f>P1015</f>
        <v>0</v>
      </c>
      <c r="Q1014" s="106" t="s">
        <v>40</v>
      </c>
      <c r="R1014" s="106" t="s">
        <v>40</v>
      </c>
      <c r="S1014" s="326">
        <v>43465</v>
      </c>
    </row>
    <row r="1015" spans="1:19" s="53" customFormat="1" ht="15.75">
      <c r="A1015" s="318"/>
      <c r="B1015" s="336" t="s">
        <v>479</v>
      </c>
      <c r="C1015" s="320">
        <v>1962</v>
      </c>
      <c r="D1015" s="320"/>
      <c r="E1015" s="321" t="s">
        <v>221</v>
      </c>
      <c r="F1015" s="320">
        <v>1</v>
      </c>
      <c r="G1015" s="320">
        <v>2</v>
      </c>
      <c r="H1015" s="322">
        <v>274.14</v>
      </c>
      <c r="I1015" s="320">
        <v>246.3</v>
      </c>
      <c r="J1015" s="320">
        <v>221.6</v>
      </c>
      <c r="K1015" s="323">
        <v>13</v>
      </c>
      <c r="L1015" s="324">
        <v>423156</v>
      </c>
      <c r="M1015" s="324">
        <v>0</v>
      </c>
      <c r="N1015" s="324">
        <v>0</v>
      </c>
      <c r="O1015" s="324">
        <v>423156</v>
      </c>
      <c r="P1015" s="324">
        <v>0</v>
      </c>
      <c r="Q1015" s="325">
        <f>L1015/I1015</f>
        <v>1718.0511571254567</v>
      </c>
      <c r="R1015" s="325">
        <v>7920</v>
      </c>
      <c r="S1015" s="326">
        <v>43465</v>
      </c>
    </row>
    <row r="1016" spans="1:19" s="1" customFormat="1" ht="15.75">
      <c r="A1016" s="107"/>
      <c r="B1016" s="1336" t="s">
        <v>61</v>
      </c>
      <c r="C1016" s="1336"/>
      <c r="D1016" s="1336"/>
      <c r="E1016" s="1336"/>
      <c r="F1016" s="1336"/>
      <c r="G1016" s="1336"/>
      <c r="H1016" s="128">
        <f>H1017</f>
        <v>1469.1399999999999</v>
      </c>
      <c r="I1016" s="106">
        <f t="shared" ref="I1016:P1016" si="303">I1017</f>
        <v>1300.3400000000001</v>
      </c>
      <c r="J1016" s="106">
        <f t="shared" si="303"/>
        <v>991.66</v>
      </c>
      <c r="K1016" s="119">
        <f t="shared" si="303"/>
        <v>75</v>
      </c>
      <c r="L1016" s="113">
        <f t="shared" si="303"/>
        <v>4886972</v>
      </c>
      <c r="M1016" s="113">
        <f t="shared" si="303"/>
        <v>0</v>
      </c>
      <c r="N1016" s="113">
        <f t="shared" si="303"/>
        <v>0</v>
      </c>
      <c r="O1016" s="113">
        <f t="shared" si="303"/>
        <v>4886972</v>
      </c>
      <c r="P1016" s="113">
        <f t="shared" si="303"/>
        <v>0</v>
      </c>
      <c r="Q1016" s="114" t="s">
        <v>40</v>
      </c>
      <c r="R1016" s="114" t="s">
        <v>40</v>
      </c>
      <c r="S1016" s="326">
        <v>43465</v>
      </c>
    </row>
    <row r="1017" spans="1:19" s="1" customFormat="1" ht="15.75">
      <c r="A1017" s="107"/>
      <c r="B1017" s="1336" t="s">
        <v>118</v>
      </c>
      <c r="C1017" s="1336"/>
      <c r="D1017" s="1336"/>
      <c r="E1017" s="1336"/>
      <c r="F1017" s="1336"/>
      <c r="G1017" s="1336"/>
      <c r="H1017" s="128">
        <f>H1018+H1019+H1020</f>
        <v>1469.1399999999999</v>
      </c>
      <c r="I1017" s="128">
        <f t="shared" ref="I1017:P1017" si="304">I1018+I1019+I1020</f>
        <v>1300.3400000000001</v>
      </c>
      <c r="J1017" s="128">
        <f t="shared" si="304"/>
        <v>991.66</v>
      </c>
      <c r="K1017" s="128">
        <f t="shared" si="304"/>
        <v>75</v>
      </c>
      <c r="L1017" s="366">
        <f t="shared" si="304"/>
        <v>4886972</v>
      </c>
      <c r="M1017" s="366">
        <f t="shared" si="304"/>
        <v>0</v>
      </c>
      <c r="N1017" s="366">
        <f t="shared" si="304"/>
        <v>0</v>
      </c>
      <c r="O1017" s="366">
        <f t="shared" si="304"/>
        <v>4886972</v>
      </c>
      <c r="P1017" s="366">
        <f t="shared" si="304"/>
        <v>0</v>
      </c>
      <c r="Q1017" s="114" t="s">
        <v>40</v>
      </c>
      <c r="R1017" s="106" t="s">
        <v>40</v>
      </c>
      <c r="S1017" s="326">
        <v>43465</v>
      </c>
    </row>
    <row r="1018" spans="1:19" s="1" customFormat="1" ht="31.5">
      <c r="A1018" s="318"/>
      <c r="B1018" s="364" t="s">
        <v>492</v>
      </c>
      <c r="C1018" s="340">
        <v>1961</v>
      </c>
      <c r="D1018" s="364"/>
      <c r="E1018" s="321" t="s">
        <v>218</v>
      </c>
      <c r="F1018" s="340">
        <v>2</v>
      </c>
      <c r="G1018" s="340">
        <v>2</v>
      </c>
      <c r="H1018" s="341">
        <v>411.7</v>
      </c>
      <c r="I1018" s="344">
        <v>380</v>
      </c>
      <c r="J1018" s="344">
        <v>188.1</v>
      </c>
      <c r="K1018" s="343">
        <v>33</v>
      </c>
      <c r="L1018" s="324">
        <v>1449272</v>
      </c>
      <c r="M1018" s="324">
        <v>0</v>
      </c>
      <c r="N1018" s="324">
        <v>0</v>
      </c>
      <c r="O1018" s="324">
        <v>1449272</v>
      </c>
      <c r="P1018" s="324">
        <v>0</v>
      </c>
      <c r="Q1018" s="325">
        <f t="shared" ref="Q1018:Q1019" si="305">L1018/I1018</f>
        <v>3813.8736842105263</v>
      </c>
      <c r="R1018" s="344">
        <v>7920</v>
      </c>
      <c r="S1018" s="326">
        <v>43465</v>
      </c>
    </row>
    <row r="1019" spans="1:19" s="1" customFormat="1" ht="31.5">
      <c r="A1019" s="318"/>
      <c r="B1019" s="364" t="s">
        <v>493</v>
      </c>
      <c r="C1019" s="340">
        <v>1976</v>
      </c>
      <c r="D1019" s="364"/>
      <c r="E1019" s="321" t="s">
        <v>218</v>
      </c>
      <c r="F1019" s="340">
        <v>2</v>
      </c>
      <c r="G1019" s="340">
        <v>2</v>
      </c>
      <c r="H1019" s="341">
        <v>832.6</v>
      </c>
      <c r="I1019" s="344">
        <v>738.9</v>
      </c>
      <c r="J1019" s="344">
        <v>663.52</v>
      </c>
      <c r="K1019" s="343">
        <v>29</v>
      </c>
      <c r="L1019" s="324">
        <v>2576258</v>
      </c>
      <c r="M1019" s="324">
        <v>0</v>
      </c>
      <c r="N1019" s="324">
        <v>0</v>
      </c>
      <c r="O1019" s="324">
        <v>2576258</v>
      </c>
      <c r="P1019" s="324">
        <v>0</v>
      </c>
      <c r="Q1019" s="325">
        <f t="shared" si="305"/>
        <v>3486.6125321423738</v>
      </c>
      <c r="R1019" s="344">
        <v>7920</v>
      </c>
      <c r="S1019" s="326">
        <v>43465</v>
      </c>
    </row>
    <row r="1020" spans="1:19" s="1" customFormat="1" ht="31.5">
      <c r="A1020" s="318"/>
      <c r="B1020" s="339" t="s">
        <v>494</v>
      </c>
      <c r="C1020" s="320">
        <v>1968</v>
      </c>
      <c r="D1020" s="320"/>
      <c r="E1020" s="321" t="s">
        <v>218</v>
      </c>
      <c r="F1020" s="320">
        <v>2</v>
      </c>
      <c r="G1020" s="320">
        <v>2</v>
      </c>
      <c r="H1020" s="322">
        <v>224.84</v>
      </c>
      <c r="I1020" s="325">
        <v>181.44</v>
      </c>
      <c r="J1020" s="325">
        <v>140.04</v>
      </c>
      <c r="K1020" s="323">
        <v>13</v>
      </c>
      <c r="L1020" s="324">
        <v>861442</v>
      </c>
      <c r="M1020" s="324">
        <v>0</v>
      </c>
      <c r="N1020" s="324">
        <v>0</v>
      </c>
      <c r="O1020" s="324">
        <v>861442</v>
      </c>
      <c r="P1020" s="324">
        <v>0</v>
      </c>
      <c r="Q1020" s="344">
        <f>L1020/I1020</f>
        <v>4747.8064373897705</v>
      </c>
      <c r="R1020" s="325">
        <v>7920</v>
      </c>
      <c r="S1020" s="326">
        <v>43465</v>
      </c>
    </row>
    <row r="1021" spans="1:19" s="1" customFormat="1" ht="15.75">
      <c r="A1021" s="107"/>
      <c r="B1021" s="1336" t="s">
        <v>649</v>
      </c>
      <c r="C1021" s="1336"/>
      <c r="D1021" s="1336"/>
      <c r="E1021" s="1336"/>
      <c r="F1021" s="1336"/>
      <c r="G1021" s="1336"/>
      <c r="H1021" s="111">
        <f>H1022</f>
        <v>2782.8</v>
      </c>
      <c r="I1021" s="111">
        <f t="shared" ref="I1021:P1021" si="306">I1022</f>
        <v>1743.6</v>
      </c>
      <c r="J1021" s="111">
        <f t="shared" si="306"/>
        <v>1259</v>
      </c>
      <c r="K1021" s="111">
        <f t="shared" si="306"/>
        <v>76</v>
      </c>
      <c r="L1021" s="566">
        <f t="shared" si="306"/>
        <v>1577672</v>
      </c>
      <c r="M1021" s="566">
        <f t="shared" si="306"/>
        <v>0</v>
      </c>
      <c r="N1021" s="566">
        <f t="shared" si="306"/>
        <v>0</v>
      </c>
      <c r="O1021" s="566">
        <f t="shared" si="306"/>
        <v>1577672</v>
      </c>
      <c r="P1021" s="566">
        <f t="shared" si="306"/>
        <v>0</v>
      </c>
      <c r="Q1021" s="114" t="s">
        <v>40</v>
      </c>
      <c r="R1021" s="114" t="s">
        <v>40</v>
      </c>
      <c r="S1021" s="326">
        <v>43465</v>
      </c>
    </row>
    <row r="1022" spans="1:19" s="1" customFormat="1" ht="15.75">
      <c r="A1022" s="107"/>
      <c r="B1022" s="1356" t="s">
        <v>652</v>
      </c>
      <c r="C1022" s="1357"/>
      <c r="D1022" s="1357"/>
      <c r="E1022" s="1357"/>
      <c r="F1022" s="1357"/>
      <c r="G1022" s="1358"/>
      <c r="H1022" s="111">
        <f>H1023+H1024</f>
        <v>2782.8</v>
      </c>
      <c r="I1022" s="111">
        <f t="shared" ref="I1022:P1022" si="307">I1023+I1024</f>
        <v>1743.6</v>
      </c>
      <c r="J1022" s="111">
        <f t="shared" si="307"/>
        <v>1259</v>
      </c>
      <c r="K1022" s="111">
        <f t="shared" si="307"/>
        <v>76</v>
      </c>
      <c r="L1022" s="566">
        <f t="shared" si="307"/>
        <v>1577672</v>
      </c>
      <c r="M1022" s="566">
        <f t="shared" si="307"/>
        <v>0</v>
      </c>
      <c r="N1022" s="566">
        <f t="shared" si="307"/>
        <v>0</v>
      </c>
      <c r="O1022" s="566">
        <f t="shared" si="307"/>
        <v>1577672</v>
      </c>
      <c r="P1022" s="566">
        <f t="shared" si="307"/>
        <v>0</v>
      </c>
      <c r="Q1022" s="114" t="s">
        <v>40</v>
      </c>
      <c r="R1022" s="106" t="s">
        <v>40</v>
      </c>
      <c r="S1022" s="326">
        <v>43465</v>
      </c>
    </row>
    <row r="1023" spans="1:19" s="1" customFormat="1" ht="15.75">
      <c r="A1023" s="107"/>
      <c r="B1023" s="567" t="s">
        <v>653</v>
      </c>
      <c r="C1023" s="108">
        <v>1982</v>
      </c>
      <c r="D1023" s="108"/>
      <c r="E1023" s="99" t="s">
        <v>220</v>
      </c>
      <c r="F1023" s="108">
        <v>2</v>
      </c>
      <c r="G1023" s="108">
        <v>3</v>
      </c>
      <c r="H1023" s="111">
        <v>1391.4</v>
      </c>
      <c r="I1023" s="114">
        <v>871.8</v>
      </c>
      <c r="J1023" s="114">
        <v>683.9</v>
      </c>
      <c r="K1023" s="112">
        <v>39</v>
      </c>
      <c r="L1023" s="113">
        <v>788836</v>
      </c>
      <c r="M1023" s="113">
        <v>0</v>
      </c>
      <c r="N1023" s="113">
        <v>0</v>
      </c>
      <c r="O1023" s="113">
        <v>788836</v>
      </c>
      <c r="P1023" s="113">
        <v>0</v>
      </c>
      <c r="Q1023" s="106">
        <f t="shared" ref="Q1023:Q1024" si="308">L1023/I1023</f>
        <v>904.83597155310861</v>
      </c>
      <c r="R1023" s="114">
        <v>7920</v>
      </c>
      <c r="S1023" s="326">
        <v>43465</v>
      </c>
    </row>
    <row r="1024" spans="1:19" s="1" customFormat="1" ht="15.75">
      <c r="A1024" s="107"/>
      <c r="B1024" s="567" t="s">
        <v>654</v>
      </c>
      <c r="C1024" s="108">
        <v>1982</v>
      </c>
      <c r="D1024" s="108"/>
      <c r="E1024" s="99" t="s">
        <v>220</v>
      </c>
      <c r="F1024" s="108">
        <v>2</v>
      </c>
      <c r="G1024" s="108">
        <v>3</v>
      </c>
      <c r="H1024" s="111">
        <v>1391.4</v>
      </c>
      <c r="I1024" s="114">
        <v>871.8</v>
      </c>
      <c r="J1024" s="114">
        <v>575.1</v>
      </c>
      <c r="K1024" s="112">
        <v>37</v>
      </c>
      <c r="L1024" s="113">
        <v>788836</v>
      </c>
      <c r="M1024" s="113">
        <v>0</v>
      </c>
      <c r="N1024" s="113">
        <v>0</v>
      </c>
      <c r="O1024" s="113">
        <v>788836</v>
      </c>
      <c r="P1024" s="113">
        <v>0</v>
      </c>
      <c r="Q1024" s="106">
        <f t="shared" si="308"/>
        <v>904.83597155310861</v>
      </c>
      <c r="R1024" s="114">
        <v>7920</v>
      </c>
      <c r="S1024" s="326">
        <v>43465</v>
      </c>
    </row>
    <row r="1025" spans="1:19" s="1" customFormat="1" ht="15.75">
      <c r="A1025" s="107"/>
      <c r="B1025" s="1336" t="s">
        <v>62</v>
      </c>
      <c r="C1025" s="1336"/>
      <c r="D1025" s="1336"/>
      <c r="E1025" s="1336"/>
      <c r="F1025" s="1336"/>
      <c r="G1025" s="1336"/>
      <c r="H1025" s="128">
        <f>H1026</f>
        <v>403.4</v>
      </c>
      <c r="I1025" s="106">
        <f t="shared" ref="I1025:P1025" si="309">I1026</f>
        <v>360.2</v>
      </c>
      <c r="J1025" s="106">
        <f t="shared" si="309"/>
        <v>360.2</v>
      </c>
      <c r="K1025" s="119">
        <f t="shared" si="309"/>
        <v>17</v>
      </c>
      <c r="L1025" s="113">
        <f t="shared" si="309"/>
        <v>1134905</v>
      </c>
      <c r="M1025" s="113">
        <f t="shared" si="309"/>
        <v>0</v>
      </c>
      <c r="N1025" s="113">
        <f t="shared" si="309"/>
        <v>0</v>
      </c>
      <c r="O1025" s="113">
        <f t="shared" si="309"/>
        <v>1134905</v>
      </c>
      <c r="P1025" s="113">
        <f t="shared" si="309"/>
        <v>0</v>
      </c>
      <c r="Q1025" s="106" t="s">
        <v>40</v>
      </c>
      <c r="R1025" s="106" t="s">
        <v>40</v>
      </c>
      <c r="S1025" s="326">
        <v>43465</v>
      </c>
    </row>
    <row r="1026" spans="1:19" s="1" customFormat="1" ht="15.75">
      <c r="A1026" s="107"/>
      <c r="B1026" s="1336" t="s">
        <v>117</v>
      </c>
      <c r="C1026" s="1336"/>
      <c r="D1026" s="1336"/>
      <c r="E1026" s="1336"/>
      <c r="F1026" s="1336"/>
      <c r="G1026" s="1336"/>
      <c r="H1026" s="128">
        <f>H1027</f>
        <v>403.4</v>
      </c>
      <c r="I1026" s="106">
        <f t="shared" ref="I1026:P1026" si="310">I1027</f>
        <v>360.2</v>
      </c>
      <c r="J1026" s="106">
        <f t="shared" si="310"/>
        <v>360.2</v>
      </c>
      <c r="K1026" s="119">
        <f t="shared" si="310"/>
        <v>17</v>
      </c>
      <c r="L1026" s="113">
        <f t="shared" si="310"/>
        <v>1134905</v>
      </c>
      <c r="M1026" s="113">
        <f t="shared" si="310"/>
        <v>0</v>
      </c>
      <c r="N1026" s="113">
        <f t="shared" si="310"/>
        <v>0</v>
      </c>
      <c r="O1026" s="113">
        <f t="shared" si="310"/>
        <v>1134905</v>
      </c>
      <c r="P1026" s="113">
        <f t="shared" si="310"/>
        <v>0</v>
      </c>
      <c r="Q1026" s="106" t="s">
        <v>40</v>
      </c>
      <c r="R1026" s="106" t="s">
        <v>40</v>
      </c>
      <c r="S1026" s="326">
        <v>43465</v>
      </c>
    </row>
    <row r="1027" spans="1:19" s="1" customFormat="1" ht="31.5">
      <c r="A1027" s="318"/>
      <c r="B1027" s="364" t="s">
        <v>487</v>
      </c>
      <c r="C1027" s="340">
        <v>1969</v>
      </c>
      <c r="D1027" s="340"/>
      <c r="E1027" s="321" t="s">
        <v>218</v>
      </c>
      <c r="F1027" s="340">
        <v>2</v>
      </c>
      <c r="G1027" s="340">
        <v>2</v>
      </c>
      <c r="H1027" s="341">
        <v>403.4</v>
      </c>
      <c r="I1027" s="344">
        <v>360.2</v>
      </c>
      <c r="J1027" s="344">
        <v>360.2</v>
      </c>
      <c r="K1027" s="343">
        <v>17</v>
      </c>
      <c r="L1027" s="324">
        <v>1134905</v>
      </c>
      <c r="M1027" s="324">
        <v>0</v>
      </c>
      <c r="N1027" s="324">
        <v>0</v>
      </c>
      <c r="O1027" s="324">
        <f>L1027</f>
        <v>1134905</v>
      </c>
      <c r="P1027" s="324">
        <v>0</v>
      </c>
      <c r="Q1027" s="344">
        <f>L1027/I1027</f>
        <v>3150.7634647418104</v>
      </c>
      <c r="R1027" s="325">
        <v>7920</v>
      </c>
      <c r="S1027" s="326">
        <v>43465</v>
      </c>
    </row>
    <row r="1028" spans="1:19" s="1" customFormat="1" ht="15.75">
      <c r="A1028" s="318"/>
      <c r="B1028" s="1359" t="s">
        <v>63</v>
      </c>
      <c r="C1028" s="1359"/>
      <c r="D1028" s="1359"/>
      <c r="E1028" s="1359"/>
      <c r="F1028" s="1359"/>
      <c r="G1028" s="1359"/>
      <c r="H1028" s="341">
        <f>H1029</f>
        <v>1388.4</v>
      </c>
      <c r="I1028" s="344">
        <f t="shared" ref="I1028:P1028" si="311">I1029</f>
        <v>1266.0999999999999</v>
      </c>
      <c r="J1028" s="344">
        <f t="shared" si="311"/>
        <v>1266.0999999999999</v>
      </c>
      <c r="K1028" s="343">
        <f t="shared" si="311"/>
        <v>39</v>
      </c>
      <c r="L1028" s="324">
        <f t="shared" si="311"/>
        <v>2751167</v>
      </c>
      <c r="M1028" s="324">
        <f t="shared" si="311"/>
        <v>0</v>
      </c>
      <c r="N1028" s="324">
        <f t="shared" si="311"/>
        <v>0</v>
      </c>
      <c r="O1028" s="324">
        <f t="shared" si="311"/>
        <v>2751167</v>
      </c>
      <c r="P1028" s="324">
        <f t="shared" si="311"/>
        <v>0</v>
      </c>
      <c r="Q1028" s="344" t="s">
        <v>40</v>
      </c>
      <c r="R1028" s="344" t="s">
        <v>40</v>
      </c>
      <c r="S1028" s="326">
        <v>43465</v>
      </c>
    </row>
    <row r="1029" spans="1:19" s="1" customFormat="1" ht="15.75" customHeight="1">
      <c r="A1029" s="318"/>
      <c r="B1029" s="1360" t="s">
        <v>116</v>
      </c>
      <c r="C1029" s="1360"/>
      <c r="D1029" s="1360"/>
      <c r="E1029" s="1360"/>
      <c r="F1029" s="1360"/>
      <c r="G1029" s="1360"/>
      <c r="H1029" s="341">
        <f>H1030+H1031</f>
        <v>1388.4</v>
      </c>
      <c r="I1029" s="344">
        <f t="shared" ref="I1029:K1029" si="312">I1030+I1031</f>
        <v>1266.0999999999999</v>
      </c>
      <c r="J1029" s="344">
        <f t="shared" si="312"/>
        <v>1266.0999999999999</v>
      </c>
      <c r="K1029" s="343">
        <f t="shared" si="312"/>
        <v>39</v>
      </c>
      <c r="L1029" s="324">
        <f>L1030+L1031</f>
        <v>2751167</v>
      </c>
      <c r="M1029" s="324">
        <f t="shared" ref="M1029:P1029" si="313">M1030+M1031</f>
        <v>0</v>
      </c>
      <c r="N1029" s="324">
        <f t="shared" si="313"/>
        <v>0</v>
      </c>
      <c r="O1029" s="324">
        <f t="shared" si="313"/>
        <v>2751167</v>
      </c>
      <c r="P1029" s="324">
        <f t="shared" si="313"/>
        <v>0</v>
      </c>
      <c r="Q1029" s="344" t="s">
        <v>40</v>
      </c>
      <c r="R1029" s="344" t="s">
        <v>40</v>
      </c>
      <c r="S1029" s="326">
        <v>43465</v>
      </c>
    </row>
    <row r="1030" spans="1:19" s="1" customFormat="1" ht="31.5">
      <c r="A1030" s="318"/>
      <c r="B1030" s="719" t="s">
        <v>677</v>
      </c>
      <c r="C1030" s="720">
        <v>1977</v>
      </c>
      <c r="D1030" s="721"/>
      <c r="E1030" s="321" t="s">
        <v>218</v>
      </c>
      <c r="F1030" s="720">
        <v>2</v>
      </c>
      <c r="G1030" s="720">
        <v>2</v>
      </c>
      <c r="H1030" s="694">
        <v>829.3</v>
      </c>
      <c r="I1030" s="377">
        <v>753</v>
      </c>
      <c r="J1030" s="377">
        <v>753</v>
      </c>
      <c r="K1030" s="378">
        <v>27</v>
      </c>
      <c r="L1030" s="324">
        <v>2217768</v>
      </c>
      <c r="M1030" s="324">
        <v>0</v>
      </c>
      <c r="N1030" s="324">
        <v>0</v>
      </c>
      <c r="O1030" s="324">
        <v>2217768</v>
      </c>
      <c r="P1030" s="324">
        <v>0</v>
      </c>
      <c r="Q1030" s="379">
        <f>L1030/I1030</f>
        <v>2945.2430278884462</v>
      </c>
      <c r="R1030" s="325">
        <v>7920</v>
      </c>
      <c r="S1030" s="326">
        <v>43465</v>
      </c>
    </row>
    <row r="1031" spans="1:19" s="1" customFormat="1" ht="31.5">
      <c r="A1031" s="318"/>
      <c r="B1031" s="719" t="s">
        <v>504</v>
      </c>
      <c r="C1031" s="721">
        <v>1966</v>
      </c>
      <c r="D1031" s="722"/>
      <c r="E1031" s="321" t="s">
        <v>218</v>
      </c>
      <c r="F1031" s="720">
        <v>2</v>
      </c>
      <c r="G1031" s="720">
        <v>2</v>
      </c>
      <c r="H1031" s="694">
        <v>559.1</v>
      </c>
      <c r="I1031" s="377">
        <v>513.1</v>
      </c>
      <c r="J1031" s="377">
        <v>513.1</v>
      </c>
      <c r="K1031" s="378">
        <v>12</v>
      </c>
      <c r="L1031" s="324">
        <v>533399</v>
      </c>
      <c r="M1031" s="324">
        <v>0</v>
      </c>
      <c r="N1031" s="324">
        <v>0</v>
      </c>
      <c r="O1031" s="324">
        <v>533399</v>
      </c>
      <c r="P1031" s="324">
        <v>0</v>
      </c>
      <c r="Q1031" s="379">
        <f>L1031/I1031</f>
        <v>1039.5614889885012</v>
      </c>
      <c r="R1031" s="325">
        <v>7920</v>
      </c>
      <c r="S1031" s="326">
        <v>43465</v>
      </c>
    </row>
    <row r="1032" spans="1:19" s="1" customFormat="1" ht="15.75">
      <c r="A1032" s="107"/>
      <c r="B1032" s="1336" t="s">
        <v>64</v>
      </c>
      <c r="C1032" s="1336"/>
      <c r="D1032" s="1336"/>
      <c r="E1032" s="1336"/>
      <c r="F1032" s="1336"/>
      <c r="G1032" s="1336"/>
      <c r="H1032" s="128">
        <f>H1033</f>
        <v>1981.8</v>
      </c>
      <c r="I1032" s="106">
        <f t="shared" ref="I1032:P1032" si="314">I1033</f>
        <v>1762.1000000000001</v>
      </c>
      <c r="J1032" s="106">
        <f t="shared" si="314"/>
        <v>1762.1000000000001</v>
      </c>
      <c r="K1032" s="119">
        <f t="shared" si="314"/>
        <v>66</v>
      </c>
      <c r="L1032" s="113">
        <f t="shared" si="314"/>
        <v>5819333</v>
      </c>
      <c r="M1032" s="113">
        <f t="shared" si="314"/>
        <v>0</v>
      </c>
      <c r="N1032" s="113">
        <f t="shared" si="314"/>
        <v>0</v>
      </c>
      <c r="O1032" s="113">
        <f t="shared" si="314"/>
        <v>5819333</v>
      </c>
      <c r="P1032" s="113">
        <f t="shared" si="314"/>
        <v>0</v>
      </c>
      <c r="Q1032" s="106" t="s">
        <v>40</v>
      </c>
      <c r="R1032" s="106" t="s">
        <v>40</v>
      </c>
      <c r="S1032" s="326">
        <v>43465</v>
      </c>
    </row>
    <row r="1033" spans="1:19" s="1" customFormat="1" ht="15.75">
      <c r="A1033" s="107"/>
      <c r="B1033" s="1336" t="s">
        <v>115</v>
      </c>
      <c r="C1033" s="1336"/>
      <c r="D1033" s="1336"/>
      <c r="E1033" s="1336"/>
      <c r="F1033" s="1336"/>
      <c r="G1033" s="1336"/>
      <c r="H1033" s="128">
        <f>SUM(H1034:H1037)</f>
        <v>1981.8</v>
      </c>
      <c r="I1033" s="106">
        <f t="shared" ref="I1033:O1033" si="315">SUM(I1034:I1037)</f>
        <v>1762.1000000000001</v>
      </c>
      <c r="J1033" s="106">
        <f t="shared" si="315"/>
        <v>1762.1000000000001</v>
      </c>
      <c r="K1033" s="119">
        <f t="shared" si="315"/>
        <v>66</v>
      </c>
      <c r="L1033" s="113">
        <f t="shared" si="315"/>
        <v>5819333</v>
      </c>
      <c r="M1033" s="113">
        <f t="shared" si="315"/>
        <v>0</v>
      </c>
      <c r="N1033" s="113">
        <f t="shared" si="315"/>
        <v>0</v>
      </c>
      <c r="O1033" s="113">
        <f t="shared" si="315"/>
        <v>5819333</v>
      </c>
      <c r="P1033" s="113">
        <f t="shared" ref="P1033" si="316">SUM(P1034:P1036)</f>
        <v>0</v>
      </c>
      <c r="Q1033" s="106" t="s">
        <v>40</v>
      </c>
      <c r="R1033" s="106" t="s">
        <v>40</v>
      </c>
      <c r="S1033" s="326">
        <v>43465</v>
      </c>
    </row>
    <row r="1034" spans="1:19" s="1" customFormat="1" ht="31.5">
      <c r="A1034" s="318"/>
      <c r="B1034" s="364" t="s">
        <v>612</v>
      </c>
      <c r="C1034" s="340">
        <v>1963</v>
      </c>
      <c r="D1034" s="340"/>
      <c r="E1034" s="321" t="s">
        <v>218</v>
      </c>
      <c r="F1034" s="340">
        <v>2</v>
      </c>
      <c r="G1034" s="340">
        <v>3</v>
      </c>
      <c r="H1034" s="341">
        <v>540.5</v>
      </c>
      <c r="I1034" s="344">
        <v>475.6</v>
      </c>
      <c r="J1034" s="344">
        <v>475.6</v>
      </c>
      <c r="K1034" s="343">
        <v>19</v>
      </c>
      <c r="L1034" s="324">
        <v>1575182</v>
      </c>
      <c r="M1034" s="324">
        <v>0</v>
      </c>
      <c r="N1034" s="324">
        <v>0</v>
      </c>
      <c r="O1034" s="324">
        <f>L1034</f>
        <v>1575182</v>
      </c>
      <c r="P1034" s="324">
        <v>0</v>
      </c>
      <c r="Q1034" s="344">
        <f>L1034/I1034</f>
        <v>3311.9890664423883</v>
      </c>
      <c r="R1034" s="325">
        <v>7920</v>
      </c>
      <c r="S1034" s="326">
        <v>43465</v>
      </c>
    </row>
    <row r="1035" spans="1:19" s="1" customFormat="1" ht="31.5">
      <c r="A1035" s="318"/>
      <c r="B1035" s="364" t="s">
        <v>613</v>
      </c>
      <c r="C1035" s="340">
        <v>1965</v>
      </c>
      <c r="D1035" s="340"/>
      <c r="E1035" s="321" t="s">
        <v>218</v>
      </c>
      <c r="F1035" s="340">
        <v>2</v>
      </c>
      <c r="G1035" s="340">
        <v>2</v>
      </c>
      <c r="H1035" s="341">
        <v>507.5</v>
      </c>
      <c r="I1035" s="344">
        <v>449.9</v>
      </c>
      <c r="J1035" s="344">
        <v>449.9</v>
      </c>
      <c r="K1035" s="343">
        <v>14</v>
      </c>
      <c r="L1035" s="324">
        <v>1455693</v>
      </c>
      <c r="M1035" s="324">
        <v>0</v>
      </c>
      <c r="N1035" s="324">
        <v>0</v>
      </c>
      <c r="O1035" s="324">
        <f>L1035</f>
        <v>1455693</v>
      </c>
      <c r="P1035" s="324">
        <v>0</v>
      </c>
      <c r="Q1035" s="344">
        <f>L1035/I1035</f>
        <v>3235.5923538564125</v>
      </c>
      <c r="R1035" s="325">
        <v>7920</v>
      </c>
      <c r="S1035" s="326">
        <v>43465</v>
      </c>
    </row>
    <row r="1036" spans="1:19" s="1" customFormat="1" ht="31.5">
      <c r="A1036" s="318"/>
      <c r="B1036" s="364" t="s">
        <v>614</v>
      </c>
      <c r="C1036" s="340">
        <v>1958</v>
      </c>
      <c r="D1036" s="340"/>
      <c r="E1036" s="321" t="s">
        <v>218</v>
      </c>
      <c r="F1036" s="340">
        <v>2</v>
      </c>
      <c r="G1036" s="340">
        <v>1</v>
      </c>
      <c r="H1036" s="341">
        <v>483</v>
      </c>
      <c r="I1036" s="344">
        <v>430.4</v>
      </c>
      <c r="J1036" s="344">
        <v>430.4</v>
      </c>
      <c r="K1036" s="343">
        <v>16</v>
      </c>
      <c r="L1036" s="324">
        <v>1394327</v>
      </c>
      <c r="M1036" s="324">
        <v>0</v>
      </c>
      <c r="N1036" s="324">
        <v>0</v>
      </c>
      <c r="O1036" s="324">
        <f>L1036</f>
        <v>1394327</v>
      </c>
      <c r="P1036" s="324">
        <v>0</v>
      </c>
      <c r="Q1036" s="344">
        <f>L1036/I1036</f>
        <v>3239.6073420074349</v>
      </c>
      <c r="R1036" s="325">
        <v>7920</v>
      </c>
      <c r="S1036" s="326">
        <v>43465</v>
      </c>
    </row>
    <row r="1037" spans="1:19" s="1" customFormat="1" ht="31.5">
      <c r="A1037" s="318"/>
      <c r="B1037" s="364" t="s">
        <v>615</v>
      </c>
      <c r="C1037" s="340">
        <v>1957</v>
      </c>
      <c r="D1037" s="340"/>
      <c r="E1037" s="321" t="s">
        <v>218</v>
      </c>
      <c r="F1037" s="340">
        <v>2</v>
      </c>
      <c r="G1037" s="340">
        <v>1</v>
      </c>
      <c r="H1037" s="341">
        <v>450.8</v>
      </c>
      <c r="I1037" s="344">
        <v>406.2</v>
      </c>
      <c r="J1037" s="344">
        <v>406.2</v>
      </c>
      <c r="K1037" s="343">
        <v>17</v>
      </c>
      <c r="L1037" s="324">
        <v>1394131</v>
      </c>
      <c r="M1037" s="324">
        <v>0</v>
      </c>
      <c r="N1037" s="324">
        <v>0</v>
      </c>
      <c r="O1037" s="324">
        <f>L1037</f>
        <v>1394131</v>
      </c>
      <c r="P1037" s="324">
        <v>0</v>
      </c>
      <c r="Q1037" s="344">
        <f>L1037/I1037</f>
        <v>3432.1294928606599</v>
      </c>
      <c r="R1037" s="325">
        <v>7920</v>
      </c>
      <c r="S1037" s="326">
        <v>43465</v>
      </c>
    </row>
    <row r="1038" spans="1:19" s="1" customFormat="1" ht="15.75">
      <c r="A1038" s="107"/>
      <c r="B1038" s="1336" t="s">
        <v>211</v>
      </c>
      <c r="C1038" s="1336"/>
      <c r="D1038" s="1336"/>
      <c r="E1038" s="1336"/>
      <c r="F1038" s="1336"/>
      <c r="G1038" s="1336"/>
      <c r="H1038" s="128">
        <f>H1039+H1041</f>
        <v>1161.3</v>
      </c>
      <c r="I1038" s="128">
        <f t="shared" ref="I1038:P1038" si="317">I1039+I1041</f>
        <v>1063.3000000000002</v>
      </c>
      <c r="J1038" s="128">
        <f t="shared" si="317"/>
        <v>1063.3000000000002</v>
      </c>
      <c r="K1038" s="119">
        <f t="shared" si="317"/>
        <v>32</v>
      </c>
      <c r="L1038" s="113">
        <f t="shared" si="317"/>
        <v>3125223</v>
      </c>
      <c r="M1038" s="113">
        <f t="shared" si="317"/>
        <v>0</v>
      </c>
      <c r="N1038" s="113">
        <f t="shared" si="317"/>
        <v>0</v>
      </c>
      <c r="O1038" s="113">
        <f t="shared" si="317"/>
        <v>3125223</v>
      </c>
      <c r="P1038" s="113">
        <f t="shared" si="317"/>
        <v>0</v>
      </c>
      <c r="Q1038" s="106" t="s">
        <v>40</v>
      </c>
      <c r="R1038" s="106" t="s">
        <v>40</v>
      </c>
      <c r="S1038" s="326">
        <v>43465</v>
      </c>
    </row>
    <row r="1039" spans="1:19" s="1" customFormat="1" ht="15.75">
      <c r="A1039" s="107"/>
      <c r="B1039" s="1336" t="s">
        <v>633</v>
      </c>
      <c r="C1039" s="1336"/>
      <c r="D1039" s="1336"/>
      <c r="E1039" s="1336"/>
      <c r="F1039" s="1336"/>
      <c r="G1039" s="1336"/>
      <c r="H1039" s="128">
        <f>H1040</f>
        <v>562.9</v>
      </c>
      <c r="I1039" s="128">
        <f t="shared" ref="I1039:P1039" si="318">I1040</f>
        <v>512.70000000000005</v>
      </c>
      <c r="J1039" s="128">
        <f t="shared" si="318"/>
        <v>512.70000000000005</v>
      </c>
      <c r="K1039" s="119">
        <f t="shared" si="318"/>
        <v>15</v>
      </c>
      <c r="L1039" s="113">
        <f t="shared" si="318"/>
        <v>1402855</v>
      </c>
      <c r="M1039" s="113">
        <f t="shared" si="318"/>
        <v>0</v>
      </c>
      <c r="N1039" s="113">
        <f t="shared" si="318"/>
        <v>0</v>
      </c>
      <c r="O1039" s="113">
        <f t="shared" si="318"/>
        <v>1402855</v>
      </c>
      <c r="P1039" s="113">
        <f t="shared" si="318"/>
        <v>0</v>
      </c>
      <c r="Q1039" s="106" t="s">
        <v>40</v>
      </c>
      <c r="R1039" s="114" t="s">
        <v>40</v>
      </c>
      <c r="S1039" s="326">
        <v>43465</v>
      </c>
    </row>
    <row r="1040" spans="1:19" s="1" customFormat="1" ht="31.5">
      <c r="A1040" s="107"/>
      <c r="B1040" s="564" t="s">
        <v>634</v>
      </c>
      <c r="C1040" s="118">
        <v>1968</v>
      </c>
      <c r="D1040" s="118"/>
      <c r="E1040" s="109" t="s">
        <v>218</v>
      </c>
      <c r="F1040" s="118">
        <v>2</v>
      </c>
      <c r="G1040" s="118">
        <v>2</v>
      </c>
      <c r="H1040" s="128">
        <v>562.9</v>
      </c>
      <c r="I1040" s="106">
        <v>512.70000000000005</v>
      </c>
      <c r="J1040" s="106">
        <v>512.70000000000005</v>
      </c>
      <c r="K1040" s="119">
        <v>15</v>
      </c>
      <c r="L1040" s="113">
        <v>1402855</v>
      </c>
      <c r="M1040" s="113">
        <v>0</v>
      </c>
      <c r="N1040" s="113">
        <v>0</v>
      </c>
      <c r="O1040" s="113">
        <v>1402855</v>
      </c>
      <c r="P1040" s="113">
        <v>0</v>
      </c>
      <c r="Q1040" s="106">
        <f>L1040/I1040</f>
        <v>2736.2102594109615</v>
      </c>
      <c r="R1040" s="114">
        <v>7920</v>
      </c>
      <c r="S1040" s="326">
        <v>43465</v>
      </c>
    </row>
    <row r="1041" spans="1:19" s="1" customFormat="1" ht="15.75">
      <c r="A1041" s="107"/>
      <c r="B1041" s="1336" t="s">
        <v>635</v>
      </c>
      <c r="C1041" s="1336"/>
      <c r="D1041" s="1336"/>
      <c r="E1041" s="1336"/>
      <c r="F1041" s="1336"/>
      <c r="G1041" s="1336"/>
      <c r="H1041" s="128">
        <f>H1042</f>
        <v>598.4</v>
      </c>
      <c r="I1041" s="128">
        <f t="shared" ref="I1041:P1041" si="319">I1042</f>
        <v>550.6</v>
      </c>
      <c r="J1041" s="128">
        <f t="shared" si="319"/>
        <v>550.6</v>
      </c>
      <c r="K1041" s="119">
        <f t="shared" si="319"/>
        <v>17</v>
      </c>
      <c r="L1041" s="113">
        <f t="shared" si="319"/>
        <v>1722368</v>
      </c>
      <c r="M1041" s="113">
        <f t="shared" si="319"/>
        <v>0</v>
      </c>
      <c r="N1041" s="113">
        <f t="shared" si="319"/>
        <v>0</v>
      </c>
      <c r="O1041" s="113">
        <f t="shared" si="319"/>
        <v>1722368</v>
      </c>
      <c r="P1041" s="113">
        <f t="shared" si="319"/>
        <v>0</v>
      </c>
      <c r="Q1041" s="106" t="s">
        <v>40</v>
      </c>
      <c r="R1041" s="114" t="s">
        <v>40</v>
      </c>
      <c r="S1041" s="326">
        <v>43465</v>
      </c>
    </row>
    <row r="1042" spans="1:19" s="1" customFormat="1" ht="31.5">
      <c r="A1042" s="107"/>
      <c r="B1042" s="564" t="s">
        <v>636</v>
      </c>
      <c r="C1042" s="118">
        <v>1979</v>
      </c>
      <c r="D1042" s="118"/>
      <c r="E1042" s="109" t="s">
        <v>218</v>
      </c>
      <c r="F1042" s="118">
        <v>2</v>
      </c>
      <c r="G1042" s="118">
        <v>2</v>
      </c>
      <c r="H1042" s="128">
        <v>598.4</v>
      </c>
      <c r="I1042" s="106">
        <v>550.6</v>
      </c>
      <c r="J1042" s="106">
        <v>550.6</v>
      </c>
      <c r="K1042" s="119">
        <v>17</v>
      </c>
      <c r="L1042" s="113">
        <v>1722368</v>
      </c>
      <c r="M1042" s="113">
        <v>0</v>
      </c>
      <c r="N1042" s="113">
        <v>0</v>
      </c>
      <c r="O1042" s="113">
        <v>1722368</v>
      </c>
      <c r="P1042" s="113">
        <v>0</v>
      </c>
      <c r="Q1042" s="106">
        <f>L1042/I1042</f>
        <v>3128.1656374863783</v>
      </c>
      <c r="R1042" s="114">
        <v>7920</v>
      </c>
      <c r="S1042" s="326">
        <v>43465</v>
      </c>
    </row>
    <row r="1043" spans="1:19" s="1" customFormat="1" ht="15.75">
      <c r="A1043" s="107"/>
      <c r="B1043" s="1336" t="s">
        <v>66</v>
      </c>
      <c r="C1043" s="1336"/>
      <c r="D1043" s="1336"/>
      <c r="E1043" s="1336"/>
      <c r="F1043" s="1336"/>
      <c r="G1043" s="1336"/>
      <c r="H1043" s="128">
        <f>H1044</f>
        <v>1156.8</v>
      </c>
      <c r="I1043" s="106">
        <f t="shared" ref="I1043:P1044" si="320">I1044</f>
        <v>1092.7</v>
      </c>
      <c r="J1043" s="106">
        <f t="shared" si="320"/>
        <v>1050.4000000000001</v>
      </c>
      <c r="K1043" s="119">
        <f t="shared" si="320"/>
        <v>44</v>
      </c>
      <c r="L1043" s="113">
        <f t="shared" si="320"/>
        <v>2792955</v>
      </c>
      <c r="M1043" s="113">
        <f t="shared" si="320"/>
        <v>0</v>
      </c>
      <c r="N1043" s="113">
        <f t="shared" si="320"/>
        <v>0</v>
      </c>
      <c r="O1043" s="113">
        <f t="shared" si="320"/>
        <v>2792955</v>
      </c>
      <c r="P1043" s="113">
        <f t="shared" si="320"/>
        <v>0</v>
      </c>
      <c r="Q1043" s="106" t="s">
        <v>40</v>
      </c>
      <c r="R1043" s="106" t="s">
        <v>40</v>
      </c>
      <c r="S1043" s="326">
        <v>43465</v>
      </c>
    </row>
    <row r="1044" spans="1:19" s="1" customFormat="1" ht="15.75">
      <c r="A1044" s="107"/>
      <c r="B1044" s="1336" t="s">
        <v>114</v>
      </c>
      <c r="C1044" s="1336"/>
      <c r="D1044" s="1336"/>
      <c r="E1044" s="1336"/>
      <c r="F1044" s="1336"/>
      <c r="G1044" s="1336"/>
      <c r="H1044" s="128">
        <f>H1045</f>
        <v>1156.8</v>
      </c>
      <c r="I1044" s="128">
        <f t="shared" si="320"/>
        <v>1092.7</v>
      </c>
      <c r="J1044" s="128">
        <f t="shared" si="320"/>
        <v>1050.4000000000001</v>
      </c>
      <c r="K1044" s="128">
        <f t="shared" si="320"/>
        <v>44</v>
      </c>
      <c r="L1044" s="366">
        <f t="shared" si="320"/>
        <v>2792955</v>
      </c>
      <c r="M1044" s="366">
        <f t="shared" si="320"/>
        <v>0</v>
      </c>
      <c r="N1044" s="366">
        <f t="shared" si="320"/>
        <v>0</v>
      </c>
      <c r="O1044" s="366">
        <f t="shared" si="320"/>
        <v>2792955</v>
      </c>
      <c r="P1044" s="366">
        <f t="shared" si="320"/>
        <v>0</v>
      </c>
      <c r="Q1044" s="106" t="s">
        <v>40</v>
      </c>
      <c r="R1044" s="114" t="s">
        <v>40</v>
      </c>
      <c r="S1044" s="326">
        <v>43465</v>
      </c>
    </row>
    <row r="1045" spans="1:19" s="1" customFormat="1" ht="31.5">
      <c r="A1045" s="318"/>
      <c r="B1045" s="364" t="s">
        <v>500</v>
      </c>
      <c r="C1045" s="340">
        <v>1963</v>
      </c>
      <c r="D1045" s="340"/>
      <c r="E1045" s="321" t="s">
        <v>218</v>
      </c>
      <c r="F1045" s="340">
        <v>2</v>
      </c>
      <c r="G1045" s="340">
        <v>4</v>
      </c>
      <c r="H1045" s="341">
        <v>1156.8</v>
      </c>
      <c r="I1045" s="344">
        <v>1092.7</v>
      </c>
      <c r="J1045" s="344">
        <v>1050.4000000000001</v>
      </c>
      <c r="K1045" s="343">
        <v>44</v>
      </c>
      <c r="L1045" s="324">
        <v>2792955</v>
      </c>
      <c r="M1045" s="324">
        <v>0</v>
      </c>
      <c r="N1045" s="324">
        <v>0</v>
      </c>
      <c r="O1045" s="324">
        <v>2792955</v>
      </c>
      <c r="P1045" s="324">
        <v>0</v>
      </c>
      <c r="Q1045" s="344">
        <f>L1045/I1045</f>
        <v>2556.0126292669534</v>
      </c>
      <c r="R1045" s="325">
        <v>7920</v>
      </c>
      <c r="S1045" s="326">
        <v>43465</v>
      </c>
    </row>
    <row r="1046" spans="1:19" s="1" customFormat="1" ht="15.75">
      <c r="A1046" s="107"/>
      <c r="B1046" s="304"/>
      <c r="C1046" s="118"/>
      <c r="D1046" s="118"/>
      <c r="E1046" s="109"/>
      <c r="F1046" s="118"/>
      <c r="G1046" s="118"/>
      <c r="H1046" s="128"/>
      <c r="I1046" s="106"/>
      <c r="J1046" s="106"/>
      <c r="K1046" s="119"/>
      <c r="L1046" s="113"/>
      <c r="M1046" s="113"/>
      <c r="N1046" s="113"/>
      <c r="O1046" s="113"/>
      <c r="P1046" s="113"/>
      <c r="Q1046" s="106"/>
      <c r="R1046" s="114"/>
      <c r="S1046" s="326"/>
    </row>
    <row r="1047" spans="1:19" s="1" customFormat="1" ht="15.75">
      <c r="A1047" s="107"/>
      <c r="B1047" s="304"/>
      <c r="C1047" s="118"/>
      <c r="D1047" s="118"/>
      <c r="E1047" s="109"/>
      <c r="F1047" s="118"/>
      <c r="G1047" s="118"/>
      <c r="H1047" s="128"/>
      <c r="I1047" s="106"/>
      <c r="J1047" s="106"/>
      <c r="K1047" s="119"/>
      <c r="L1047" s="113"/>
      <c r="M1047" s="113"/>
      <c r="N1047" s="113"/>
      <c r="O1047" s="113"/>
      <c r="P1047" s="113"/>
      <c r="Q1047" s="106"/>
      <c r="R1047" s="114"/>
      <c r="S1047" s="326"/>
    </row>
    <row r="1048" spans="1:19" s="1" customFormat="1" ht="15.75">
      <c r="A1048" s="107"/>
      <c r="B1048" s="1336" t="s">
        <v>207</v>
      </c>
      <c r="C1048" s="1336"/>
      <c r="D1048" s="1336"/>
      <c r="E1048" s="1336"/>
      <c r="F1048" s="1336"/>
      <c r="G1048" s="1336"/>
      <c r="H1048" s="128">
        <f>SUM(H1049:H1058)</f>
        <v>53993.469999999994</v>
      </c>
      <c r="I1048" s="128">
        <f t="shared" ref="I1048:P1048" si="321">SUM(I1049:I1058)</f>
        <v>47190.219999999994</v>
      </c>
      <c r="J1048" s="128">
        <f t="shared" si="321"/>
        <v>46251.12</v>
      </c>
      <c r="K1048" s="128">
        <f t="shared" si="321"/>
        <v>1897</v>
      </c>
      <c r="L1048" s="366">
        <f t="shared" si="321"/>
        <v>22164555</v>
      </c>
      <c r="M1048" s="366">
        <f t="shared" si="321"/>
        <v>0</v>
      </c>
      <c r="N1048" s="366">
        <f t="shared" si="321"/>
        <v>0</v>
      </c>
      <c r="O1048" s="366">
        <f t="shared" si="321"/>
        <v>22164555</v>
      </c>
      <c r="P1048" s="128">
        <f t="shared" si="321"/>
        <v>0</v>
      </c>
      <c r="Q1048" s="106" t="s">
        <v>40</v>
      </c>
      <c r="R1048" s="106" t="s">
        <v>40</v>
      </c>
      <c r="S1048" s="326">
        <v>43465</v>
      </c>
    </row>
    <row r="1049" spans="1:19" s="21" customFormat="1" ht="15.75">
      <c r="A1049" s="318">
        <f>A1047+1</f>
        <v>1</v>
      </c>
      <c r="B1049" s="373" t="s">
        <v>512</v>
      </c>
      <c r="C1049" s="374">
        <v>1983</v>
      </c>
      <c r="D1049" s="375"/>
      <c r="E1049" s="321" t="s">
        <v>219</v>
      </c>
      <c r="F1049" s="374">
        <v>9</v>
      </c>
      <c r="G1049" s="374">
        <v>4</v>
      </c>
      <c r="H1049" s="376">
        <v>8411.2999999999993</v>
      </c>
      <c r="I1049" s="376">
        <v>7342.2</v>
      </c>
      <c r="J1049" s="377">
        <v>7289.8</v>
      </c>
      <c r="K1049" s="378">
        <v>264</v>
      </c>
      <c r="L1049" s="324">
        <v>3034841</v>
      </c>
      <c r="M1049" s="324">
        <v>0</v>
      </c>
      <c r="N1049" s="324">
        <v>0</v>
      </c>
      <c r="O1049" s="324">
        <f t="shared" ref="O1049:O1058" si="322">L1049</f>
        <v>3034841</v>
      </c>
      <c r="P1049" s="324">
        <v>0</v>
      </c>
      <c r="Q1049" s="379">
        <f t="shared" ref="Q1049:Q1058" si="323">L1049/I1049</f>
        <v>413.34218626569697</v>
      </c>
      <c r="R1049" s="325">
        <v>7920</v>
      </c>
      <c r="S1049" s="326">
        <v>43465</v>
      </c>
    </row>
    <row r="1050" spans="1:19" s="21" customFormat="1" ht="15.75">
      <c r="A1050" s="318">
        <f t="shared" ref="A1050:A1058" si="324">A1049+1</f>
        <v>2</v>
      </c>
      <c r="B1050" s="373" t="s">
        <v>513</v>
      </c>
      <c r="C1050" s="374">
        <v>1983</v>
      </c>
      <c r="D1050" s="375"/>
      <c r="E1050" s="321" t="s">
        <v>219</v>
      </c>
      <c r="F1050" s="374">
        <v>9</v>
      </c>
      <c r="G1050" s="374">
        <v>1</v>
      </c>
      <c r="H1050" s="376">
        <v>2521.3000000000002</v>
      </c>
      <c r="I1050" s="376">
        <v>2202.1999999999998</v>
      </c>
      <c r="J1050" s="377">
        <v>2202.1999999999998</v>
      </c>
      <c r="K1050" s="378">
        <v>99</v>
      </c>
      <c r="L1050" s="324">
        <v>925522</v>
      </c>
      <c r="M1050" s="324">
        <v>0</v>
      </c>
      <c r="N1050" s="324">
        <v>0</v>
      </c>
      <c r="O1050" s="324">
        <f t="shared" si="322"/>
        <v>925522</v>
      </c>
      <c r="P1050" s="324">
        <v>0</v>
      </c>
      <c r="Q1050" s="379">
        <f t="shared" si="323"/>
        <v>420.27154663518303</v>
      </c>
      <c r="R1050" s="325">
        <v>7920</v>
      </c>
      <c r="S1050" s="326">
        <v>43465</v>
      </c>
    </row>
    <row r="1051" spans="1:19" s="21" customFormat="1" ht="15.75">
      <c r="A1051" s="318">
        <f t="shared" si="324"/>
        <v>3</v>
      </c>
      <c r="B1051" s="373" t="s">
        <v>514</v>
      </c>
      <c r="C1051" s="374">
        <v>1985</v>
      </c>
      <c r="D1051" s="375"/>
      <c r="E1051" s="321" t="s">
        <v>219</v>
      </c>
      <c r="F1051" s="374">
        <v>9</v>
      </c>
      <c r="G1051" s="374">
        <v>2</v>
      </c>
      <c r="H1051" s="376">
        <v>5102.45</v>
      </c>
      <c r="I1051" s="376">
        <v>4428.75</v>
      </c>
      <c r="J1051" s="377">
        <v>4249.75</v>
      </c>
      <c r="K1051" s="378">
        <v>216</v>
      </c>
      <c r="L1051" s="324">
        <v>1823451</v>
      </c>
      <c r="M1051" s="324">
        <v>0</v>
      </c>
      <c r="N1051" s="324">
        <v>0</v>
      </c>
      <c r="O1051" s="324">
        <f t="shared" si="322"/>
        <v>1823451</v>
      </c>
      <c r="P1051" s="324">
        <v>0</v>
      </c>
      <c r="Q1051" s="379">
        <f t="shared" si="323"/>
        <v>411.73039796782388</v>
      </c>
      <c r="R1051" s="325">
        <v>7920</v>
      </c>
      <c r="S1051" s="326">
        <v>43465</v>
      </c>
    </row>
    <row r="1052" spans="1:19" s="21" customFormat="1" ht="15.75">
      <c r="A1052" s="318">
        <f t="shared" si="324"/>
        <v>4</v>
      </c>
      <c r="B1052" s="373" t="s">
        <v>515</v>
      </c>
      <c r="C1052" s="374">
        <v>1986</v>
      </c>
      <c r="D1052" s="375"/>
      <c r="E1052" s="321" t="s">
        <v>219</v>
      </c>
      <c r="F1052" s="374">
        <v>9</v>
      </c>
      <c r="G1052" s="374">
        <v>5</v>
      </c>
      <c r="H1052" s="376">
        <v>11880.19</v>
      </c>
      <c r="I1052" s="376">
        <v>10118.07</v>
      </c>
      <c r="J1052" s="377">
        <v>9963.8700000000008</v>
      </c>
      <c r="K1052" s="378">
        <v>404</v>
      </c>
      <c r="L1052" s="324">
        <v>3802042</v>
      </c>
      <c r="M1052" s="324">
        <v>0</v>
      </c>
      <c r="N1052" s="324">
        <v>0</v>
      </c>
      <c r="O1052" s="324">
        <f t="shared" si="322"/>
        <v>3802042</v>
      </c>
      <c r="P1052" s="324">
        <v>0</v>
      </c>
      <c r="Q1052" s="379">
        <f t="shared" si="323"/>
        <v>375.7675129743123</v>
      </c>
      <c r="R1052" s="325">
        <v>7920</v>
      </c>
      <c r="S1052" s="326">
        <v>43465</v>
      </c>
    </row>
    <row r="1053" spans="1:19" s="21" customFormat="1" ht="15.75">
      <c r="A1053" s="318">
        <f t="shared" si="324"/>
        <v>5</v>
      </c>
      <c r="B1053" s="373" t="s">
        <v>516</v>
      </c>
      <c r="C1053" s="374">
        <v>1987</v>
      </c>
      <c r="D1053" s="375"/>
      <c r="E1053" s="321" t="s">
        <v>219</v>
      </c>
      <c r="F1053" s="374">
        <v>9</v>
      </c>
      <c r="G1053" s="374">
        <v>3</v>
      </c>
      <c r="H1053" s="376">
        <v>7641.43</v>
      </c>
      <c r="I1053" s="376">
        <v>6637.2</v>
      </c>
      <c r="J1053" s="377">
        <v>6453.6</v>
      </c>
      <c r="K1053" s="378">
        <v>175</v>
      </c>
      <c r="L1053" s="324">
        <v>2887804</v>
      </c>
      <c r="M1053" s="324">
        <v>0</v>
      </c>
      <c r="N1053" s="324">
        <v>0</v>
      </c>
      <c r="O1053" s="324">
        <f t="shared" si="322"/>
        <v>2887804</v>
      </c>
      <c r="P1053" s="324">
        <v>0</v>
      </c>
      <c r="Q1053" s="379">
        <f t="shared" si="323"/>
        <v>435.09371421683846</v>
      </c>
      <c r="R1053" s="325">
        <v>7920</v>
      </c>
      <c r="S1053" s="326">
        <v>43465</v>
      </c>
    </row>
    <row r="1054" spans="1:19" s="21" customFormat="1" ht="15.75">
      <c r="A1054" s="318">
        <f t="shared" si="324"/>
        <v>6</v>
      </c>
      <c r="B1054" s="373" t="s">
        <v>517</v>
      </c>
      <c r="C1054" s="374">
        <v>1983</v>
      </c>
      <c r="D1054" s="375"/>
      <c r="E1054" s="321" t="s">
        <v>219</v>
      </c>
      <c r="F1054" s="374">
        <v>9</v>
      </c>
      <c r="G1054" s="374">
        <v>1</v>
      </c>
      <c r="H1054" s="376">
        <v>2504.8000000000002</v>
      </c>
      <c r="I1054" s="376">
        <v>2193.3000000000002</v>
      </c>
      <c r="J1054" s="377">
        <v>2193.3000000000002</v>
      </c>
      <c r="K1054" s="378">
        <v>105</v>
      </c>
      <c r="L1054" s="324">
        <v>928016</v>
      </c>
      <c r="M1054" s="324">
        <v>0</v>
      </c>
      <c r="N1054" s="324">
        <v>0</v>
      </c>
      <c r="O1054" s="324">
        <f t="shared" si="322"/>
        <v>928016</v>
      </c>
      <c r="P1054" s="324">
        <v>0</v>
      </c>
      <c r="Q1054" s="379">
        <f t="shared" si="323"/>
        <v>423.11402908858793</v>
      </c>
      <c r="R1054" s="325">
        <v>7920</v>
      </c>
      <c r="S1054" s="326">
        <v>43465</v>
      </c>
    </row>
    <row r="1055" spans="1:19" s="21" customFormat="1" ht="15.75">
      <c r="A1055" s="318">
        <f t="shared" si="324"/>
        <v>7</v>
      </c>
      <c r="B1055" s="373" t="s">
        <v>518</v>
      </c>
      <c r="C1055" s="374">
        <v>1980</v>
      </c>
      <c r="D1055" s="375"/>
      <c r="E1055" s="321" t="s">
        <v>219</v>
      </c>
      <c r="F1055" s="374">
        <v>9</v>
      </c>
      <c r="G1055" s="374">
        <v>1</v>
      </c>
      <c r="H1055" s="376">
        <v>2555.1999999999998</v>
      </c>
      <c r="I1055" s="376">
        <v>2220.1999999999998</v>
      </c>
      <c r="J1055" s="377">
        <v>2185.1999999999998</v>
      </c>
      <c r="K1055" s="378">
        <v>89</v>
      </c>
      <c r="L1055" s="324">
        <v>935370</v>
      </c>
      <c r="M1055" s="324">
        <v>0</v>
      </c>
      <c r="N1055" s="324">
        <v>0</v>
      </c>
      <c r="O1055" s="324">
        <f t="shared" si="322"/>
        <v>935370</v>
      </c>
      <c r="P1055" s="324">
        <v>0</v>
      </c>
      <c r="Q1055" s="379">
        <f t="shared" si="323"/>
        <v>421.29988289343305</v>
      </c>
      <c r="R1055" s="325">
        <v>7920</v>
      </c>
      <c r="S1055" s="326">
        <v>43465</v>
      </c>
    </row>
    <row r="1056" spans="1:19" s="21" customFormat="1" ht="15.75">
      <c r="A1056" s="318">
        <f t="shared" si="324"/>
        <v>8</v>
      </c>
      <c r="B1056" s="373" t="s">
        <v>519</v>
      </c>
      <c r="C1056" s="374">
        <v>1976</v>
      </c>
      <c r="D1056" s="375"/>
      <c r="E1056" s="321" t="s">
        <v>219</v>
      </c>
      <c r="F1056" s="374">
        <v>5</v>
      </c>
      <c r="G1056" s="374">
        <v>10</v>
      </c>
      <c r="H1056" s="376">
        <v>5642.5</v>
      </c>
      <c r="I1056" s="376">
        <v>5105</v>
      </c>
      <c r="J1056" s="377">
        <v>4957.8999999999996</v>
      </c>
      <c r="K1056" s="378">
        <v>237</v>
      </c>
      <c r="L1056" s="324">
        <v>3352678</v>
      </c>
      <c r="M1056" s="324">
        <v>0</v>
      </c>
      <c r="N1056" s="324">
        <v>0</v>
      </c>
      <c r="O1056" s="324">
        <f t="shared" si="322"/>
        <v>3352678</v>
      </c>
      <c r="P1056" s="324">
        <v>0</v>
      </c>
      <c r="Q1056" s="379">
        <f t="shared" si="323"/>
        <v>656.74397649363368</v>
      </c>
      <c r="R1056" s="325">
        <v>7920</v>
      </c>
      <c r="S1056" s="326">
        <v>43465</v>
      </c>
    </row>
    <row r="1057" spans="1:19" s="21" customFormat="1" ht="15.75">
      <c r="A1057" s="318">
        <f t="shared" si="324"/>
        <v>9</v>
      </c>
      <c r="B1057" s="373" t="s">
        <v>520</v>
      </c>
      <c r="C1057" s="374">
        <v>1975</v>
      </c>
      <c r="D1057" s="375"/>
      <c r="E1057" s="321" t="s">
        <v>219</v>
      </c>
      <c r="F1057" s="374">
        <v>5</v>
      </c>
      <c r="G1057" s="374">
        <v>8</v>
      </c>
      <c r="H1057" s="376">
        <v>4425.7</v>
      </c>
      <c r="I1057" s="376">
        <v>3958.7</v>
      </c>
      <c r="J1057" s="377">
        <v>3839.1</v>
      </c>
      <c r="K1057" s="378">
        <v>181</v>
      </c>
      <c r="L1057" s="324">
        <v>2535669</v>
      </c>
      <c r="M1057" s="324">
        <v>0</v>
      </c>
      <c r="N1057" s="324">
        <v>0</v>
      </c>
      <c r="O1057" s="324">
        <f t="shared" si="322"/>
        <v>2535669</v>
      </c>
      <c r="P1057" s="324">
        <v>0</v>
      </c>
      <c r="Q1057" s="379">
        <f t="shared" si="323"/>
        <v>640.53072978503042</v>
      </c>
      <c r="R1057" s="325">
        <v>7920</v>
      </c>
      <c r="S1057" s="326">
        <v>43465</v>
      </c>
    </row>
    <row r="1058" spans="1:19" s="21" customFormat="1" ht="15.75">
      <c r="A1058" s="318">
        <f t="shared" si="324"/>
        <v>10</v>
      </c>
      <c r="B1058" s="373" t="s">
        <v>521</v>
      </c>
      <c r="C1058" s="374">
        <v>1976</v>
      </c>
      <c r="D1058" s="340"/>
      <c r="E1058" s="321" t="s">
        <v>219</v>
      </c>
      <c r="F1058" s="374">
        <v>5</v>
      </c>
      <c r="G1058" s="374">
        <v>6</v>
      </c>
      <c r="H1058" s="376">
        <v>3308.6</v>
      </c>
      <c r="I1058" s="376">
        <v>2984.6</v>
      </c>
      <c r="J1058" s="380">
        <v>2916.4</v>
      </c>
      <c r="K1058" s="343">
        <v>127</v>
      </c>
      <c r="L1058" s="324">
        <v>1939162</v>
      </c>
      <c r="M1058" s="324">
        <v>0</v>
      </c>
      <c r="N1058" s="324">
        <v>0</v>
      </c>
      <c r="O1058" s="324">
        <f t="shared" si="322"/>
        <v>1939162</v>
      </c>
      <c r="P1058" s="324">
        <v>0</v>
      </c>
      <c r="Q1058" s="379">
        <f t="shared" si="323"/>
        <v>649.72257588956643</v>
      </c>
      <c r="R1058" s="325">
        <v>7920</v>
      </c>
      <c r="S1058" s="326">
        <v>43465</v>
      </c>
    </row>
    <row r="1059" spans="1:19" s="21" customFormat="1" ht="15.75">
      <c r="A1059" s="381"/>
      <c r="B1059" s="382"/>
      <c r="C1059" s="383"/>
      <c r="D1059" s="383"/>
      <c r="E1059" s="384"/>
      <c r="F1059" s="383"/>
      <c r="G1059" s="383"/>
      <c r="H1059" s="385"/>
      <c r="I1059" s="386"/>
      <c r="J1059" s="386"/>
      <c r="K1059" s="378"/>
      <c r="L1059" s="324"/>
      <c r="M1059" s="324"/>
      <c r="N1059" s="324"/>
      <c r="O1059" s="324"/>
      <c r="P1059" s="324"/>
      <c r="Q1059" s="379"/>
      <c r="R1059" s="325"/>
      <c r="S1059" s="326"/>
    </row>
    <row r="1060" spans="1:19" s="36" customFormat="1" ht="15.75">
      <c r="A1060" s="107"/>
      <c r="B1060" s="1336" t="s">
        <v>67</v>
      </c>
      <c r="C1060" s="1336"/>
      <c r="D1060" s="1336"/>
      <c r="E1060" s="1336"/>
      <c r="F1060" s="1336"/>
      <c r="G1060" s="1336"/>
      <c r="H1060" s="128">
        <f>H1061+H1063</f>
        <v>1507.8</v>
      </c>
      <c r="I1060" s="162">
        <f t="shared" ref="I1060" si="325">I1061+I1063</f>
        <v>1398.1</v>
      </c>
      <c r="J1060" s="106">
        <f>J1061+J1063</f>
        <v>1200.7</v>
      </c>
      <c r="K1060" s="119">
        <f>K1061+K1063</f>
        <v>62</v>
      </c>
      <c r="L1060" s="113">
        <f>L1061+L1063</f>
        <v>728197.07</v>
      </c>
      <c r="M1060" s="113">
        <f t="shared" ref="M1060:N1060" si="326">M1061+M1063</f>
        <v>0</v>
      </c>
      <c r="N1060" s="113">
        <f t="shared" si="326"/>
        <v>260236.27</v>
      </c>
      <c r="O1060" s="113">
        <f>O1061+O1063</f>
        <v>467960.8</v>
      </c>
      <c r="P1060" s="113">
        <f t="shared" ref="P1060" si="327">P1061+P1063</f>
        <v>0</v>
      </c>
      <c r="Q1060" s="114" t="s">
        <v>40</v>
      </c>
      <c r="R1060" s="108" t="s">
        <v>40</v>
      </c>
      <c r="S1060" s="326">
        <v>43465</v>
      </c>
    </row>
    <row r="1061" spans="1:19" s="1" customFormat="1" ht="15.75">
      <c r="A1061" s="107"/>
      <c r="B1061" s="1336" t="s">
        <v>90</v>
      </c>
      <c r="C1061" s="1336"/>
      <c r="D1061" s="1336"/>
      <c r="E1061" s="1336"/>
      <c r="F1061" s="1336"/>
      <c r="G1061" s="1336"/>
      <c r="H1061" s="128">
        <f>H1062</f>
        <v>1507.8</v>
      </c>
      <c r="I1061" s="106">
        <f t="shared" ref="I1061:P1061" si="328">I1062</f>
        <v>1398.1</v>
      </c>
      <c r="J1061" s="106">
        <f t="shared" si="328"/>
        <v>1200.7</v>
      </c>
      <c r="K1061" s="119">
        <f t="shared" si="328"/>
        <v>62</v>
      </c>
      <c r="L1061" s="113">
        <f>L1062</f>
        <v>728197.07</v>
      </c>
      <c r="M1061" s="113">
        <f t="shared" si="328"/>
        <v>0</v>
      </c>
      <c r="N1061" s="113">
        <f t="shared" si="328"/>
        <v>260236.27</v>
      </c>
      <c r="O1061" s="113">
        <f t="shared" si="328"/>
        <v>467960.8</v>
      </c>
      <c r="P1061" s="113">
        <f t="shared" si="328"/>
        <v>0</v>
      </c>
      <c r="Q1061" s="114" t="s">
        <v>40</v>
      </c>
      <c r="R1061" s="108" t="s">
        <v>40</v>
      </c>
      <c r="S1061" s="326">
        <v>43465</v>
      </c>
    </row>
    <row r="1062" spans="1:19" s="23" customFormat="1" ht="15.75">
      <c r="A1062" s="107">
        <f>A1059+1</f>
        <v>1</v>
      </c>
      <c r="B1062" s="307" t="s">
        <v>429</v>
      </c>
      <c r="C1062" s="118">
        <v>1983</v>
      </c>
      <c r="D1062" s="182"/>
      <c r="E1062" s="109" t="s">
        <v>219</v>
      </c>
      <c r="F1062" s="118">
        <v>3</v>
      </c>
      <c r="G1062" s="118">
        <v>3</v>
      </c>
      <c r="H1062" s="128">
        <v>1507.8</v>
      </c>
      <c r="I1062" s="106">
        <v>1398.1</v>
      </c>
      <c r="J1062" s="106">
        <v>1200.7</v>
      </c>
      <c r="K1062" s="119">
        <v>62</v>
      </c>
      <c r="L1062" s="113">
        <v>728197.07</v>
      </c>
      <c r="M1062" s="113">
        <v>0</v>
      </c>
      <c r="N1062" s="113">
        <v>260236.27</v>
      </c>
      <c r="O1062" s="113">
        <v>467960.8</v>
      </c>
      <c r="P1062" s="113">
        <v>0</v>
      </c>
      <c r="Q1062" s="106">
        <f>L1062/I1062</f>
        <v>520.84762892496963</v>
      </c>
      <c r="R1062" s="114">
        <v>6774</v>
      </c>
      <c r="S1062" s="326">
        <v>43465</v>
      </c>
    </row>
    <row r="1063" spans="1:19" s="23" customFormat="1" ht="27" customHeight="1">
      <c r="A1063" s="318"/>
      <c r="B1063" s="1361" t="s">
        <v>127</v>
      </c>
      <c r="C1063" s="1361"/>
      <c r="D1063" s="1361"/>
      <c r="E1063" s="1361"/>
      <c r="F1063" s="1361"/>
      <c r="G1063" s="1361"/>
      <c r="H1063" s="341">
        <v>0</v>
      </c>
      <c r="I1063" s="344">
        <v>0</v>
      </c>
      <c r="J1063" s="344">
        <v>0</v>
      </c>
      <c r="K1063" s="343">
        <v>0</v>
      </c>
      <c r="L1063" s="324">
        <v>0</v>
      </c>
      <c r="M1063" s="324">
        <v>0</v>
      </c>
      <c r="N1063" s="324">
        <v>0</v>
      </c>
      <c r="O1063" s="324">
        <v>0</v>
      </c>
      <c r="P1063" s="324">
        <v>0</v>
      </c>
      <c r="Q1063" s="344" t="s">
        <v>40</v>
      </c>
      <c r="R1063" s="320" t="s">
        <v>40</v>
      </c>
      <c r="S1063" s="326">
        <v>43465</v>
      </c>
    </row>
    <row r="1064" spans="1:19" s="23" customFormat="1" ht="21.75" customHeight="1">
      <c r="A1064" s="1332" t="s">
        <v>206</v>
      </c>
      <c r="B1064" s="1332"/>
      <c r="C1064" s="1332"/>
      <c r="D1064" s="1332"/>
      <c r="E1064" s="1332"/>
      <c r="F1064" s="1332"/>
      <c r="G1064" s="1332"/>
      <c r="H1064" s="1332"/>
      <c r="I1064" s="1332"/>
      <c r="J1064" s="1332"/>
      <c r="K1064" s="1332"/>
      <c r="L1064" s="1332"/>
      <c r="M1064" s="1332"/>
      <c r="N1064" s="1332"/>
      <c r="O1064" s="1332"/>
      <c r="P1064" s="1332"/>
      <c r="Q1064" s="1332"/>
      <c r="R1064" s="1332"/>
      <c r="S1064" s="1332"/>
    </row>
    <row r="1065" spans="1:19" s="23" customFormat="1" ht="19.5" customHeight="1">
      <c r="A1065" s="107"/>
      <c r="B1065" s="1333" t="s">
        <v>205</v>
      </c>
      <c r="C1065" s="1333"/>
      <c r="D1065" s="1333"/>
      <c r="E1065" s="1333"/>
      <c r="F1065" s="1333"/>
      <c r="G1065" s="1333"/>
      <c r="H1065" s="181">
        <f>H1067+H1076</f>
        <v>25922.6</v>
      </c>
      <c r="I1065" s="181">
        <f t="shared" ref="I1065:P1065" si="329">I1067+I1076</f>
        <v>21873.7</v>
      </c>
      <c r="J1065" s="181">
        <f t="shared" si="329"/>
        <v>21404.3</v>
      </c>
      <c r="K1065" s="154">
        <f t="shared" si="329"/>
        <v>750</v>
      </c>
      <c r="L1065" s="113">
        <f t="shared" si="329"/>
        <v>2663060.64</v>
      </c>
      <c r="M1065" s="113">
        <f t="shared" si="329"/>
        <v>0</v>
      </c>
      <c r="N1065" s="113">
        <f t="shared" si="329"/>
        <v>0</v>
      </c>
      <c r="O1065" s="113">
        <f t="shared" si="329"/>
        <v>2663060.64</v>
      </c>
      <c r="P1065" s="113">
        <f t="shared" si="329"/>
        <v>0</v>
      </c>
      <c r="Q1065" s="114" t="s">
        <v>40</v>
      </c>
      <c r="R1065" s="108" t="s">
        <v>40</v>
      </c>
      <c r="S1065" s="108" t="s">
        <v>40</v>
      </c>
    </row>
    <row r="1066" spans="1:19" s="1" customFormat="1" ht="21.75" customHeight="1">
      <c r="A1066" s="1332" t="s">
        <v>35</v>
      </c>
      <c r="B1066" s="1332"/>
      <c r="C1066" s="1332"/>
      <c r="D1066" s="1332"/>
      <c r="E1066" s="1332"/>
      <c r="F1066" s="1332"/>
      <c r="G1066" s="1332"/>
      <c r="H1066" s="1332"/>
      <c r="I1066" s="1332"/>
      <c r="J1066" s="1332"/>
      <c r="K1066" s="1332"/>
      <c r="L1066" s="1332"/>
      <c r="M1066" s="1332"/>
      <c r="N1066" s="1332"/>
      <c r="O1066" s="1332"/>
      <c r="P1066" s="1332"/>
      <c r="Q1066" s="1332"/>
      <c r="R1066" s="1332"/>
      <c r="S1066" s="1332"/>
    </row>
    <row r="1067" spans="1:19" s="1" customFormat="1" ht="21.75" customHeight="1">
      <c r="A1067" s="302"/>
      <c r="B1067" s="1333" t="s">
        <v>20</v>
      </c>
      <c r="C1067" s="1333"/>
      <c r="D1067" s="1333"/>
      <c r="E1067" s="1333"/>
      <c r="F1067" s="1333"/>
      <c r="G1067" s="1333"/>
      <c r="H1067" s="111">
        <f>H1068</f>
        <v>23801.1</v>
      </c>
      <c r="I1067" s="111">
        <f t="shared" ref="I1067:P1068" si="330">I1068</f>
        <v>20069.3</v>
      </c>
      <c r="J1067" s="111">
        <f t="shared" si="330"/>
        <v>20069.3</v>
      </c>
      <c r="K1067" s="112">
        <f>K1068</f>
        <v>702</v>
      </c>
      <c r="L1067" s="113">
        <f>L1068</f>
        <v>2447351.64</v>
      </c>
      <c r="M1067" s="113">
        <f t="shared" ref="M1067:P1067" si="331">M1068</f>
        <v>0</v>
      </c>
      <c r="N1067" s="113">
        <f t="shared" si="331"/>
        <v>0</v>
      </c>
      <c r="O1067" s="113">
        <f t="shared" si="331"/>
        <v>2447351.64</v>
      </c>
      <c r="P1067" s="113">
        <f t="shared" si="331"/>
        <v>0</v>
      </c>
      <c r="Q1067" s="114" t="s">
        <v>40</v>
      </c>
      <c r="R1067" s="108" t="s">
        <v>40</v>
      </c>
      <c r="S1067" s="326">
        <v>43465</v>
      </c>
    </row>
    <row r="1068" spans="1:19" s="37" customFormat="1" ht="15.75" customHeight="1">
      <c r="A1068" s="99"/>
      <c r="B1068" s="1333" t="s">
        <v>53</v>
      </c>
      <c r="C1068" s="1333"/>
      <c r="D1068" s="1333"/>
      <c r="E1068" s="1333"/>
      <c r="F1068" s="1333"/>
      <c r="G1068" s="1333"/>
      <c r="H1068" s="111">
        <f>H1069</f>
        <v>23801.1</v>
      </c>
      <c r="I1068" s="114">
        <f t="shared" si="330"/>
        <v>20069.3</v>
      </c>
      <c r="J1068" s="114">
        <f t="shared" si="330"/>
        <v>20069.3</v>
      </c>
      <c r="K1068" s="112">
        <f t="shared" si="330"/>
        <v>702</v>
      </c>
      <c r="L1068" s="113">
        <f t="shared" si="330"/>
        <v>2447351.64</v>
      </c>
      <c r="M1068" s="113">
        <f t="shared" si="330"/>
        <v>0</v>
      </c>
      <c r="N1068" s="113">
        <f t="shared" si="330"/>
        <v>0</v>
      </c>
      <c r="O1068" s="113">
        <f t="shared" si="330"/>
        <v>2447351.64</v>
      </c>
      <c r="P1068" s="113">
        <f t="shared" si="330"/>
        <v>0</v>
      </c>
      <c r="Q1068" s="114" t="s">
        <v>40</v>
      </c>
      <c r="R1068" s="108" t="s">
        <v>40</v>
      </c>
      <c r="S1068" s="326">
        <v>43465</v>
      </c>
    </row>
    <row r="1069" spans="1:19" s="37" customFormat="1" ht="15.75" customHeight="1">
      <c r="A1069" s="99"/>
      <c r="B1069" s="1333" t="s">
        <v>88</v>
      </c>
      <c r="C1069" s="1333"/>
      <c r="D1069" s="1333"/>
      <c r="E1069" s="1333"/>
      <c r="F1069" s="1333"/>
      <c r="G1069" s="1333"/>
      <c r="H1069" s="111">
        <f t="shared" ref="H1069:P1069" si="332">SUM(H1070:H1074)</f>
        <v>23801.1</v>
      </c>
      <c r="I1069" s="114">
        <f t="shared" si="332"/>
        <v>20069.3</v>
      </c>
      <c r="J1069" s="114">
        <f t="shared" si="332"/>
        <v>20069.3</v>
      </c>
      <c r="K1069" s="112">
        <f t="shared" si="332"/>
        <v>702</v>
      </c>
      <c r="L1069" s="113">
        <f t="shared" si="332"/>
        <v>2447351.64</v>
      </c>
      <c r="M1069" s="113">
        <f t="shared" si="332"/>
        <v>0</v>
      </c>
      <c r="N1069" s="113">
        <f t="shared" si="332"/>
        <v>0</v>
      </c>
      <c r="O1069" s="113">
        <f t="shared" si="332"/>
        <v>2447351.64</v>
      </c>
      <c r="P1069" s="113">
        <f t="shared" si="332"/>
        <v>0</v>
      </c>
      <c r="Q1069" s="114" t="s">
        <v>40</v>
      </c>
      <c r="R1069" s="108" t="s">
        <v>40</v>
      </c>
      <c r="S1069" s="326">
        <v>43465</v>
      </c>
    </row>
    <row r="1070" spans="1:19" s="33" customFormat="1" ht="15.75">
      <c r="A1070" s="302" t="e">
        <f>#REF!+1</f>
        <v>#REF!</v>
      </c>
      <c r="B1070" s="183" t="s">
        <v>359</v>
      </c>
      <c r="C1070" s="184">
        <v>1975</v>
      </c>
      <c r="D1070" s="129"/>
      <c r="E1070" s="109" t="s">
        <v>219</v>
      </c>
      <c r="F1070" s="99">
        <v>5</v>
      </c>
      <c r="G1070" s="99">
        <v>4</v>
      </c>
      <c r="H1070" s="180">
        <f>2075.9+150</f>
        <v>2225.9</v>
      </c>
      <c r="I1070" s="100">
        <v>2075.9</v>
      </c>
      <c r="J1070" s="100">
        <v>2075.9</v>
      </c>
      <c r="K1070" s="101">
        <v>112</v>
      </c>
      <c r="L1070" s="113">
        <v>203849</v>
      </c>
      <c r="M1070" s="113">
        <v>0</v>
      </c>
      <c r="N1070" s="113">
        <v>0</v>
      </c>
      <c r="O1070" s="113">
        <f>L1070</f>
        <v>203849</v>
      </c>
      <c r="P1070" s="113">
        <v>0</v>
      </c>
      <c r="Q1070" s="114">
        <f>L1070/I1070</f>
        <v>98.197890071776087</v>
      </c>
      <c r="R1070" s="114">
        <v>6774</v>
      </c>
      <c r="S1070" s="326">
        <v>43465</v>
      </c>
    </row>
    <row r="1071" spans="1:19" s="33" customFormat="1" ht="15.75">
      <c r="A1071" s="302" t="e">
        <f>A1070+1</f>
        <v>#REF!</v>
      </c>
      <c r="B1071" s="183" t="s">
        <v>360</v>
      </c>
      <c r="C1071" s="184">
        <v>1991</v>
      </c>
      <c r="D1071" s="129"/>
      <c r="E1071" s="109" t="s">
        <v>219</v>
      </c>
      <c r="F1071" s="99">
        <v>9</v>
      </c>
      <c r="G1071" s="99">
        <v>2</v>
      </c>
      <c r="H1071" s="180">
        <f>4259.3+1200.8</f>
        <v>5460.1</v>
      </c>
      <c r="I1071" s="100">
        <v>4259.3</v>
      </c>
      <c r="J1071" s="100">
        <v>4259.3</v>
      </c>
      <c r="K1071" s="101">
        <v>132</v>
      </c>
      <c r="L1071" s="113">
        <v>489343.64</v>
      </c>
      <c r="M1071" s="113">
        <v>0</v>
      </c>
      <c r="N1071" s="113">
        <v>0</v>
      </c>
      <c r="O1071" s="113">
        <f>L1071</f>
        <v>489343.64</v>
      </c>
      <c r="P1071" s="113">
        <v>0</v>
      </c>
      <c r="Q1071" s="114">
        <f>L1071/I1071</f>
        <v>114.88827741647688</v>
      </c>
      <c r="R1071" s="114">
        <v>6774</v>
      </c>
      <c r="S1071" s="326">
        <v>43465</v>
      </c>
    </row>
    <row r="1072" spans="1:19" s="33" customFormat="1" ht="15.75">
      <c r="A1072" s="302" t="e">
        <f t="shared" ref="A1072:A1074" si="333">A1071+1</f>
        <v>#REF!</v>
      </c>
      <c r="B1072" s="183" t="s">
        <v>432</v>
      </c>
      <c r="C1072" s="184">
        <v>1978</v>
      </c>
      <c r="D1072" s="129"/>
      <c r="E1072" s="109" t="s">
        <v>219</v>
      </c>
      <c r="F1072" s="99">
        <v>5</v>
      </c>
      <c r="G1072" s="99">
        <v>6</v>
      </c>
      <c r="H1072" s="180">
        <v>6071.5</v>
      </c>
      <c r="I1072" s="100">
        <v>4592.3</v>
      </c>
      <c r="J1072" s="100">
        <v>4592.3</v>
      </c>
      <c r="K1072" s="101">
        <v>181</v>
      </c>
      <c r="L1072" s="113">
        <v>395010</v>
      </c>
      <c r="M1072" s="113">
        <v>0</v>
      </c>
      <c r="N1072" s="113">
        <v>0</v>
      </c>
      <c r="O1072" s="113">
        <f>L1072</f>
        <v>395010</v>
      </c>
      <c r="P1072" s="113">
        <v>0</v>
      </c>
      <c r="Q1072" s="114">
        <f>L1072/I1072</f>
        <v>86.015721969383534</v>
      </c>
      <c r="R1072" s="114">
        <v>6774</v>
      </c>
      <c r="S1072" s="326">
        <v>43465</v>
      </c>
    </row>
    <row r="1073" spans="1:48" s="33" customFormat="1" ht="15.75">
      <c r="A1073" s="302" t="e">
        <f t="shared" si="333"/>
        <v>#REF!</v>
      </c>
      <c r="B1073" s="183" t="s">
        <v>431</v>
      </c>
      <c r="C1073" s="184">
        <v>1980</v>
      </c>
      <c r="D1073" s="129"/>
      <c r="E1073" s="109" t="s">
        <v>219</v>
      </c>
      <c r="F1073" s="99">
        <v>5</v>
      </c>
      <c r="G1073" s="99">
        <v>6</v>
      </c>
      <c r="H1073" s="180">
        <f>493.2+4644.3</f>
        <v>5137.5</v>
      </c>
      <c r="I1073" s="100">
        <v>4644.3</v>
      </c>
      <c r="J1073" s="100">
        <v>4644.3</v>
      </c>
      <c r="K1073" s="101">
        <v>177</v>
      </c>
      <c r="L1073" s="113">
        <v>285326</v>
      </c>
      <c r="M1073" s="113">
        <v>0</v>
      </c>
      <c r="N1073" s="113">
        <v>0</v>
      </c>
      <c r="O1073" s="113">
        <f>L1073</f>
        <v>285326</v>
      </c>
      <c r="P1073" s="113">
        <v>0</v>
      </c>
      <c r="Q1073" s="114">
        <f>L1073/I1073</f>
        <v>61.435738432056496</v>
      </c>
      <c r="R1073" s="114">
        <v>6774</v>
      </c>
      <c r="S1073" s="326">
        <v>43465</v>
      </c>
    </row>
    <row r="1074" spans="1:48" s="33" customFormat="1" ht="31.5">
      <c r="A1074" s="302" t="e">
        <f t="shared" si="333"/>
        <v>#REF!</v>
      </c>
      <c r="B1074" s="183" t="s">
        <v>358</v>
      </c>
      <c r="C1074" s="184">
        <v>1973</v>
      </c>
      <c r="D1074" s="129"/>
      <c r="E1074" s="109" t="s">
        <v>218</v>
      </c>
      <c r="F1074" s="99">
        <v>5</v>
      </c>
      <c r="G1074" s="99">
        <v>6</v>
      </c>
      <c r="H1074" s="180">
        <v>4906.1000000000004</v>
      </c>
      <c r="I1074" s="100">
        <v>4497.5</v>
      </c>
      <c r="J1074" s="100">
        <v>4497.5</v>
      </c>
      <c r="K1074" s="101">
        <v>100</v>
      </c>
      <c r="L1074" s="113">
        <v>1073823</v>
      </c>
      <c r="M1074" s="113">
        <v>0</v>
      </c>
      <c r="N1074" s="113">
        <v>0</v>
      </c>
      <c r="O1074" s="113">
        <f>L1074</f>
        <v>1073823</v>
      </c>
      <c r="P1074" s="113">
        <v>0</v>
      </c>
      <c r="Q1074" s="114">
        <f>L1074/I1074</f>
        <v>238.75997776542525</v>
      </c>
      <c r="R1074" s="114">
        <v>6774</v>
      </c>
      <c r="S1074" s="326">
        <v>43465</v>
      </c>
    </row>
    <row r="1075" spans="1:48" s="1" customFormat="1" ht="34.5" customHeight="1">
      <c r="A1075" s="1332" t="s">
        <v>37</v>
      </c>
      <c r="B1075" s="1332"/>
      <c r="C1075" s="1332"/>
      <c r="D1075" s="1332"/>
      <c r="E1075" s="1332"/>
      <c r="F1075" s="1332"/>
      <c r="G1075" s="1332"/>
      <c r="H1075" s="1332"/>
      <c r="I1075" s="1332"/>
      <c r="J1075" s="1332"/>
      <c r="K1075" s="1332"/>
      <c r="L1075" s="1332"/>
      <c r="M1075" s="1332"/>
      <c r="N1075" s="1332"/>
      <c r="O1075" s="1332"/>
      <c r="P1075" s="1332"/>
      <c r="Q1075" s="1332"/>
      <c r="R1075" s="1332"/>
      <c r="S1075" s="1332"/>
    </row>
    <row r="1076" spans="1:48" s="1" customFormat="1" ht="15.75">
      <c r="A1076" s="302"/>
      <c r="B1076" s="1333" t="s">
        <v>20</v>
      </c>
      <c r="C1076" s="1333"/>
      <c r="D1076" s="1333"/>
      <c r="E1076" s="1333"/>
      <c r="F1076" s="1333"/>
      <c r="G1076" s="1333"/>
      <c r="H1076" s="111">
        <f>H1077+H1080</f>
        <v>2121.5</v>
      </c>
      <c r="I1076" s="111">
        <f t="shared" ref="I1076:J1076" si="334">I1077+I1080</f>
        <v>1804.4</v>
      </c>
      <c r="J1076" s="111">
        <f t="shared" si="334"/>
        <v>1335</v>
      </c>
      <c r="K1076" s="112">
        <f>K1077+K1080</f>
        <v>48</v>
      </c>
      <c r="L1076" s="113">
        <f t="shared" ref="L1076:P1076" si="335">L1077+L1080</f>
        <v>215709</v>
      </c>
      <c r="M1076" s="113">
        <f t="shared" si="335"/>
        <v>0</v>
      </c>
      <c r="N1076" s="113">
        <f t="shared" si="335"/>
        <v>0</v>
      </c>
      <c r="O1076" s="113">
        <f t="shared" si="335"/>
        <v>215709</v>
      </c>
      <c r="P1076" s="113">
        <f t="shared" si="335"/>
        <v>0</v>
      </c>
      <c r="Q1076" s="114" t="s">
        <v>40</v>
      </c>
      <c r="R1076" s="108" t="s">
        <v>40</v>
      </c>
      <c r="S1076" s="326">
        <v>43465</v>
      </c>
    </row>
    <row r="1077" spans="1:48" s="1" customFormat="1" ht="15.75" customHeight="1">
      <c r="A1077" s="302"/>
      <c r="B1077" s="1334" t="s">
        <v>58</v>
      </c>
      <c r="C1077" s="1334"/>
      <c r="D1077" s="1334"/>
      <c r="E1077" s="1334"/>
      <c r="F1077" s="1334"/>
      <c r="G1077" s="1334"/>
      <c r="H1077" s="127">
        <f>H1078</f>
        <v>2121.5</v>
      </c>
      <c r="I1077" s="104">
        <f t="shared" ref="I1077:P1078" si="336">I1078</f>
        <v>1804.4</v>
      </c>
      <c r="J1077" s="104">
        <f t="shared" si="336"/>
        <v>1335</v>
      </c>
      <c r="K1077" s="105">
        <f t="shared" si="336"/>
        <v>48</v>
      </c>
      <c r="L1077" s="113">
        <f t="shared" si="336"/>
        <v>215709</v>
      </c>
      <c r="M1077" s="113">
        <f t="shared" si="336"/>
        <v>0</v>
      </c>
      <c r="N1077" s="113">
        <f t="shared" si="336"/>
        <v>0</v>
      </c>
      <c r="O1077" s="113">
        <f t="shared" si="336"/>
        <v>215709</v>
      </c>
      <c r="P1077" s="113">
        <f t="shared" si="336"/>
        <v>0</v>
      </c>
      <c r="Q1077" s="104" t="str">
        <f>Q1078</f>
        <v>Х</v>
      </c>
      <c r="R1077" s="104" t="str">
        <f t="shared" ref="R1077" si="337">R1078</f>
        <v>Х</v>
      </c>
      <c r="S1077" s="326">
        <v>43465</v>
      </c>
    </row>
    <row r="1078" spans="1:48" s="1" customFormat="1" ht="15.75" customHeight="1">
      <c r="A1078" s="302"/>
      <c r="B1078" s="1334" t="s">
        <v>87</v>
      </c>
      <c r="C1078" s="1334"/>
      <c r="D1078" s="1334"/>
      <c r="E1078" s="1334"/>
      <c r="F1078" s="1334"/>
      <c r="G1078" s="1334"/>
      <c r="H1078" s="127">
        <f>H1079</f>
        <v>2121.5</v>
      </c>
      <c r="I1078" s="104">
        <f t="shared" si="336"/>
        <v>1804.4</v>
      </c>
      <c r="J1078" s="104">
        <f t="shared" si="336"/>
        <v>1335</v>
      </c>
      <c r="K1078" s="105">
        <f t="shared" si="336"/>
        <v>48</v>
      </c>
      <c r="L1078" s="113">
        <f>L1079</f>
        <v>215709</v>
      </c>
      <c r="M1078" s="113">
        <f t="shared" si="336"/>
        <v>0</v>
      </c>
      <c r="N1078" s="113">
        <f t="shared" si="336"/>
        <v>0</v>
      </c>
      <c r="O1078" s="113">
        <f>L1078</f>
        <v>215709</v>
      </c>
      <c r="P1078" s="113">
        <v>0</v>
      </c>
      <c r="Q1078" s="104" t="s">
        <v>40</v>
      </c>
      <c r="R1078" s="302" t="s">
        <v>40</v>
      </c>
      <c r="S1078" s="326">
        <v>43465</v>
      </c>
    </row>
    <row r="1079" spans="1:48" s="1" customFormat="1" ht="31.5">
      <c r="A1079" s="302" t="e">
        <f>A1074+1</f>
        <v>#REF!</v>
      </c>
      <c r="B1079" s="300" t="s">
        <v>433</v>
      </c>
      <c r="C1079" s="99">
        <v>1959</v>
      </c>
      <c r="D1079" s="109"/>
      <c r="E1079" s="109" t="s">
        <v>218</v>
      </c>
      <c r="F1079" s="185" t="s">
        <v>73</v>
      </c>
      <c r="G1079" s="185" t="s">
        <v>74</v>
      </c>
      <c r="H1079" s="180">
        <v>2121.5</v>
      </c>
      <c r="I1079" s="100">
        <v>1804.4</v>
      </c>
      <c r="J1079" s="100">
        <f>1379-44</f>
        <v>1335</v>
      </c>
      <c r="K1079" s="101">
        <v>48</v>
      </c>
      <c r="L1079" s="113">
        <v>215709</v>
      </c>
      <c r="M1079" s="113">
        <v>0</v>
      </c>
      <c r="N1079" s="113">
        <v>0</v>
      </c>
      <c r="O1079" s="113">
        <f>L1079</f>
        <v>215709</v>
      </c>
      <c r="P1079" s="113">
        <v>0</v>
      </c>
      <c r="Q1079" s="100">
        <f>L1079/I1079</f>
        <v>119.54610951008645</v>
      </c>
      <c r="R1079" s="114">
        <v>6774</v>
      </c>
      <c r="S1079" s="326">
        <v>43465</v>
      </c>
    </row>
    <row r="1080" spans="1:48" s="1" customFormat="1" ht="15.75" customHeight="1">
      <c r="A1080" s="375"/>
      <c r="B1080" s="1354" t="s">
        <v>59</v>
      </c>
      <c r="C1080" s="1354"/>
      <c r="D1080" s="1354"/>
      <c r="E1080" s="1354"/>
      <c r="F1080" s="1354"/>
      <c r="G1080" s="1354"/>
      <c r="H1080" s="694">
        <f t="shared" ref="H1080:P1080" si="338">H1081+H1082</f>
        <v>0</v>
      </c>
      <c r="I1080" s="379">
        <f t="shared" si="338"/>
        <v>0</v>
      </c>
      <c r="J1080" s="379">
        <f t="shared" si="338"/>
        <v>0</v>
      </c>
      <c r="K1080" s="378">
        <f t="shared" si="338"/>
        <v>0</v>
      </c>
      <c r="L1080" s="324">
        <f t="shared" si="338"/>
        <v>0</v>
      </c>
      <c r="M1080" s="324">
        <f t="shared" si="338"/>
        <v>0</v>
      </c>
      <c r="N1080" s="324">
        <f t="shared" si="338"/>
        <v>0</v>
      </c>
      <c r="O1080" s="324">
        <f t="shared" si="338"/>
        <v>0</v>
      </c>
      <c r="P1080" s="324">
        <f t="shared" si="338"/>
        <v>0</v>
      </c>
      <c r="Q1080" s="379" t="str">
        <f>Q1081</f>
        <v>Х</v>
      </c>
      <c r="R1080" s="379" t="str">
        <f t="shared" ref="R1080" si="339">R1081</f>
        <v>Х</v>
      </c>
      <c r="S1080" s="326">
        <v>43465</v>
      </c>
    </row>
    <row r="1081" spans="1:48" s="1" customFormat="1" ht="30.6" customHeight="1">
      <c r="A1081" s="318"/>
      <c r="B1081" s="1355" t="s">
        <v>86</v>
      </c>
      <c r="C1081" s="1355"/>
      <c r="D1081" s="1355"/>
      <c r="E1081" s="1355"/>
      <c r="F1081" s="1355"/>
      <c r="G1081" s="1355"/>
      <c r="H1081" s="379">
        <v>0</v>
      </c>
      <c r="I1081" s="379">
        <v>0</v>
      </c>
      <c r="J1081" s="379">
        <v>0</v>
      </c>
      <c r="K1081" s="379">
        <v>0</v>
      </c>
      <c r="L1081" s="696">
        <v>0</v>
      </c>
      <c r="M1081" s="696">
        <v>0</v>
      </c>
      <c r="N1081" s="696">
        <v>0</v>
      </c>
      <c r="O1081" s="696">
        <v>0</v>
      </c>
      <c r="P1081" s="696">
        <v>0</v>
      </c>
      <c r="Q1081" s="379" t="s">
        <v>40</v>
      </c>
      <c r="R1081" s="375" t="s">
        <v>40</v>
      </c>
      <c r="S1081" s="326">
        <v>43465</v>
      </c>
    </row>
    <row r="1082" spans="1:48" s="1" customFormat="1" ht="24.6" customHeight="1">
      <c r="A1082" s="375"/>
      <c r="B1082" s="1355" t="s">
        <v>85</v>
      </c>
      <c r="C1082" s="1355"/>
      <c r="D1082" s="1355"/>
      <c r="E1082" s="1355"/>
      <c r="F1082" s="1355"/>
      <c r="G1082" s="1355"/>
      <c r="H1082" s="322">
        <v>0</v>
      </c>
      <c r="I1082" s="322">
        <v>0</v>
      </c>
      <c r="J1082" s="322">
        <v>0</v>
      </c>
      <c r="K1082" s="322">
        <v>0</v>
      </c>
      <c r="L1082" s="925">
        <v>0</v>
      </c>
      <c r="M1082" s="925">
        <v>0</v>
      </c>
      <c r="N1082" s="925">
        <v>0</v>
      </c>
      <c r="O1082" s="925">
        <v>0</v>
      </c>
      <c r="P1082" s="925">
        <v>0</v>
      </c>
      <c r="Q1082" s="325" t="s">
        <v>40</v>
      </c>
      <c r="R1082" s="320" t="s">
        <v>40</v>
      </c>
      <c r="S1082" s="326">
        <v>43465</v>
      </c>
    </row>
    <row r="1083" spans="1:48" s="1" customFormat="1" ht="15.75">
      <c r="A1083" s="1350" t="s">
        <v>476</v>
      </c>
      <c r="B1083" s="1351"/>
      <c r="C1083" s="1351"/>
      <c r="D1083" s="1351"/>
      <c r="E1083" s="1351"/>
      <c r="F1083" s="1351"/>
      <c r="G1083" s="1351"/>
      <c r="H1083" s="1351"/>
      <c r="I1083" s="1351"/>
      <c r="J1083" s="1351"/>
      <c r="K1083" s="1351"/>
      <c r="L1083" s="1351"/>
      <c r="M1083" s="1351"/>
      <c r="N1083" s="1351"/>
      <c r="O1083" s="1351"/>
      <c r="P1083" s="1351"/>
      <c r="Q1083" s="1351"/>
      <c r="R1083" s="1351"/>
      <c r="S1083" s="1352"/>
    </row>
    <row r="1084" spans="1:48">
      <c r="A1084" s="1332" t="s">
        <v>34</v>
      </c>
      <c r="B1084" s="1332"/>
      <c r="C1084" s="1332"/>
      <c r="D1084" s="1332"/>
      <c r="E1084" s="1332"/>
      <c r="F1084" s="1332"/>
      <c r="G1084" s="1332"/>
      <c r="H1084" s="1332"/>
      <c r="I1084" s="1332"/>
      <c r="J1084" s="1332"/>
      <c r="K1084" s="1332"/>
      <c r="L1084" s="1332"/>
      <c r="M1084" s="1332"/>
      <c r="N1084" s="1332"/>
      <c r="O1084" s="1332"/>
      <c r="P1084" s="1332"/>
      <c r="Q1084" s="1332"/>
      <c r="R1084" s="1332"/>
      <c r="S1084" s="1332"/>
    </row>
    <row r="1085" spans="1:48" ht="18.75" customHeight="1">
      <c r="A1085" s="302"/>
      <c r="B1085" s="1334" t="s">
        <v>205</v>
      </c>
      <c r="C1085" s="1334"/>
      <c r="D1085" s="1334"/>
      <c r="E1085" s="1334"/>
      <c r="F1085" s="1334"/>
      <c r="G1085" s="1334"/>
      <c r="H1085" s="104">
        <f t="shared" ref="H1085:O1085" si="340">H1086+H1255+H1267+H1269+H1295+H1308+H1322+H1331+H1338+H1341+H1360+H1364+H1379+H1383+H1386+H1391+H1403+H1414+H1426+H1434+H1466+H1471+H1476+H1487+H1490+H1507+H1501+H1510+H1519+H1522+H1527+H1533+H1538+H1545+H1557</f>
        <v>315906.74</v>
      </c>
      <c r="I1085" s="104">
        <f t="shared" si="340"/>
        <v>259539.99000000002</v>
      </c>
      <c r="J1085" s="104">
        <f t="shared" si="340"/>
        <v>233989.83999999997</v>
      </c>
      <c r="K1085" s="105">
        <f t="shared" si="340"/>
        <v>10894</v>
      </c>
      <c r="L1085" s="113">
        <f t="shared" si="340"/>
        <v>604339375.76000011</v>
      </c>
      <c r="M1085" s="113">
        <f t="shared" si="340"/>
        <v>0</v>
      </c>
      <c r="N1085" s="113">
        <f t="shared" si="340"/>
        <v>2372919.13</v>
      </c>
      <c r="O1085" s="113">
        <f t="shared" si="340"/>
        <v>601966416.62999988</v>
      </c>
      <c r="P1085" s="113">
        <f>P1086+P1255+P1267+P1269+P1295+P1308+P1322+P1331+P1338+P1341+P1360+P1364+P1379+P1383+P1386+P1391+P1403+P1414+P1426+P1434+P1466+P1471+P1476+P1487+P1490+P1507+P1501+P1510+P1519+P1522+P1527+P1538+P1545+P1557</f>
        <v>0</v>
      </c>
      <c r="Q1085" s="106" t="s">
        <v>40</v>
      </c>
      <c r="R1085" s="106" t="s">
        <v>40</v>
      </c>
      <c r="S1085" s="106" t="s">
        <v>40</v>
      </c>
    </row>
    <row r="1086" spans="1:48" s="1" customFormat="1" ht="15.75" customHeight="1">
      <c r="A1086" s="302"/>
      <c r="B1086" s="1334" t="s">
        <v>89</v>
      </c>
      <c r="C1086" s="1334"/>
      <c r="D1086" s="1334"/>
      <c r="E1086" s="1334"/>
      <c r="F1086" s="1334"/>
      <c r="G1086" s="1334"/>
      <c r="H1086" s="104">
        <f>SUM(H1087:H1254)</f>
        <v>0</v>
      </c>
      <c r="I1086" s="104">
        <f t="shared" ref="I1086" si="341">SUM(I1087:I1254)</f>
        <v>0</v>
      </c>
      <c r="J1086" s="104">
        <f>SUM(J1087:J1254)</f>
        <v>0</v>
      </c>
      <c r="K1086" s="105">
        <f>SUM(K1087:K1254)</f>
        <v>0</v>
      </c>
      <c r="L1086" s="113">
        <v>336230870.63</v>
      </c>
      <c r="M1086" s="113">
        <f t="shared" ref="M1086:N1086" si="342">SUM(M1087:M1254)</f>
        <v>0</v>
      </c>
      <c r="N1086" s="113">
        <f t="shared" si="342"/>
        <v>0</v>
      </c>
      <c r="O1086" s="113">
        <f>SUM(O1087:O1254)</f>
        <v>336230870.63</v>
      </c>
      <c r="P1086" s="113">
        <f t="shared" ref="P1086" si="343">SUM(P1087:P1254)</f>
        <v>0</v>
      </c>
      <c r="Q1086" s="106" t="s">
        <v>40</v>
      </c>
      <c r="R1086" s="106" t="s">
        <v>40</v>
      </c>
      <c r="S1086" s="106" t="s">
        <v>40</v>
      </c>
    </row>
    <row r="1087" spans="1:48" s="3" customFormat="1" ht="15.75">
      <c r="A1087" s="107">
        <v>1</v>
      </c>
      <c r="B1087" s="301" t="s">
        <v>324</v>
      </c>
      <c r="C1087" s="108">
        <v>1975</v>
      </c>
      <c r="D1087" s="108"/>
      <c r="E1087" s="109" t="s">
        <v>219</v>
      </c>
      <c r="F1087" s="110">
        <v>5</v>
      </c>
      <c r="G1087" s="110">
        <v>10</v>
      </c>
      <c r="H1087" s="111"/>
      <c r="I1087" s="111"/>
      <c r="J1087" s="111"/>
      <c r="K1087" s="112"/>
      <c r="L1087" s="113">
        <v>5982216</v>
      </c>
      <c r="M1087" s="113">
        <v>0</v>
      </c>
      <c r="N1087" s="113">
        <v>0</v>
      </c>
      <c r="O1087" s="113">
        <f t="shared" ref="O1087:O1150" si="344">L1087</f>
        <v>5982216</v>
      </c>
      <c r="P1087" s="113">
        <v>0</v>
      </c>
      <c r="Q1087" s="114" t="e">
        <f t="shared" ref="Q1087:Q1150" si="345">L1087/I1087</f>
        <v>#DIV/0!</v>
      </c>
      <c r="R1087" s="115"/>
      <c r="S1087" s="335">
        <v>43830</v>
      </c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1:48" customFormat="1" ht="15.75">
      <c r="A1088" s="107">
        <f>A1087+1</f>
        <v>2</v>
      </c>
      <c r="B1088" s="301" t="s">
        <v>325</v>
      </c>
      <c r="C1088" s="108">
        <v>1978</v>
      </c>
      <c r="D1088" s="108"/>
      <c r="E1088" s="109" t="s">
        <v>219</v>
      </c>
      <c r="F1088" s="110">
        <v>9</v>
      </c>
      <c r="G1088" s="110">
        <v>5</v>
      </c>
      <c r="H1088" s="111"/>
      <c r="I1088" s="111"/>
      <c r="J1088" s="111"/>
      <c r="K1088" s="112"/>
      <c r="L1088" s="113">
        <v>9379653</v>
      </c>
      <c r="M1088" s="113">
        <v>0</v>
      </c>
      <c r="N1088" s="113">
        <v>0</v>
      </c>
      <c r="O1088" s="113">
        <f t="shared" si="344"/>
        <v>9379653</v>
      </c>
      <c r="P1088" s="113">
        <v>0</v>
      </c>
      <c r="Q1088" s="114" t="e">
        <f t="shared" si="345"/>
        <v>#DIV/0!</v>
      </c>
      <c r="R1088" s="115"/>
      <c r="S1088" s="335">
        <v>43830</v>
      </c>
    </row>
    <row r="1089" spans="1:30" customFormat="1" ht="15.75">
      <c r="A1089" s="107">
        <f t="shared" ref="A1089:A1152" si="346">A1088+1</f>
        <v>3</v>
      </c>
      <c r="B1089" s="305" t="s">
        <v>321</v>
      </c>
      <c r="C1089" s="108">
        <v>1982</v>
      </c>
      <c r="D1089" s="108"/>
      <c r="E1089" s="109" t="s">
        <v>219</v>
      </c>
      <c r="F1089" s="110">
        <v>9</v>
      </c>
      <c r="G1089" s="110">
        <v>2</v>
      </c>
      <c r="H1089" s="111"/>
      <c r="I1089" s="111"/>
      <c r="J1089" s="111"/>
      <c r="K1089" s="112"/>
      <c r="L1089" s="113">
        <v>3763756</v>
      </c>
      <c r="M1089" s="113">
        <v>0</v>
      </c>
      <c r="N1089" s="113">
        <v>0</v>
      </c>
      <c r="O1089" s="113">
        <f t="shared" si="344"/>
        <v>3763756</v>
      </c>
      <c r="P1089" s="113">
        <v>0</v>
      </c>
      <c r="Q1089" s="114" t="e">
        <f t="shared" si="345"/>
        <v>#DIV/0!</v>
      </c>
      <c r="R1089" s="115"/>
      <c r="S1089" s="335">
        <v>43830</v>
      </c>
    </row>
    <row r="1090" spans="1:30" customFormat="1" ht="15.75">
      <c r="A1090" s="107">
        <f t="shared" si="346"/>
        <v>4</v>
      </c>
      <c r="B1090" s="305" t="s">
        <v>346</v>
      </c>
      <c r="C1090" s="108">
        <v>1982</v>
      </c>
      <c r="D1090" s="108"/>
      <c r="E1090" s="109" t="s">
        <v>219</v>
      </c>
      <c r="F1090" s="110">
        <v>9</v>
      </c>
      <c r="G1090" s="110">
        <v>1</v>
      </c>
      <c r="H1090" s="111"/>
      <c r="I1090" s="111"/>
      <c r="J1090" s="111"/>
      <c r="K1090" s="112"/>
      <c r="L1090" s="113">
        <v>1095812</v>
      </c>
      <c r="M1090" s="113">
        <v>0</v>
      </c>
      <c r="N1090" s="113">
        <v>0</v>
      </c>
      <c r="O1090" s="113">
        <f t="shared" si="344"/>
        <v>1095812</v>
      </c>
      <c r="P1090" s="113">
        <v>0</v>
      </c>
      <c r="Q1090" s="114" t="e">
        <f t="shared" si="345"/>
        <v>#DIV/0!</v>
      </c>
      <c r="R1090" s="115"/>
      <c r="S1090" s="335">
        <v>43830</v>
      </c>
    </row>
    <row r="1091" spans="1:30" customFormat="1" ht="15.75">
      <c r="A1091" s="107">
        <f t="shared" si="346"/>
        <v>5</v>
      </c>
      <c r="B1091" s="305" t="s">
        <v>322</v>
      </c>
      <c r="C1091" s="108">
        <v>1976</v>
      </c>
      <c r="D1091" s="108"/>
      <c r="E1091" s="109" t="s">
        <v>219</v>
      </c>
      <c r="F1091" s="110">
        <v>9</v>
      </c>
      <c r="G1091" s="110">
        <v>3</v>
      </c>
      <c r="H1091" s="111"/>
      <c r="I1091" s="111"/>
      <c r="J1091" s="111"/>
      <c r="K1091" s="112"/>
      <c r="L1091" s="113">
        <v>5619141</v>
      </c>
      <c r="M1091" s="113">
        <v>0</v>
      </c>
      <c r="N1091" s="113">
        <v>0</v>
      </c>
      <c r="O1091" s="113">
        <f t="shared" si="344"/>
        <v>5619141</v>
      </c>
      <c r="P1091" s="113">
        <v>0</v>
      </c>
      <c r="Q1091" s="114" t="e">
        <f t="shared" si="345"/>
        <v>#DIV/0!</v>
      </c>
      <c r="R1091" s="115"/>
      <c r="S1091" s="335">
        <v>43830</v>
      </c>
    </row>
    <row r="1092" spans="1:30" customFormat="1" ht="15.75">
      <c r="A1092" s="107">
        <f t="shared" si="346"/>
        <v>6</v>
      </c>
      <c r="B1092" s="305" t="s">
        <v>320</v>
      </c>
      <c r="C1092" s="107">
        <v>1982</v>
      </c>
      <c r="D1092" s="108"/>
      <c r="E1092" s="109" t="s">
        <v>219</v>
      </c>
      <c r="F1092" s="108">
        <v>9</v>
      </c>
      <c r="G1092" s="108">
        <v>2</v>
      </c>
      <c r="H1092" s="117"/>
      <c r="I1092" s="117"/>
      <c r="J1092" s="117"/>
      <c r="K1092" s="101"/>
      <c r="L1092" s="113">
        <v>3748388</v>
      </c>
      <c r="M1092" s="113">
        <v>0</v>
      </c>
      <c r="N1092" s="113">
        <v>0</v>
      </c>
      <c r="O1092" s="113">
        <f t="shared" si="344"/>
        <v>3748388</v>
      </c>
      <c r="P1092" s="113">
        <v>0</v>
      </c>
      <c r="Q1092" s="114" t="e">
        <f t="shared" si="345"/>
        <v>#DIV/0!</v>
      </c>
      <c r="R1092" s="115"/>
      <c r="S1092" s="335">
        <v>43830</v>
      </c>
    </row>
    <row r="1093" spans="1:30" customFormat="1" ht="15.75">
      <c r="A1093" s="107">
        <f t="shared" si="346"/>
        <v>7</v>
      </c>
      <c r="B1093" s="301" t="s">
        <v>327</v>
      </c>
      <c r="C1093" s="108">
        <v>1981</v>
      </c>
      <c r="D1093" s="108"/>
      <c r="E1093" s="109" t="s">
        <v>219</v>
      </c>
      <c r="F1093" s="110">
        <v>9</v>
      </c>
      <c r="G1093" s="110">
        <v>8</v>
      </c>
      <c r="H1093" s="111"/>
      <c r="I1093" s="111"/>
      <c r="J1093" s="111"/>
      <c r="K1093" s="112"/>
      <c r="L1093" s="113">
        <v>15157748</v>
      </c>
      <c r="M1093" s="113">
        <v>0</v>
      </c>
      <c r="N1093" s="113">
        <v>0</v>
      </c>
      <c r="O1093" s="113">
        <f t="shared" si="344"/>
        <v>15157748</v>
      </c>
      <c r="P1093" s="113">
        <v>0</v>
      </c>
      <c r="Q1093" s="114" t="e">
        <f t="shared" si="345"/>
        <v>#DIV/0!</v>
      </c>
      <c r="R1093" s="115"/>
      <c r="S1093" s="335">
        <v>43830</v>
      </c>
    </row>
    <row r="1094" spans="1:30" customFormat="1" ht="31.5">
      <c r="A1094" s="107">
        <f t="shared" si="346"/>
        <v>8</v>
      </c>
      <c r="B1094" s="301" t="s">
        <v>323</v>
      </c>
      <c r="C1094" s="108">
        <v>1954</v>
      </c>
      <c r="D1094" s="108"/>
      <c r="E1094" s="109" t="s">
        <v>218</v>
      </c>
      <c r="F1094" s="110">
        <v>2</v>
      </c>
      <c r="G1094" s="110">
        <v>2</v>
      </c>
      <c r="H1094" s="111"/>
      <c r="I1094" s="111"/>
      <c r="J1094" s="111"/>
      <c r="K1094" s="112"/>
      <c r="L1094" s="113">
        <v>1030213</v>
      </c>
      <c r="M1094" s="113">
        <v>0</v>
      </c>
      <c r="N1094" s="113">
        <v>0</v>
      </c>
      <c r="O1094" s="113">
        <f t="shared" si="344"/>
        <v>1030213</v>
      </c>
      <c r="P1094" s="113">
        <v>0</v>
      </c>
      <c r="Q1094" s="114" t="e">
        <f t="shared" si="345"/>
        <v>#DIV/0!</v>
      </c>
      <c r="R1094" s="115"/>
      <c r="S1094" s="335">
        <v>43830</v>
      </c>
    </row>
    <row r="1095" spans="1:30" customFormat="1" ht="31.5">
      <c r="A1095" s="107">
        <f t="shared" si="346"/>
        <v>9</v>
      </c>
      <c r="B1095" s="305" t="s">
        <v>319</v>
      </c>
      <c r="C1095" s="118">
        <v>1860</v>
      </c>
      <c r="D1095" s="118"/>
      <c r="E1095" s="109" t="s">
        <v>218</v>
      </c>
      <c r="F1095" s="118">
        <v>3</v>
      </c>
      <c r="G1095" s="118">
        <v>1</v>
      </c>
      <c r="H1095" s="118"/>
      <c r="I1095" s="118"/>
      <c r="J1095" s="118"/>
      <c r="K1095" s="119"/>
      <c r="L1095" s="113">
        <v>530465</v>
      </c>
      <c r="M1095" s="113">
        <v>0</v>
      </c>
      <c r="N1095" s="113">
        <v>0</v>
      </c>
      <c r="O1095" s="113">
        <f t="shared" si="344"/>
        <v>530465</v>
      </c>
      <c r="P1095" s="113">
        <v>0</v>
      </c>
      <c r="Q1095" s="114" t="e">
        <f t="shared" si="345"/>
        <v>#DIV/0!</v>
      </c>
      <c r="R1095" s="115"/>
      <c r="S1095" s="335">
        <v>43830</v>
      </c>
    </row>
    <row r="1096" spans="1:30" customFormat="1" ht="31.5">
      <c r="A1096" s="107">
        <f t="shared" si="346"/>
        <v>10</v>
      </c>
      <c r="B1096" s="305" t="s">
        <v>326</v>
      </c>
      <c r="C1096" s="108">
        <v>1958</v>
      </c>
      <c r="D1096" s="108"/>
      <c r="E1096" s="109" t="s">
        <v>218</v>
      </c>
      <c r="F1096" s="110">
        <v>2</v>
      </c>
      <c r="G1096" s="110">
        <v>2</v>
      </c>
      <c r="H1096" s="111"/>
      <c r="I1096" s="111"/>
      <c r="J1096" s="111"/>
      <c r="K1096" s="112"/>
      <c r="L1096" s="113">
        <v>1983854</v>
      </c>
      <c r="M1096" s="113">
        <v>0</v>
      </c>
      <c r="N1096" s="113">
        <v>0</v>
      </c>
      <c r="O1096" s="113">
        <f t="shared" si="344"/>
        <v>1983854</v>
      </c>
      <c r="P1096" s="113">
        <v>0</v>
      </c>
      <c r="Q1096" s="114" t="e">
        <f t="shared" si="345"/>
        <v>#DIV/0!</v>
      </c>
      <c r="R1096" s="115"/>
      <c r="S1096" s="335">
        <v>43830</v>
      </c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</row>
    <row r="1097" spans="1:30" customFormat="1" ht="31.5">
      <c r="A1097" s="107">
        <f t="shared" si="346"/>
        <v>11</v>
      </c>
      <c r="B1097" s="305" t="s">
        <v>388</v>
      </c>
      <c r="C1097" s="108">
        <v>1961</v>
      </c>
      <c r="D1097" s="108"/>
      <c r="E1097" s="109" t="s">
        <v>218</v>
      </c>
      <c r="F1097" s="110">
        <v>5</v>
      </c>
      <c r="G1097" s="110">
        <v>2</v>
      </c>
      <c r="H1097" s="111"/>
      <c r="I1097" s="111"/>
      <c r="J1097" s="111"/>
      <c r="K1097" s="112"/>
      <c r="L1097" s="113">
        <v>1206304</v>
      </c>
      <c r="M1097" s="113">
        <v>0</v>
      </c>
      <c r="N1097" s="113">
        <v>0</v>
      </c>
      <c r="O1097" s="113">
        <f t="shared" si="344"/>
        <v>1206304</v>
      </c>
      <c r="P1097" s="113">
        <v>0</v>
      </c>
      <c r="Q1097" s="114" t="e">
        <f t="shared" si="345"/>
        <v>#DIV/0!</v>
      </c>
      <c r="R1097" s="115"/>
      <c r="S1097" s="335">
        <v>43830</v>
      </c>
    </row>
    <row r="1098" spans="1:30" customFormat="1" ht="31.5">
      <c r="A1098" s="107">
        <f t="shared" si="346"/>
        <v>12</v>
      </c>
      <c r="B1098" s="301" t="s">
        <v>419</v>
      </c>
      <c r="C1098" s="108">
        <v>1961</v>
      </c>
      <c r="D1098" s="116"/>
      <c r="E1098" s="109" t="s">
        <v>218</v>
      </c>
      <c r="F1098" s="110">
        <v>5</v>
      </c>
      <c r="G1098" s="110">
        <v>3</v>
      </c>
      <c r="H1098" s="111"/>
      <c r="I1098" s="111"/>
      <c r="J1098" s="111"/>
      <c r="K1098" s="112"/>
      <c r="L1098" s="113">
        <v>402530.2</v>
      </c>
      <c r="M1098" s="113">
        <v>0</v>
      </c>
      <c r="N1098" s="113">
        <v>0</v>
      </c>
      <c r="O1098" s="113">
        <f t="shared" si="344"/>
        <v>402530.2</v>
      </c>
      <c r="P1098" s="113">
        <v>0</v>
      </c>
      <c r="Q1098" s="114" t="e">
        <f t="shared" si="345"/>
        <v>#DIV/0!</v>
      </c>
      <c r="R1098" s="115"/>
      <c r="S1098" s="335">
        <v>43830</v>
      </c>
      <c r="T1098" s="62"/>
      <c r="U1098" s="62"/>
      <c r="V1098" s="62"/>
      <c r="W1098" s="62"/>
      <c r="X1098" s="62"/>
      <c r="Y1098" s="62"/>
      <c r="Z1098" s="62"/>
      <c r="AA1098" s="62"/>
      <c r="AB1098" s="62"/>
      <c r="AC1098" s="62"/>
      <c r="AD1098" s="62"/>
    </row>
    <row r="1099" spans="1:30" customFormat="1" ht="31.5">
      <c r="A1099" s="107">
        <f t="shared" si="346"/>
        <v>13</v>
      </c>
      <c r="B1099" s="301" t="s">
        <v>387</v>
      </c>
      <c r="C1099" s="118">
        <v>1967</v>
      </c>
      <c r="D1099" s="118"/>
      <c r="E1099" s="109" t="s">
        <v>218</v>
      </c>
      <c r="F1099" s="118">
        <v>5</v>
      </c>
      <c r="G1099" s="118">
        <v>8</v>
      </c>
      <c r="H1099" s="111"/>
      <c r="I1099" s="111"/>
      <c r="J1099" s="111"/>
      <c r="K1099" s="112"/>
      <c r="L1099" s="113">
        <v>2861497</v>
      </c>
      <c r="M1099" s="113">
        <v>0</v>
      </c>
      <c r="N1099" s="113">
        <v>0</v>
      </c>
      <c r="O1099" s="113">
        <f t="shared" si="344"/>
        <v>2861497</v>
      </c>
      <c r="P1099" s="113">
        <v>0</v>
      </c>
      <c r="Q1099" s="114" t="e">
        <f t="shared" si="345"/>
        <v>#DIV/0!</v>
      </c>
      <c r="R1099" s="115"/>
      <c r="S1099" s="335">
        <v>43830</v>
      </c>
    </row>
    <row r="1100" spans="1:30" customFormat="1" ht="15.75">
      <c r="A1100" s="107">
        <f t="shared" si="346"/>
        <v>14</v>
      </c>
      <c r="B1100" s="305" t="s">
        <v>334</v>
      </c>
      <c r="C1100" s="108">
        <v>1974</v>
      </c>
      <c r="D1100" s="108"/>
      <c r="E1100" s="109" t="s">
        <v>219</v>
      </c>
      <c r="F1100" s="110">
        <v>5</v>
      </c>
      <c r="G1100" s="110">
        <v>4</v>
      </c>
      <c r="H1100" s="111"/>
      <c r="I1100" s="111"/>
      <c r="J1100" s="111"/>
      <c r="K1100" s="112"/>
      <c r="L1100" s="113">
        <v>1535065.47</v>
      </c>
      <c r="M1100" s="113">
        <v>0</v>
      </c>
      <c r="N1100" s="113">
        <v>0</v>
      </c>
      <c r="O1100" s="113">
        <f t="shared" si="344"/>
        <v>1535065.47</v>
      </c>
      <c r="P1100" s="113">
        <v>0</v>
      </c>
      <c r="Q1100" s="114" t="e">
        <f t="shared" si="345"/>
        <v>#DIV/0!</v>
      </c>
      <c r="R1100" s="115"/>
      <c r="S1100" s="335">
        <v>43830</v>
      </c>
    </row>
    <row r="1101" spans="1:30" customFormat="1" ht="15.75">
      <c r="A1101" s="107">
        <f t="shared" si="346"/>
        <v>15</v>
      </c>
      <c r="B1101" s="305" t="s">
        <v>330</v>
      </c>
      <c r="C1101" s="118">
        <v>1966</v>
      </c>
      <c r="D1101" s="118"/>
      <c r="E1101" s="109" t="s">
        <v>219</v>
      </c>
      <c r="F1101" s="118">
        <v>5</v>
      </c>
      <c r="G1101" s="118">
        <v>4</v>
      </c>
      <c r="H1101" s="111"/>
      <c r="I1101" s="111"/>
      <c r="J1101" s="111"/>
      <c r="K1101" s="112"/>
      <c r="L1101" s="113">
        <v>930534</v>
      </c>
      <c r="M1101" s="113">
        <v>0</v>
      </c>
      <c r="N1101" s="113">
        <v>0</v>
      </c>
      <c r="O1101" s="113">
        <f t="shared" si="344"/>
        <v>930534</v>
      </c>
      <c r="P1101" s="113">
        <v>0</v>
      </c>
      <c r="Q1101" s="114" t="e">
        <f t="shared" si="345"/>
        <v>#DIV/0!</v>
      </c>
      <c r="R1101" s="115"/>
      <c r="S1101" s="335">
        <v>43830</v>
      </c>
    </row>
    <row r="1102" spans="1:30" customFormat="1" ht="15.75">
      <c r="A1102" s="107">
        <f t="shared" si="346"/>
        <v>16</v>
      </c>
      <c r="B1102" s="305" t="s">
        <v>328</v>
      </c>
      <c r="C1102" s="118">
        <v>1970</v>
      </c>
      <c r="D1102" s="118"/>
      <c r="E1102" s="109" t="s">
        <v>219</v>
      </c>
      <c r="F1102" s="118">
        <v>5</v>
      </c>
      <c r="G1102" s="118">
        <v>4</v>
      </c>
      <c r="H1102" s="111"/>
      <c r="I1102" s="111"/>
      <c r="J1102" s="111"/>
      <c r="K1102" s="112"/>
      <c r="L1102" s="113">
        <v>662518</v>
      </c>
      <c r="M1102" s="113">
        <v>0</v>
      </c>
      <c r="N1102" s="113">
        <v>0</v>
      </c>
      <c r="O1102" s="113">
        <f t="shared" si="344"/>
        <v>662518</v>
      </c>
      <c r="P1102" s="113">
        <v>0</v>
      </c>
      <c r="Q1102" s="114" t="e">
        <f t="shared" si="345"/>
        <v>#DIV/0!</v>
      </c>
      <c r="R1102" s="115"/>
      <c r="S1102" s="335">
        <v>43830</v>
      </c>
    </row>
    <row r="1103" spans="1:30" customFormat="1" ht="31.5">
      <c r="A1103" s="107">
        <f t="shared" si="346"/>
        <v>17</v>
      </c>
      <c r="B1103" s="305" t="s">
        <v>333</v>
      </c>
      <c r="C1103" s="108">
        <v>1979</v>
      </c>
      <c r="D1103" s="108"/>
      <c r="E1103" s="109" t="s">
        <v>218</v>
      </c>
      <c r="F1103" s="110">
        <v>5</v>
      </c>
      <c r="G1103" s="110">
        <v>4</v>
      </c>
      <c r="H1103" s="111"/>
      <c r="I1103" s="111"/>
      <c r="J1103" s="111"/>
      <c r="K1103" s="112"/>
      <c r="L1103" s="113">
        <v>2346663</v>
      </c>
      <c r="M1103" s="113">
        <v>0</v>
      </c>
      <c r="N1103" s="113">
        <v>0</v>
      </c>
      <c r="O1103" s="113">
        <f t="shared" si="344"/>
        <v>2346663</v>
      </c>
      <c r="P1103" s="113">
        <v>0</v>
      </c>
      <c r="Q1103" s="114" t="e">
        <f t="shared" si="345"/>
        <v>#DIV/0!</v>
      </c>
      <c r="R1103" s="115"/>
      <c r="S1103" s="335">
        <v>43830</v>
      </c>
    </row>
    <row r="1104" spans="1:30" customFormat="1" ht="15.75">
      <c r="A1104" s="107">
        <f t="shared" si="346"/>
        <v>18</v>
      </c>
      <c r="B1104" s="305" t="s">
        <v>331</v>
      </c>
      <c r="C1104" s="118">
        <v>1972</v>
      </c>
      <c r="D1104" s="118"/>
      <c r="E1104" s="109" t="s">
        <v>219</v>
      </c>
      <c r="F1104" s="118">
        <v>5</v>
      </c>
      <c r="G1104" s="118">
        <v>4</v>
      </c>
      <c r="H1104" s="111"/>
      <c r="I1104" s="111"/>
      <c r="J1104" s="111"/>
      <c r="K1104" s="112"/>
      <c r="L1104" s="113">
        <v>727019</v>
      </c>
      <c r="M1104" s="113">
        <v>0</v>
      </c>
      <c r="N1104" s="113">
        <v>0</v>
      </c>
      <c r="O1104" s="113">
        <f t="shared" si="344"/>
        <v>727019</v>
      </c>
      <c r="P1104" s="113">
        <v>0</v>
      </c>
      <c r="Q1104" s="114" t="e">
        <f t="shared" si="345"/>
        <v>#DIV/0!</v>
      </c>
      <c r="R1104" s="115"/>
      <c r="S1104" s="335">
        <v>43830</v>
      </c>
    </row>
    <row r="1105" spans="1:19" customFormat="1" ht="31.5">
      <c r="A1105" s="107">
        <f t="shared" si="346"/>
        <v>19</v>
      </c>
      <c r="B1105" s="305" t="s">
        <v>329</v>
      </c>
      <c r="C1105" s="118">
        <v>1963</v>
      </c>
      <c r="D1105" s="118"/>
      <c r="E1105" s="109" t="s">
        <v>218</v>
      </c>
      <c r="F1105" s="118">
        <v>4</v>
      </c>
      <c r="G1105" s="118">
        <v>3</v>
      </c>
      <c r="H1105" s="118"/>
      <c r="I1105" s="118"/>
      <c r="J1105" s="118"/>
      <c r="K1105" s="119"/>
      <c r="L1105" s="113">
        <v>538121</v>
      </c>
      <c r="M1105" s="113">
        <v>0</v>
      </c>
      <c r="N1105" s="113">
        <v>0</v>
      </c>
      <c r="O1105" s="113">
        <f t="shared" si="344"/>
        <v>538121</v>
      </c>
      <c r="P1105" s="113">
        <v>0</v>
      </c>
      <c r="Q1105" s="114" t="e">
        <f t="shared" si="345"/>
        <v>#DIV/0!</v>
      </c>
      <c r="R1105" s="115"/>
      <c r="S1105" s="335">
        <v>43830</v>
      </c>
    </row>
    <row r="1106" spans="1:19" customFormat="1" ht="31.5">
      <c r="A1106" s="107">
        <f t="shared" si="346"/>
        <v>20</v>
      </c>
      <c r="B1106" s="305" t="s">
        <v>332</v>
      </c>
      <c r="C1106" s="118">
        <v>1963</v>
      </c>
      <c r="D1106" s="118"/>
      <c r="E1106" s="109" t="s">
        <v>218</v>
      </c>
      <c r="F1106" s="118">
        <v>4</v>
      </c>
      <c r="G1106" s="118">
        <v>3</v>
      </c>
      <c r="H1106" s="118"/>
      <c r="I1106" s="118"/>
      <c r="J1106" s="118"/>
      <c r="K1106" s="119"/>
      <c r="L1106" s="113">
        <v>1756852</v>
      </c>
      <c r="M1106" s="113">
        <v>0</v>
      </c>
      <c r="N1106" s="113">
        <v>0</v>
      </c>
      <c r="O1106" s="113">
        <f t="shared" si="344"/>
        <v>1756852</v>
      </c>
      <c r="P1106" s="113">
        <v>0</v>
      </c>
      <c r="Q1106" s="114" t="e">
        <f t="shared" si="345"/>
        <v>#DIV/0!</v>
      </c>
      <c r="R1106" s="115"/>
      <c r="S1106" s="335">
        <v>43830</v>
      </c>
    </row>
    <row r="1107" spans="1:19" customFormat="1" ht="15.75">
      <c r="A1107" s="107">
        <f t="shared" si="346"/>
        <v>21</v>
      </c>
      <c r="B1107" s="305" t="s">
        <v>316</v>
      </c>
      <c r="C1107" s="108">
        <v>1974</v>
      </c>
      <c r="D1107" s="108"/>
      <c r="E1107" s="109" t="s">
        <v>219</v>
      </c>
      <c r="F1107" s="110">
        <v>5</v>
      </c>
      <c r="G1107" s="110">
        <v>4</v>
      </c>
      <c r="H1107" s="111"/>
      <c r="I1107" s="111"/>
      <c r="J1107" s="111"/>
      <c r="K1107" s="112"/>
      <c r="L1107" s="113">
        <v>676398.28</v>
      </c>
      <c r="M1107" s="113">
        <v>0</v>
      </c>
      <c r="N1107" s="113">
        <v>0</v>
      </c>
      <c r="O1107" s="113">
        <f t="shared" si="344"/>
        <v>676398.28</v>
      </c>
      <c r="P1107" s="113">
        <v>0</v>
      </c>
      <c r="Q1107" s="114" t="e">
        <f t="shared" si="345"/>
        <v>#DIV/0!</v>
      </c>
      <c r="R1107" s="115"/>
      <c r="S1107" s="335">
        <v>43830</v>
      </c>
    </row>
    <row r="1108" spans="1:19" customFormat="1" ht="31.5">
      <c r="A1108" s="107">
        <f t="shared" si="346"/>
        <v>22</v>
      </c>
      <c r="B1108" s="301" t="s">
        <v>313</v>
      </c>
      <c r="C1108" s="108">
        <v>1951</v>
      </c>
      <c r="D1108" s="108"/>
      <c r="E1108" s="109" t="s">
        <v>218</v>
      </c>
      <c r="F1108" s="110">
        <v>2</v>
      </c>
      <c r="G1108" s="110">
        <v>1</v>
      </c>
      <c r="H1108" s="111"/>
      <c r="I1108" s="111"/>
      <c r="J1108" s="111"/>
      <c r="K1108" s="112"/>
      <c r="L1108" s="113">
        <v>766539</v>
      </c>
      <c r="M1108" s="113">
        <v>0</v>
      </c>
      <c r="N1108" s="113">
        <v>0</v>
      </c>
      <c r="O1108" s="113">
        <f t="shared" si="344"/>
        <v>766539</v>
      </c>
      <c r="P1108" s="113">
        <v>0</v>
      </c>
      <c r="Q1108" s="114" t="e">
        <f t="shared" si="345"/>
        <v>#DIV/0!</v>
      </c>
      <c r="R1108" s="115"/>
      <c r="S1108" s="335">
        <v>43830</v>
      </c>
    </row>
    <row r="1109" spans="1:19" customFormat="1" ht="31.5">
      <c r="A1109" s="107">
        <f t="shared" si="346"/>
        <v>23</v>
      </c>
      <c r="B1109" s="305" t="s">
        <v>312</v>
      </c>
      <c r="C1109" s="118">
        <v>1983</v>
      </c>
      <c r="D1109" s="118"/>
      <c r="E1109" s="109" t="s">
        <v>218</v>
      </c>
      <c r="F1109" s="118">
        <v>9</v>
      </c>
      <c r="G1109" s="118">
        <v>2</v>
      </c>
      <c r="H1109" s="118"/>
      <c r="I1109" s="118"/>
      <c r="J1109" s="118"/>
      <c r="K1109" s="119"/>
      <c r="L1109" s="113">
        <v>1186114</v>
      </c>
      <c r="M1109" s="113">
        <v>0</v>
      </c>
      <c r="N1109" s="113">
        <v>0</v>
      </c>
      <c r="O1109" s="113">
        <f t="shared" si="344"/>
        <v>1186114</v>
      </c>
      <c r="P1109" s="113">
        <v>0</v>
      </c>
      <c r="Q1109" s="114" t="e">
        <f t="shared" si="345"/>
        <v>#DIV/0!</v>
      </c>
      <c r="R1109" s="115"/>
      <c r="S1109" s="335">
        <v>43830</v>
      </c>
    </row>
    <row r="1110" spans="1:19" customFormat="1" ht="31.5">
      <c r="A1110" s="107">
        <f t="shared" si="346"/>
        <v>24</v>
      </c>
      <c r="B1110" s="301" t="s">
        <v>311</v>
      </c>
      <c r="C1110" s="118">
        <v>1958</v>
      </c>
      <c r="D1110" s="118"/>
      <c r="E1110" s="109" t="s">
        <v>218</v>
      </c>
      <c r="F1110" s="118">
        <v>3</v>
      </c>
      <c r="G1110" s="118">
        <v>2</v>
      </c>
      <c r="H1110" s="118"/>
      <c r="I1110" s="118"/>
      <c r="J1110" s="118"/>
      <c r="K1110" s="119"/>
      <c r="L1110" s="113">
        <v>178272.59</v>
      </c>
      <c r="M1110" s="113">
        <v>0</v>
      </c>
      <c r="N1110" s="113">
        <v>0</v>
      </c>
      <c r="O1110" s="113">
        <f t="shared" si="344"/>
        <v>178272.59</v>
      </c>
      <c r="P1110" s="113">
        <v>0</v>
      </c>
      <c r="Q1110" s="114" t="e">
        <f t="shared" si="345"/>
        <v>#DIV/0!</v>
      </c>
      <c r="R1110" s="115"/>
      <c r="S1110" s="335">
        <v>43830</v>
      </c>
    </row>
    <row r="1111" spans="1:19" customFormat="1" ht="31.5">
      <c r="A1111" s="107">
        <f t="shared" si="346"/>
        <v>25</v>
      </c>
      <c r="B1111" s="305" t="s">
        <v>315</v>
      </c>
      <c r="C1111" s="108">
        <v>1963</v>
      </c>
      <c r="D1111" s="108"/>
      <c r="E1111" s="109" t="s">
        <v>218</v>
      </c>
      <c r="F1111" s="110">
        <v>4</v>
      </c>
      <c r="G1111" s="110">
        <v>2</v>
      </c>
      <c r="H1111" s="111"/>
      <c r="I1111" s="111"/>
      <c r="J1111" s="111"/>
      <c r="K1111" s="112"/>
      <c r="L1111" s="113">
        <v>1087116</v>
      </c>
      <c r="M1111" s="113">
        <v>0</v>
      </c>
      <c r="N1111" s="113">
        <v>0</v>
      </c>
      <c r="O1111" s="113">
        <f t="shared" si="344"/>
        <v>1087116</v>
      </c>
      <c r="P1111" s="113">
        <v>0</v>
      </c>
      <c r="Q1111" s="114" t="e">
        <f t="shared" si="345"/>
        <v>#DIV/0!</v>
      </c>
      <c r="R1111" s="115"/>
      <c r="S1111" s="335">
        <v>43830</v>
      </c>
    </row>
    <row r="1112" spans="1:19" customFormat="1" ht="31.5">
      <c r="A1112" s="107">
        <f t="shared" si="346"/>
        <v>26</v>
      </c>
      <c r="B1112" s="305" t="s">
        <v>351</v>
      </c>
      <c r="C1112" s="108">
        <v>1984</v>
      </c>
      <c r="D1112" s="108"/>
      <c r="E1112" s="109" t="s">
        <v>218</v>
      </c>
      <c r="F1112" s="110">
        <v>9</v>
      </c>
      <c r="G1112" s="110">
        <v>2</v>
      </c>
      <c r="H1112" s="111"/>
      <c r="I1112" s="111"/>
      <c r="J1112" s="111"/>
      <c r="K1112" s="112"/>
      <c r="L1112" s="113">
        <v>1411363</v>
      </c>
      <c r="M1112" s="113">
        <v>0</v>
      </c>
      <c r="N1112" s="113">
        <v>0</v>
      </c>
      <c r="O1112" s="113">
        <f t="shared" si="344"/>
        <v>1411363</v>
      </c>
      <c r="P1112" s="113">
        <v>0</v>
      </c>
      <c r="Q1112" s="114" t="e">
        <f t="shared" si="345"/>
        <v>#DIV/0!</v>
      </c>
      <c r="R1112" s="115"/>
      <c r="S1112" s="335">
        <v>43830</v>
      </c>
    </row>
    <row r="1113" spans="1:19" customFormat="1" ht="31.5">
      <c r="A1113" s="107">
        <f t="shared" si="346"/>
        <v>27</v>
      </c>
      <c r="B1113" s="305" t="s">
        <v>314</v>
      </c>
      <c r="C1113" s="108">
        <v>1964</v>
      </c>
      <c r="D1113" s="108"/>
      <c r="E1113" s="109" t="s">
        <v>218</v>
      </c>
      <c r="F1113" s="110">
        <v>4</v>
      </c>
      <c r="G1113" s="110">
        <v>2</v>
      </c>
      <c r="H1113" s="111"/>
      <c r="I1113" s="111"/>
      <c r="J1113" s="111"/>
      <c r="K1113" s="112"/>
      <c r="L1113" s="113">
        <v>1136666</v>
      </c>
      <c r="M1113" s="113">
        <v>0</v>
      </c>
      <c r="N1113" s="113">
        <v>0</v>
      </c>
      <c r="O1113" s="113">
        <f t="shared" si="344"/>
        <v>1136666</v>
      </c>
      <c r="P1113" s="113">
        <v>0</v>
      </c>
      <c r="Q1113" s="114" t="e">
        <f t="shared" si="345"/>
        <v>#DIV/0!</v>
      </c>
      <c r="R1113" s="115"/>
      <c r="S1113" s="335">
        <v>43830</v>
      </c>
    </row>
    <row r="1114" spans="1:19" customFormat="1" ht="31.5">
      <c r="A1114" s="107">
        <f t="shared" si="346"/>
        <v>28</v>
      </c>
      <c r="B1114" s="305" t="s">
        <v>369</v>
      </c>
      <c r="C1114" s="118">
        <v>1959</v>
      </c>
      <c r="D1114" s="118"/>
      <c r="E1114" s="109" t="s">
        <v>218</v>
      </c>
      <c r="F1114" s="118">
        <v>4</v>
      </c>
      <c r="G1114" s="118">
        <v>6</v>
      </c>
      <c r="H1114" s="118"/>
      <c r="I1114" s="118"/>
      <c r="J1114" s="118"/>
      <c r="K1114" s="119"/>
      <c r="L1114" s="113">
        <v>1385674</v>
      </c>
      <c r="M1114" s="113">
        <v>0</v>
      </c>
      <c r="N1114" s="113">
        <v>0</v>
      </c>
      <c r="O1114" s="113">
        <f t="shared" si="344"/>
        <v>1385674</v>
      </c>
      <c r="P1114" s="113">
        <v>0</v>
      </c>
      <c r="Q1114" s="114" t="e">
        <f t="shared" si="345"/>
        <v>#DIV/0!</v>
      </c>
      <c r="R1114" s="115"/>
      <c r="S1114" s="335">
        <v>43830</v>
      </c>
    </row>
    <row r="1115" spans="1:19" customFormat="1" ht="31.5">
      <c r="A1115" s="107">
        <f t="shared" si="346"/>
        <v>29</v>
      </c>
      <c r="B1115" s="305" t="s">
        <v>370</v>
      </c>
      <c r="C1115" s="118">
        <v>1937</v>
      </c>
      <c r="D1115" s="118"/>
      <c r="E1115" s="109" t="s">
        <v>218</v>
      </c>
      <c r="F1115" s="118">
        <v>4</v>
      </c>
      <c r="G1115" s="118">
        <v>9</v>
      </c>
      <c r="H1115" s="118"/>
      <c r="I1115" s="118"/>
      <c r="J1115" s="118"/>
      <c r="K1115" s="119"/>
      <c r="L1115" s="113">
        <v>4619990</v>
      </c>
      <c r="M1115" s="113">
        <v>0</v>
      </c>
      <c r="N1115" s="113">
        <v>0</v>
      </c>
      <c r="O1115" s="113">
        <f t="shared" si="344"/>
        <v>4619990</v>
      </c>
      <c r="P1115" s="113">
        <v>0</v>
      </c>
      <c r="Q1115" s="114" t="e">
        <f t="shared" si="345"/>
        <v>#DIV/0!</v>
      </c>
      <c r="R1115" s="115"/>
      <c r="S1115" s="335">
        <v>43830</v>
      </c>
    </row>
    <row r="1116" spans="1:19" customFormat="1" ht="31.5">
      <c r="A1116" s="107">
        <f t="shared" si="346"/>
        <v>30</v>
      </c>
      <c r="B1116" s="305" t="s">
        <v>373</v>
      </c>
      <c r="C1116" s="118">
        <v>1960</v>
      </c>
      <c r="D1116" s="118"/>
      <c r="E1116" s="109" t="s">
        <v>218</v>
      </c>
      <c r="F1116" s="118">
        <v>4</v>
      </c>
      <c r="G1116" s="118">
        <v>3</v>
      </c>
      <c r="H1116" s="118"/>
      <c r="I1116" s="118"/>
      <c r="J1116" s="118"/>
      <c r="K1116" s="119"/>
      <c r="L1116" s="113">
        <v>1865304</v>
      </c>
      <c r="M1116" s="113">
        <v>0</v>
      </c>
      <c r="N1116" s="113">
        <v>0</v>
      </c>
      <c r="O1116" s="113">
        <f t="shared" si="344"/>
        <v>1865304</v>
      </c>
      <c r="P1116" s="113">
        <v>0</v>
      </c>
      <c r="Q1116" s="114" t="e">
        <f t="shared" si="345"/>
        <v>#DIV/0!</v>
      </c>
      <c r="R1116" s="115"/>
      <c r="S1116" s="335">
        <v>43830</v>
      </c>
    </row>
    <row r="1117" spans="1:19" customFormat="1" ht="31.5">
      <c r="A1117" s="107">
        <f t="shared" si="346"/>
        <v>31</v>
      </c>
      <c r="B1117" s="305" t="s">
        <v>381</v>
      </c>
      <c r="C1117" s="108">
        <v>1961</v>
      </c>
      <c r="D1117" s="108"/>
      <c r="E1117" s="109" t="s">
        <v>218</v>
      </c>
      <c r="F1117" s="110">
        <v>5</v>
      </c>
      <c r="G1117" s="110">
        <v>4</v>
      </c>
      <c r="H1117" s="111"/>
      <c r="I1117" s="111"/>
      <c r="J1117" s="111"/>
      <c r="K1117" s="112"/>
      <c r="L1117" s="113">
        <v>1870910</v>
      </c>
      <c r="M1117" s="113">
        <v>0</v>
      </c>
      <c r="N1117" s="113">
        <v>0</v>
      </c>
      <c r="O1117" s="113">
        <f t="shared" si="344"/>
        <v>1870910</v>
      </c>
      <c r="P1117" s="113">
        <v>0</v>
      </c>
      <c r="Q1117" s="114" t="e">
        <f t="shared" si="345"/>
        <v>#DIV/0!</v>
      </c>
      <c r="R1117" s="115"/>
      <c r="S1117" s="335">
        <v>43830</v>
      </c>
    </row>
    <row r="1118" spans="1:19" customFormat="1" ht="31.5">
      <c r="A1118" s="107">
        <f t="shared" si="346"/>
        <v>32</v>
      </c>
      <c r="B1118" s="305" t="s">
        <v>382</v>
      </c>
      <c r="C1118" s="108">
        <v>1960</v>
      </c>
      <c r="D1118" s="108"/>
      <c r="E1118" s="109" t="s">
        <v>218</v>
      </c>
      <c r="F1118" s="110">
        <v>5</v>
      </c>
      <c r="G1118" s="110">
        <v>4</v>
      </c>
      <c r="H1118" s="111"/>
      <c r="I1118" s="111"/>
      <c r="J1118" s="111"/>
      <c r="K1118" s="112"/>
      <c r="L1118" s="113">
        <v>1533757</v>
      </c>
      <c r="M1118" s="113">
        <v>0</v>
      </c>
      <c r="N1118" s="113">
        <v>0</v>
      </c>
      <c r="O1118" s="113">
        <f t="shared" si="344"/>
        <v>1533757</v>
      </c>
      <c r="P1118" s="113">
        <v>0</v>
      </c>
      <c r="Q1118" s="114" t="e">
        <f t="shared" si="345"/>
        <v>#DIV/0!</v>
      </c>
      <c r="R1118" s="115"/>
      <c r="S1118" s="335">
        <v>43830</v>
      </c>
    </row>
    <row r="1119" spans="1:19" customFormat="1" ht="31.5">
      <c r="A1119" s="107">
        <f t="shared" si="346"/>
        <v>33</v>
      </c>
      <c r="B1119" s="305" t="s">
        <v>371</v>
      </c>
      <c r="C1119" s="118">
        <v>1960</v>
      </c>
      <c r="D1119" s="118"/>
      <c r="E1119" s="109" t="s">
        <v>218</v>
      </c>
      <c r="F1119" s="118">
        <v>5</v>
      </c>
      <c r="G1119" s="118">
        <v>4</v>
      </c>
      <c r="H1119" s="118"/>
      <c r="I1119" s="118"/>
      <c r="J1119" s="118"/>
      <c r="K1119" s="119"/>
      <c r="L1119" s="113">
        <v>939858</v>
      </c>
      <c r="M1119" s="113">
        <v>0</v>
      </c>
      <c r="N1119" s="113">
        <v>0</v>
      </c>
      <c r="O1119" s="113">
        <f t="shared" si="344"/>
        <v>939858</v>
      </c>
      <c r="P1119" s="113">
        <v>0</v>
      </c>
      <c r="Q1119" s="114" t="e">
        <f t="shared" si="345"/>
        <v>#DIV/0!</v>
      </c>
      <c r="R1119" s="115"/>
      <c r="S1119" s="335">
        <v>43830</v>
      </c>
    </row>
    <row r="1120" spans="1:19" customFormat="1" ht="15.75">
      <c r="A1120" s="107">
        <f t="shared" si="346"/>
        <v>34</v>
      </c>
      <c r="B1120" s="301" t="s">
        <v>377</v>
      </c>
      <c r="C1120" s="108">
        <v>1973</v>
      </c>
      <c r="D1120" s="108"/>
      <c r="E1120" s="109" t="s">
        <v>219</v>
      </c>
      <c r="F1120" s="110">
        <v>5</v>
      </c>
      <c r="G1120" s="110">
        <v>6</v>
      </c>
      <c r="H1120" s="111"/>
      <c r="I1120" s="111"/>
      <c r="J1120" s="111"/>
      <c r="K1120" s="112"/>
      <c r="L1120" s="113">
        <v>2368392</v>
      </c>
      <c r="M1120" s="113">
        <v>0</v>
      </c>
      <c r="N1120" s="113">
        <v>0</v>
      </c>
      <c r="O1120" s="113">
        <f t="shared" si="344"/>
        <v>2368392</v>
      </c>
      <c r="P1120" s="113">
        <v>0</v>
      </c>
      <c r="Q1120" s="114" t="e">
        <f t="shared" si="345"/>
        <v>#DIV/0!</v>
      </c>
      <c r="R1120" s="115"/>
      <c r="S1120" s="335">
        <v>43830</v>
      </c>
    </row>
    <row r="1121" spans="1:48" customFormat="1" ht="31.5">
      <c r="A1121" s="107">
        <f t="shared" si="346"/>
        <v>35</v>
      </c>
      <c r="B1121" s="301" t="s">
        <v>378</v>
      </c>
      <c r="C1121" s="108">
        <v>1961</v>
      </c>
      <c r="D1121" s="108"/>
      <c r="E1121" s="109" t="s">
        <v>218</v>
      </c>
      <c r="F1121" s="110">
        <v>5</v>
      </c>
      <c r="G1121" s="110">
        <v>2</v>
      </c>
      <c r="H1121" s="111"/>
      <c r="I1121" s="111"/>
      <c r="J1121" s="111"/>
      <c r="K1121" s="112"/>
      <c r="L1121" s="113">
        <v>2433930.91</v>
      </c>
      <c r="M1121" s="113">
        <v>0</v>
      </c>
      <c r="N1121" s="113">
        <v>0</v>
      </c>
      <c r="O1121" s="113">
        <f t="shared" si="344"/>
        <v>2433930.91</v>
      </c>
      <c r="P1121" s="113">
        <v>0</v>
      </c>
      <c r="Q1121" s="114" t="e">
        <f t="shared" si="345"/>
        <v>#DIV/0!</v>
      </c>
      <c r="R1121" s="115"/>
      <c r="S1121" s="335">
        <v>43830</v>
      </c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</row>
    <row r="1122" spans="1:48" customFormat="1" ht="31.5">
      <c r="A1122" s="107">
        <f t="shared" si="346"/>
        <v>36</v>
      </c>
      <c r="B1122" s="305" t="s">
        <v>383</v>
      </c>
      <c r="C1122" s="108">
        <v>1964</v>
      </c>
      <c r="D1122" s="108"/>
      <c r="E1122" s="109" t="s">
        <v>218</v>
      </c>
      <c r="F1122" s="110">
        <v>5</v>
      </c>
      <c r="G1122" s="110">
        <v>4</v>
      </c>
      <c r="H1122" s="111"/>
      <c r="I1122" s="111"/>
      <c r="J1122" s="111"/>
      <c r="K1122" s="112"/>
      <c r="L1122" s="113">
        <v>1721850</v>
      </c>
      <c r="M1122" s="113">
        <v>0</v>
      </c>
      <c r="N1122" s="113">
        <v>0</v>
      </c>
      <c r="O1122" s="113">
        <f t="shared" si="344"/>
        <v>1721850</v>
      </c>
      <c r="P1122" s="113">
        <v>0</v>
      </c>
      <c r="Q1122" s="114" t="e">
        <f t="shared" si="345"/>
        <v>#DIV/0!</v>
      </c>
      <c r="R1122" s="115"/>
      <c r="S1122" s="335">
        <v>43830</v>
      </c>
    </row>
    <row r="1123" spans="1:48" s="3" customFormat="1" ht="31.5">
      <c r="A1123" s="107">
        <f t="shared" si="346"/>
        <v>37</v>
      </c>
      <c r="B1123" s="305" t="s">
        <v>368</v>
      </c>
      <c r="C1123" s="118">
        <v>1957</v>
      </c>
      <c r="D1123" s="118"/>
      <c r="E1123" s="109" t="s">
        <v>218</v>
      </c>
      <c r="F1123" s="118">
        <v>4</v>
      </c>
      <c r="G1123" s="118">
        <v>4</v>
      </c>
      <c r="H1123" s="118"/>
      <c r="I1123" s="118"/>
      <c r="J1123" s="118"/>
      <c r="K1123" s="119"/>
      <c r="L1123" s="113">
        <v>814117</v>
      </c>
      <c r="M1123" s="113">
        <v>0</v>
      </c>
      <c r="N1123" s="113">
        <v>0</v>
      </c>
      <c r="O1123" s="113">
        <f t="shared" si="344"/>
        <v>814117</v>
      </c>
      <c r="P1123" s="113">
        <v>0</v>
      </c>
      <c r="Q1123" s="114" t="e">
        <f t="shared" si="345"/>
        <v>#DIV/0!</v>
      </c>
      <c r="R1123" s="115"/>
      <c r="S1123" s="335">
        <v>43830</v>
      </c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1:48" customFormat="1" ht="31.5">
      <c r="A1124" s="107">
        <f t="shared" si="346"/>
        <v>38</v>
      </c>
      <c r="B1124" s="305" t="s">
        <v>375</v>
      </c>
      <c r="C1124" s="108">
        <v>1957</v>
      </c>
      <c r="D1124" s="108"/>
      <c r="E1124" s="109" t="s">
        <v>218</v>
      </c>
      <c r="F1124" s="110">
        <v>4</v>
      </c>
      <c r="G1124" s="110">
        <v>4</v>
      </c>
      <c r="H1124" s="111"/>
      <c r="I1124" s="111"/>
      <c r="J1124" s="111"/>
      <c r="K1124" s="112"/>
      <c r="L1124" s="113">
        <v>3045081</v>
      </c>
      <c r="M1124" s="113">
        <v>0</v>
      </c>
      <c r="N1124" s="113">
        <v>0</v>
      </c>
      <c r="O1124" s="113">
        <f t="shared" si="344"/>
        <v>3045081</v>
      </c>
      <c r="P1124" s="113">
        <v>0</v>
      </c>
      <c r="Q1124" s="114" t="e">
        <f t="shared" si="345"/>
        <v>#DIV/0!</v>
      </c>
      <c r="R1124" s="115"/>
      <c r="S1124" s="335">
        <v>43830</v>
      </c>
    </row>
    <row r="1125" spans="1:48" customFormat="1" ht="31.5">
      <c r="A1125" s="107">
        <f t="shared" si="346"/>
        <v>39</v>
      </c>
      <c r="B1125" s="305" t="s">
        <v>380</v>
      </c>
      <c r="C1125" s="108">
        <v>1954</v>
      </c>
      <c r="D1125" s="108"/>
      <c r="E1125" s="109" t="s">
        <v>218</v>
      </c>
      <c r="F1125" s="110">
        <v>3</v>
      </c>
      <c r="G1125" s="110">
        <v>3</v>
      </c>
      <c r="H1125" s="111"/>
      <c r="I1125" s="111"/>
      <c r="J1125" s="111"/>
      <c r="K1125" s="112"/>
      <c r="L1125" s="113">
        <v>2244806</v>
      </c>
      <c r="M1125" s="113">
        <v>0</v>
      </c>
      <c r="N1125" s="113">
        <v>0</v>
      </c>
      <c r="O1125" s="113">
        <f t="shared" si="344"/>
        <v>2244806</v>
      </c>
      <c r="P1125" s="113">
        <v>0</v>
      </c>
      <c r="Q1125" s="114" t="e">
        <f t="shared" si="345"/>
        <v>#DIV/0!</v>
      </c>
      <c r="R1125" s="115"/>
      <c r="S1125" s="335">
        <v>43830</v>
      </c>
    </row>
    <row r="1126" spans="1:48" customFormat="1" ht="31.5">
      <c r="A1126" s="107">
        <f t="shared" si="346"/>
        <v>40</v>
      </c>
      <c r="B1126" s="305" t="s">
        <v>374</v>
      </c>
      <c r="C1126" s="108">
        <v>1963</v>
      </c>
      <c r="D1126" s="108"/>
      <c r="E1126" s="109" t="s">
        <v>218</v>
      </c>
      <c r="F1126" s="110">
        <v>4</v>
      </c>
      <c r="G1126" s="110">
        <v>2</v>
      </c>
      <c r="H1126" s="111"/>
      <c r="I1126" s="111"/>
      <c r="J1126" s="111"/>
      <c r="K1126" s="112"/>
      <c r="L1126" s="113">
        <v>1361273</v>
      </c>
      <c r="M1126" s="113">
        <v>0</v>
      </c>
      <c r="N1126" s="113">
        <v>0</v>
      </c>
      <c r="O1126" s="113">
        <f t="shared" si="344"/>
        <v>1361273</v>
      </c>
      <c r="P1126" s="113">
        <v>0</v>
      </c>
      <c r="Q1126" s="114" t="e">
        <f t="shared" si="345"/>
        <v>#DIV/0!</v>
      </c>
      <c r="R1126" s="115"/>
      <c r="S1126" s="335">
        <v>43830</v>
      </c>
    </row>
    <row r="1127" spans="1:48" customFormat="1" ht="31.5">
      <c r="A1127" s="107">
        <f t="shared" si="346"/>
        <v>41</v>
      </c>
      <c r="B1127" s="305" t="s">
        <v>469</v>
      </c>
      <c r="C1127" s="108">
        <v>1959</v>
      </c>
      <c r="D1127" s="108"/>
      <c r="E1127" s="109" t="s">
        <v>218</v>
      </c>
      <c r="F1127" s="110">
        <v>4</v>
      </c>
      <c r="G1127" s="110">
        <v>4</v>
      </c>
      <c r="H1127" s="111"/>
      <c r="I1127" s="111"/>
      <c r="J1127" s="111"/>
      <c r="K1127" s="112"/>
      <c r="L1127" s="113">
        <v>2421596</v>
      </c>
      <c r="M1127" s="113">
        <v>0</v>
      </c>
      <c r="N1127" s="113">
        <v>0</v>
      </c>
      <c r="O1127" s="113">
        <f t="shared" si="344"/>
        <v>2421596</v>
      </c>
      <c r="P1127" s="113">
        <v>0</v>
      </c>
      <c r="Q1127" s="114" t="e">
        <f t="shared" si="345"/>
        <v>#DIV/0!</v>
      </c>
      <c r="R1127" s="115"/>
      <c r="S1127" s="335">
        <v>43830</v>
      </c>
    </row>
    <row r="1128" spans="1:48" customFormat="1" ht="31.5">
      <c r="A1128" s="107">
        <f t="shared" si="346"/>
        <v>42</v>
      </c>
      <c r="B1128" s="305" t="s">
        <v>379</v>
      </c>
      <c r="C1128" s="108">
        <v>1967</v>
      </c>
      <c r="D1128" s="108"/>
      <c r="E1128" s="109" t="s">
        <v>218</v>
      </c>
      <c r="F1128" s="110">
        <v>6</v>
      </c>
      <c r="G1128" s="110">
        <v>5</v>
      </c>
      <c r="H1128" s="111"/>
      <c r="I1128" s="111"/>
      <c r="J1128" s="111"/>
      <c r="K1128" s="112"/>
      <c r="L1128" s="113">
        <v>2056315</v>
      </c>
      <c r="M1128" s="113">
        <v>0</v>
      </c>
      <c r="N1128" s="113">
        <v>0</v>
      </c>
      <c r="O1128" s="113">
        <f t="shared" si="344"/>
        <v>2056315</v>
      </c>
      <c r="P1128" s="113">
        <v>0</v>
      </c>
      <c r="Q1128" s="114" t="e">
        <f t="shared" si="345"/>
        <v>#DIV/0!</v>
      </c>
      <c r="R1128" s="115"/>
      <c r="S1128" s="335">
        <v>43830</v>
      </c>
    </row>
    <row r="1129" spans="1:48" customFormat="1" ht="31.5">
      <c r="A1129" s="107">
        <f t="shared" si="346"/>
        <v>43</v>
      </c>
      <c r="B1129" s="305" t="s">
        <v>372</v>
      </c>
      <c r="C1129" s="118">
        <v>1975</v>
      </c>
      <c r="D1129" s="118"/>
      <c r="E1129" s="109" t="s">
        <v>218</v>
      </c>
      <c r="F1129" s="118">
        <v>9</v>
      </c>
      <c r="G1129" s="118">
        <v>5</v>
      </c>
      <c r="H1129" s="118"/>
      <c r="I1129" s="118"/>
      <c r="J1129" s="118"/>
      <c r="K1129" s="119"/>
      <c r="L1129" s="113">
        <v>9473593</v>
      </c>
      <c r="M1129" s="113">
        <v>0</v>
      </c>
      <c r="N1129" s="113">
        <v>0</v>
      </c>
      <c r="O1129" s="113">
        <f t="shared" si="344"/>
        <v>9473593</v>
      </c>
      <c r="P1129" s="113">
        <v>0</v>
      </c>
      <c r="Q1129" s="114" t="e">
        <f t="shared" si="345"/>
        <v>#DIV/0!</v>
      </c>
      <c r="R1129" s="115"/>
      <c r="S1129" s="335">
        <v>43830</v>
      </c>
    </row>
    <row r="1130" spans="1:48" customFormat="1" ht="31.5">
      <c r="A1130" s="107">
        <f t="shared" si="346"/>
        <v>44</v>
      </c>
      <c r="B1130" s="301" t="s">
        <v>344</v>
      </c>
      <c r="C1130" s="107">
        <v>1968</v>
      </c>
      <c r="D1130" s="108"/>
      <c r="E1130" s="109" t="s">
        <v>218</v>
      </c>
      <c r="F1130" s="108">
        <v>5</v>
      </c>
      <c r="G1130" s="108">
        <v>6</v>
      </c>
      <c r="H1130" s="117"/>
      <c r="I1130" s="117"/>
      <c r="J1130" s="102"/>
      <c r="K1130" s="101"/>
      <c r="L1130" s="113">
        <v>4441828</v>
      </c>
      <c r="M1130" s="113">
        <v>0</v>
      </c>
      <c r="N1130" s="113">
        <v>0</v>
      </c>
      <c r="O1130" s="113">
        <f t="shared" si="344"/>
        <v>4441828</v>
      </c>
      <c r="P1130" s="113">
        <v>0</v>
      </c>
      <c r="Q1130" s="114" t="e">
        <f t="shared" si="345"/>
        <v>#DIV/0!</v>
      </c>
      <c r="R1130" s="115"/>
      <c r="S1130" s="335">
        <v>43830</v>
      </c>
    </row>
    <row r="1131" spans="1:48" customFormat="1" ht="15.75">
      <c r="A1131" s="107">
        <f t="shared" si="346"/>
        <v>45</v>
      </c>
      <c r="B1131" s="305" t="s">
        <v>348</v>
      </c>
      <c r="C1131" s="108">
        <v>1977</v>
      </c>
      <c r="D1131" s="108"/>
      <c r="E1131" s="109" t="s">
        <v>219</v>
      </c>
      <c r="F1131" s="110">
        <v>5</v>
      </c>
      <c r="G1131" s="110">
        <v>8</v>
      </c>
      <c r="H1131" s="111"/>
      <c r="I1131" s="111"/>
      <c r="J1131" s="111"/>
      <c r="K1131" s="112"/>
      <c r="L1131" s="113">
        <v>3051089</v>
      </c>
      <c r="M1131" s="113">
        <v>0</v>
      </c>
      <c r="N1131" s="113">
        <v>0</v>
      </c>
      <c r="O1131" s="113">
        <f t="shared" si="344"/>
        <v>3051089</v>
      </c>
      <c r="P1131" s="113">
        <v>0</v>
      </c>
      <c r="Q1131" s="114" t="e">
        <f t="shared" si="345"/>
        <v>#DIV/0!</v>
      </c>
      <c r="R1131" s="115"/>
      <c r="S1131" s="335">
        <v>43830</v>
      </c>
    </row>
    <row r="1132" spans="1:48" customFormat="1" ht="31.5">
      <c r="A1132" s="107">
        <f t="shared" si="346"/>
        <v>46</v>
      </c>
      <c r="B1132" s="301" t="s">
        <v>386</v>
      </c>
      <c r="C1132" s="118">
        <v>1956</v>
      </c>
      <c r="D1132" s="118"/>
      <c r="E1132" s="109" t="s">
        <v>218</v>
      </c>
      <c r="F1132" s="118">
        <v>2</v>
      </c>
      <c r="G1132" s="118">
        <v>2</v>
      </c>
      <c r="H1132" s="118"/>
      <c r="I1132" s="118"/>
      <c r="J1132" s="118"/>
      <c r="K1132" s="119"/>
      <c r="L1132" s="113">
        <v>869749</v>
      </c>
      <c r="M1132" s="113">
        <v>0</v>
      </c>
      <c r="N1132" s="113">
        <v>0</v>
      </c>
      <c r="O1132" s="113">
        <f t="shared" si="344"/>
        <v>869749</v>
      </c>
      <c r="P1132" s="113">
        <v>0</v>
      </c>
      <c r="Q1132" s="114" t="e">
        <f t="shared" si="345"/>
        <v>#DIV/0!</v>
      </c>
      <c r="R1132" s="115"/>
      <c r="S1132" s="335">
        <v>43830</v>
      </c>
    </row>
    <row r="1133" spans="1:48" customFormat="1" ht="31.5">
      <c r="A1133" s="107">
        <f t="shared" si="346"/>
        <v>47</v>
      </c>
      <c r="B1133" s="301" t="s">
        <v>461</v>
      </c>
      <c r="C1133" s="108">
        <v>1956</v>
      </c>
      <c r="D1133" s="108"/>
      <c r="E1133" s="109" t="s">
        <v>218</v>
      </c>
      <c r="F1133" s="110">
        <v>2</v>
      </c>
      <c r="G1133" s="110">
        <v>2</v>
      </c>
      <c r="H1133" s="111"/>
      <c r="I1133" s="111"/>
      <c r="J1133" s="111"/>
      <c r="K1133" s="112"/>
      <c r="L1133" s="113">
        <v>869880</v>
      </c>
      <c r="M1133" s="113">
        <v>0</v>
      </c>
      <c r="N1133" s="113">
        <v>0</v>
      </c>
      <c r="O1133" s="113">
        <f t="shared" si="344"/>
        <v>869880</v>
      </c>
      <c r="P1133" s="113">
        <v>0</v>
      </c>
      <c r="Q1133" s="114" t="e">
        <f t="shared" si="345"/>
        <v>#DIV/0!</v>
      </c>
      <c r="R1133" s="115"/>
      <c r="S1133" s="335">
        <v>43830</v>
      </c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</row>
    <row r="1134" spans="1:48" customFormat="1" ht="31.5">
      <c r="A1134" s="107">
        <f t="shared" si="346"/>
        <v>48</v>
      </c>
      <c r="B1134" s="305" t="s">
        <v>462</v>
      </c>
      <c r="C1134" s="108">
        <v>1959</v>
      </c>
      <c r="D1134" s="116"/>
      <c r="E1134" s="109" t="s">
        <v>218</v>
      </c>
      <c r="F1134" s="110">
        <v>2</v>
      </c>
      <c r="G1134" s="110">
        <v>2</v>
      </c>
      <c r="H1134" s="111"/>
      <c r="I1134" s="111"/>
      <c r="J1134" s="111"/>
      <c r="K1134" s="112"/>
      <c r="L1134" s="113">
        <v>172302</v>
      </c>
      <c r="M1134" s="113">
        <v>0</v>
      </c>
      <c r="N1134" s="113">
        <v>0</v>
      </c>
      <c r="O1134" s="113">
        <f t="shared" si="344"/>
        <v>172302</v>
      </c>
      <c r="P1134" s="113">
        <v>0</v>
      </c>
      <c r="Q1134" s="114" t="e">
        <f t="shared" si="345"/>
        <v>#DIV/0!</v>
      </c>
      <c r="R1134" s="115"/>
      <c r="S1134" s="335">
        <v>43830</v>
      </c>
    </row>
    <row r="1135" spans="1:48" customFormat="1" ht="31.5">
      <c r="A1135" s="107">
        <f t="shared" si="346"/>
        <v>49</v>
      </c>
      <c r="B1135" s="305" t="s">
        <v>389</v>
      </c>
      <c r="C1135" s="108">
        <v>1910</v>
      </c>
      <c r="D1135" s="108"/>
      <c r="E1135" s="109" t="s">
        <v>218</v>
      </c>
      <c r="F1135" s="110">
        <v>4</v>
      </c>
      <c r="G1135" s="110">
        <v>1</v>
      </c>
      <c r="H1135" s="111"/>
      <c r="I1135" s="111"/>
      <c r="J1135" s="111"/>
      <c r="K1135" s="112"/>
      <c r="L1135" s="113">
        <v>3706393</v>
      </c>
      <c r="M1135" s="113">
        <v>0</v>
      </c>
      <c r="N1135" s="113">
        <v>0</v>
      </c>
      <c r="O1135" s="113">
        <f t="shared" si="344"/>
        <v>3706393</v>
      </c>
      <c r="P1135" s="113">
        <v>0</v>
      </c>
      <c r="Q1135" s="114" t="e">
        <f t="shared" si="345"/>
        <v>#DIV/0!</v>
      </c>
      <c r="R1135" s="115"/>
      <c r="S1135" s="335">
        <v>43830</v>
      </c>
    </row>
    <row r="1136" spans="1:48" customFormat="1" ht="31.5">
      <c r="A1136" s="107">
        <f t="shared" si="346"/>
        <v>50</v>
      </c>
      <c r="B1136" s="305" t="s">
        <v>317</v>
      </c>
      <c r="C1136" s="118">
        <v>1914</v>
      </c>
      <c r="D1136" s="118"/>
      <c r="E1136" s="109" t="s">
        <v>218</v>
      </c>
      <c r="F1136" s="118">
        <v>4</v>
      </c>
      <c r="G1136" s="118">
        <v>5</v>
      </c>
      <c r="H1136" s="118"/>
      <c r="I1136" s="118"/>
      <c r="J1136" s="118"/>
      <c r="K1136" s="119"/>
      <c r="L1136" s="113">
        <v>698585</v>
      </c>
      <c r="M1136" s="113">
        <v>0</v>
      </c>
      <c r="N1136" s="113">
        <v>0</v>
      </c>
      <c r="O1136" s="113">
        <f t="shared" si="344"/>
        <v>698585</v>
      </c>
      <c r="P1136" s="113">
        <v>0</v>
      </c>
      <c r="Q1136" s="114" t="e">
        <f t="shared" si="345"/>
        <v>#DIV/0!</v>
      </c>
      <c r="R1136" s="115"/>
      <c r="S1136" s="335">
        <v>43830</v>
      </c>
    </row>
    <row r="1137" spans="1:19" customFormat="1" ht="31.5">
      <c r="A1137" s="107">
        <f t="shared" si="346"/>
        <v>51</v>
      </c>
      <c r="B1137" s="305" t="s">
        <v>384</v>
      </c>
      <c r="C1137" s="118" t="s">
        <v>190</v>
      </c>
      <c r="D1137" s="118"/>
      <c r="E1137" s="109" t="s">
        <v>218</v>
      </c>
      <c r="F1137" s="118">
        <v>2</v>
      </c>
      <c r="G1137" s="118">
        <v>3</v>
      </c>
      <c r="H1137" s="118"/>
      <c r="I1137" s="118"/>
      <c r="J1137" s="118"/>
      <c r="K1137" s="119"/>
      <c r="L1137" s="113">
        <v>951740</v>
      </c>
      <c r="M1137" s="113">
        <v>0</v>
      </c>
      <c r="N1137" s="113">
        <v>0</v>
      </c>
      <c r="O1137" s="113">
        <f t="shared" si="344"/>
        <v>951740</v>
      </c>
      <c r="P1137" s="113">
        <v>0</v>
      </c>
      <c r="Q1137" s="114" t="e">
        <f t="shared" si="345"/>
        <v>#DIV/0!</v>
      </c>
      <c r="R1137" s="115"/>
      <c r="S1137" s="335">
        <v>43830</v>
      </c>
    </row>
    <row r="1138" spans="1:19" customFormat="1" ht="31.5">
      <c r="A1138" s="107">
        <f t="shared" si="346"/>
        <v>52</v>
      </c>
      <c r="B1138" s="301" t="s">
        <v>247</v>
      </c>
      <c r="C1138" s="118">
        <v>1953</v>
      </c>
      <c r="D1138" s="118"/>
      <c r="E1138" s="109" t="s">
        <v>218</v>
      </c>
      <c r="F1138" s="118">
        <v>3</v>
      </c>
      <c r="G1138" s="118">
        <v>3</v>
      </c>
      <c r="H1138" s="118"/>
      <c r="I1138" s="118"/>
      <c r="J1138" s="118"/>
      <c r="K1138" s="119"/>
      <c r="L1138" s="113">
        <v>2056139</v>
      </c>
      <c r="M1138" s="113">
        <v>0</v>
      </c>
      <c r="N1138" s="113">
        <v>0</v>
      </c>
      <c r="O1138" s="113">
        <f t="shared" si="344"/>
        <v>2056139</v>
      </c>
      <c r="P1138" s="113">
        <v>0</v>
      </c>
      <c r="Q1138" s="114" t="e">
        <f t="shared" si="345"/>
        <v>#DIV/0!</v>
      </c>
      <c r="R1138" s="115"/>
      <c r="S1138" s="335">
        <v>43830</v>
      </c>
    </row>
    <row r="1139" spans="1:19" customFormat="1" ht="31.5">
      <c r="A1139" s="107">
        <f t="shared" si="346"/>
        <v>53</v>
      </c>
      <c r="B1139" s="305" t="s">
        <v>274</v>
      </c>
      <c r="C1139" s="107">
        <v>1958</v>
      </c>
      <c r="D1139" s="108"/>
      <c r="E1139" s="109" t="s">
        <v>218</v>
      </c>
      <c r="F1139" s="108">
        <v>2</v>
      </c>
      <c r="G1139" s="108">
        <v>2</v>
      </c>
      <c r="H1139" s="117"/>
      <c r="I1139" s="117"/>
      <c r="J1139" s="117"/>
      <c r="K1139" s="101"/>
      <c r="L1139" s="113">
        <v>1321356</v>
      </c>
      <c r="M1139" s="113">
        <v>0</v>
      </c>
      <c r="N1139" s="113">
        <v>0</v>
      </c>
      <c r="O1139" s="113">
        <f t="shared" si="344"/>
        <v>1321356</v>
      </c>
      <c r="P1139" s="113">
        <v>0</v>
      </c>
      <c r="Q1139" s="114" t="e">
        <f t="shared" si="345"/>
        <v>#DIV/0!</v>
      </c>
      <c r="R1139" s="115"/>
      <c r="S1139" s="335">
        <v>43830</v>
      </c>
    </row>
    <row r="1140" spans="1:19" customFormat="1" ht="31.5">
      <c r="A1140" s="107">
        <f t="shared" si="346"/>
        <v>54</v>
      </c>
      <c r="B1140" s="305" t="s">
        <v>338</v>
      </c>
      <c r="C1140" s="118">
        <v>1959</v>
      </c>
      <c r="D1140" s="118"/>
      <c r="E1140" s="109" t="s">
        <v>218</v>
      </c>
      <c r="F1140" s="118">
        <v>2</v>
      </c>
      <c r="G1140" s="118">
        <v>2</v>
      </c>
      <c r="H1140" s="118"/>
      <c r="I1140" s="118"/>
      <c r="J1140" s="118"/>
      <c r="K1140" s="119"/>
      <c r="L1140" s="113">
        <v>1679278</v>
      </c>
      <c r="M1140" s="113">
        <v>0</v>
      </c>
      <c r="N1140" s="113">
        <v>0</v>
      </c>
      <c r="O1140" s="113">
        <f t="shared" si="344"/>
        <v>1679278</v>
      </c>
      <c r="P1140" s="113">
        <v>0</v>
      </c>
      <c r="Q1140" s="114" t="e">
        <f t="shared" si="345"/>
        <v>#DIV/0!</v>
      </c>
      <c r="R1140" s="115"/>
      <c r="S1140" s="335">
        <v>43830</v>
      </c>
    </row>
    <row r="1141" spans="1:19" customFormat="1" ht="31.5">
      <c r="A1141" s="107">
        <f t="shared" si="346"/>
        <v>55</v>
      </c>
      <c r="B1141" s="305" t="s">
        <v>272</v>
      </c>
      <c r="C1141" s="118">
        <v>1959</v>
      </c>
      <c r="D1141" s="118"/>
      <c r="E1141" s="109" t="s">
        <v>218</v>
      </c>
      <c r="F1141" s="118">
        <v>2</v>
      </c>
      <c r="G1141" s="118">
        <v>2</v>
      </c>
      <c r="H1141" s="118"/>
      <c r="I1141" s="118"/>
      <c r="J1141" s="118"/>
      <c r="K1141" s="119"/>
      <c r="L1141" s="113">
        <v>1100896</v>
      </c>
      <c r="M1141" s="113">
        <v>0</v>
      </c>
      <c r="N1141" s="113">
        <v>0</v>
      </c>
      <c r="O1141" s="113">
        <f t="shared" si="344"/>
        <v>1100896</v>
      </c>
      <c r="P1141" s="113">
        <v>0</v>
      </c>
      <c r="Q1141" s="114" t="e">
        <f t="shared" si="345"/>
        <v>#DIV/0!</v>
      </c>
      <c r="R1141" s="115"/>
      <c r="S1141" s="335">
        <v>43830</v>
      </c>
    </row>
    <row r="1142" spans="1:19" customFormat="1" ht="31.5">
      <c r="A1142" s="107">
        <f t="shared" si="346"/>
        <v>56</v>
      </c>
      <c r="B1142" s="305" t="s">
        <v>337</v>
      </c>
      <c r="C1142" s="118">
        <v>1959</v>
      </c>
      <c r="D1142" s="118"/>
      <c r="E1142" s="109" t="s">
        <v>218</v>
      </c>
      <c r="F1142" s="118">
        <v>2</v>
      </c>
      <c r="G1142" s="118">
        <v>2</v>
      </c>
      <c r="H1142" s="118"/>
      <c r="I1142" s="118"/>
      <c r="J1142" s="118"/>
      <c r="K1142" s="119"/>
      <c r="L1142" s="113">
        <v>1729707</v>
      </c>
      <c r="M1142" s="113">
        <v>0</v>
      </c>
      <c r="N1142" s="113">
        <v>0</v>
      </c>
      <c r="O1142" s="113">
        <f t="shared" si="344"/>
        <v>1729707</v>
      </c>
      <c r="P1142" s="113">
        <v>0</v>
      </c>
      <c r="Q1142" s="114" t="e">
        <f t="shared" si="345"/>
        <v>#DIV/0!</v>
      </c>
      <c r="R1142" s="115"/>
      <c r="S1142" s="335">
        <v>43830</v>
      </c>
    </row>
    <row r="1143" spans="1:19" customFormat="1" ht="31.5">
      <c r="A1143" s="107">
        <f t="shared" si="346"/>
        <v>57</v>
      </c>
      <c r="B1143" s="301" t="s">
        <v>257</v>
      </c>
      <c r="C1143" s="118">
        <v>1959</v>
      </c>
      <c r="D1143" s="118"/>
      <c r="E1143" s="109" t="s">
        <v>218</v>
      </c>
      <c r="F1143" s="118">
        <v>2</v>
      </c>
      <c r="G1143" s="118">
        <v>2</v>
      </c>
      <c r="H1143" s="118"/>
      <c r="I1143" s="118"/>
      <c r="J1143" s="118"/>
      <c r="K1143" s="119"/>
      <c r="L1143" s="113">
        <v>451222.57</v>
      </c>
      <c r="M1143" s="113">
        <v>0</v>
      </c>
      <c r="N1143" s="113">
        <v>0</v>
      </c>
      <c r="O1143" s="113">
        <f t="shared" si="344"/>
        <v>451222.57</v>
      </c>
      <c r="P1143" s="113">
        <v>0</v>
      </c>
      <c r="Q1143" s="114" t="e">
        <f t="shared" si="345"/>
        <v>#DIV/0!</v>
      </c>
      <c r="R1143" s="115"/>
      <c r="S1143" s="335">
        <v>43830</v>
      </c>
    </row>
    <row r="1144" spans="1:19" customFormat="1" ht="31.5">
      <c r="A1144" s="107">
        <f t="shared" si="346"/>
        <v>58</v>
      </c>
      <c r="B1144" s="305" t="s">
        <v>307</v>
      </c>
      <c r="C1144" s="108">
        <v>1959</v>
      </c>
      <c r="D1144" s="108"/>
      <c r="E1144" s="109" t="s">
        <v>218</v>
      </c>
      <c r="F1144" s="110">
        <v>2</v>
      </c>
      <c r="G1144" s="110">
        <v>1</v>
      </c>
      <c r="H1144" s="111"/>
      <c r="I1144" s="111"/>
      <c r="J1144" s="111"/>
      <c r="K1144" s="112"/>
      <c r="L1144" s="113">
        <v>703675.57</v>
      </c>
      <c r="M1144" s="113">
        <v>0</v>
      </c>
      <c r="N1144" s="113">
        <v>0</v>
      </c>
      <c r="O1144" s="113">
        <f t="shared" si="344"/>
        <v>703675.57</v>
      </c>
      <c r="P1144" s="113">
        <v>0</v>
      </c>
      <c r="Q1144" s="114" t="e">
        <f t="shared" si="345"/>
        <v>#DIV/0!</v>
      </c>
      <c r="R1144" s="115"/>
      <c r="S1144" s="335">
        <v>43830</v>
      </c>
    </row>
    <row r="1145" spans="1:19" customFormat="1" ht="31.5">
      <c r="A1145" s="107">
        <f t="shared" si="346"/>
        <v>59</v>
      </c>
      <c r="B1145" s="305" t="s">
        <v>268</v>
      </c>
      <c r="C1145" s="118">
        <v>1959</v>
      </c>
      <c r="D1145" s="118"/>
      <c r="E1145" s="109" t="s">
        <v>218</v>
      </c>
      <c r="F1145" s="118">
        <v>4</v>
      </c>
      <c r="G1145" s="118">
        <v>3</v>
      </c>
      <c r="H1145" s="118"/>
      <c r="I1145" s="118"/>
      <c r="J1145" s="118"/>
      <c r="K1145" s="119"/>
      <c r="L1145" s="113">
        <v>1053533.22</v>
      </c>
      <c r="M1145" s="113">
        <v>0</v>
      </c>
      <c r="N1145" s="113">
        <v>0</v>
      </c>
      <c r="O1145" s="113">
        <f t="shared" si="344"/>
        <v>1053533.22</v>
      </c>
      <c r="P1145" s="113">
        <v>0</v>
      </c>
      <c r="Q1145" s="114" t="e">
        <f t="shared" si="345"/>
        <v>#DIV/0!</v>
      </c>
      <c r="R1145" s="115"/>
      <c r="S1145" s="335">
        <v>43830</v>
      </c>
    </row>
    <row r="1146" spans="1:19" customFormat="1" ht="31.5">
      <c r="A1146" s="107">
        <f t="shared" si="346"/>
        <v>60</v>
      </c>
      <c r="B1146" s="301" t="s">
        <v>246</v>
      </c>
      <c r="C1146" s="118">
        <v>1979</v>
      </c>
      <c r="D1146" s="118"/>
      <c r="E1146" s="109" t="s">
        <v>218</v>
      </c>
      <c r="F1146" s="118">
        <v>9</v>
      </c>
      <c r="G1146" s="118">
        <v>1</v>
      </c>
      <c r="H1146" s="118"/>
      <c r="I1146" s="118"/>
      <c r="J1146" s="118"/>
      <c r="K1146" s="119"/>
      <c r="L1146" s="113">
        <v>1253738</v>
      </c>
      <c r="M1146" s="113">
        <v>0</v>
      </c>
      <c r="N1146" s="113">
        <v>0</v>
      </c>
      <c r="O1146" s="113">
        <f t="shared" si="344"/>
        <v>1253738</v>
      </c>
      <c r="P1146" s="113">
        <v>0</v>
      </c>
      <c r="Q1146" s="114" t="e">
        <f t="shared" si="345"/>
        <v>#DIV/0!</v>
      </c>
      <c r="R1146" s="115"/>
      <c r="S1146" s="335">
        <v>43830</v>
      </c>
    </row>
    <row r="1147" spans="1:19" customFormat="1" ht="15.75">
      <c r="A1147" s="107">
        <f t="shared" si="346"/>
        <v>61</v>
      </c>
      <c r="B1147" s="305" t="s">
        <v>470</v>
      </c>
      <c r="C1147" s="108">
        <v>1984</v>
      </c>
      <c r="D1147" s="108"/>
      <c r="E1147" s="109" t="s">
        <v>219</v>
      </c>
      <c r="F1147" s="110">
        <v>9</v>
      </c>
      <c r="G1147" s="110">
        <v>1</v>
      </c>
      <c r="H1147" s="111"/>
      <c r="I1147" s="111"/>
      <c r="J1147" s="111"/>
      <c r="K1147" s="112"/>
      <c r="L1147" s="113">
        <v>1870046</v>
      </c>
      <c r="M1147" s="113">
        <v>0</v>
      </c>
      <c r="N1147" s="113">
        <v>0</v>
      </c>
      <c r="O1147" s="113">
        <f t="shared" si="344"/>
        <v>1870046</v>
      </c>
      <c r="P1147" s="113">
        <v>0</v>
      </c>
      <c r="Q1147" s="114" t="e">
        <f t="shared" si="345"/>
        <v>#DIV/0!</v>
      </c>
      <c r="R1147" s="115"/>
      <c r="S1147" s="335">
        <v>43830</v>
      </c>
    </row>
    <row r="1148" spans="1:19" customFormat="1" ht="15.75">
      <c r="A1148" s="107">
        <f t="shared" si="346"/>
        <v>62</v>
      </c>
      <c r="B1148" s="305" t="s">
        <v>350</v>
      </c>
      <c r="C1148" s="108">
        <v>1984</v>
      </c>
      <c r="D1148" s="108"/>
      <c r="E1148" s="109" t="s">
        <v>219</v>
      </c>
      <c r="F1148" s="110">
        <v>9</v>
      </c>
      <c r="G1148" s="110">
        <v>2</v>
      </c>
      <c r="H1148" s="111"/>
      <c r="I1148" s="111"/>
      <c r="J1148" s="111"/>
      <c r="K1148" s="112"/>
      <c r="L1148" s="113">
        <v>3720676</v>
      </c>
      <c r="M1148" s="113">
        <v>0</v>
      </c>
      <c r="N1148" s="113">
        <v>0</v>
      </c>
      <c r="O1148" s="113">
        <f t="shared" si="344"/>
        <v>3720676</v>
      </c>
      <c r="P1148" s="113">
        <v>0</v>
      </c>
      <c r="Q1148" s="114" t="e">
        <f t="shared" si="345"/>
        <v>#DIV/0!</v>
      </c>
      <c r="R1148" s="115"/>
      <c r="S1148" s="335">
        <v>43830</v>
      </c>
    </row>
    <row r="1149" spans="1:19" customFormat="1" ht="31.5">
      <c r="A1149" s="107">
        <f t="shared" si="346"/>
        <v>63</v>
      </c>
      <c r="B1149" s="305" t="s">
        <v>251</v>
      </c>
      <c r="C1149" s="118">
        <v>1977</v>
      </c>
      <c r="D1149" s="118"/>
      <c r="E1149" s="109" t="s">
        <v>218</v>
      </c>
      <c r="F1149" s="118">
        <v>5</v>
      </c>
      <c r="G1149" s="118">
        <v>6</v>
      </c>
      <c r="H1149" s="118"/>
      <c r="I1149" s="118"/>
      <c r="J1149" s="118"/>
      <c r="K1149" s="119"/>
      <c r="L1149" s="113">
        <v>3687908</v>
      </c>
      <c r="M1149" s="113">
        <v>0</v>
      </c>
      <c r="N1149" s="113">
        <v>0</v>
      </c>
      <c r="O1149" s="113">
        <f t="shared" si="344"/>
        <v>3687908</v>
      </c>
      <c r="P1149" s="113">
        <v>0</v>
      </c>
      <c r="Q1149" s="114" t="e">
        <f t="shared" si="345"/>
        <v>#DIV/0!</v>
      </c>
      <c r="R1149" s="115"/>
      <c r="S1149" s="335">
        <v>43830</v>
      </c>
    </row>
    <row r="1150" spans="1:19" customFormat="1" ht="31.5">
      <c r="A1150" s="107">
        <f t="shared" si="346"/>
        <v>64</v>
      </c>
      <c r="B1150" s="305" t="s">
        <v>226</v>
      </c>
      <c r="C1150" s="118">
        <v>1933</v>
      </c>
      <c r="D1150" s="118"/>
      <c r="E1150" s="109" t="s">
        <v>218</v>
      </c>
      <c r="F1150" s="118">
        <v>4</v>
      </c>
      <c r="G1150" s="118">
        <v>5</v>
      </c>
      <c r="H1150" s="118"/>
      <c r="I1150" s="118"/>
      <c r="J1150" s="118"/>
      <c r="K1150" s="119"/>
      <c r="L1150" s="113">
        <v>1760967.35</v>
      </c>
      <c r="M1150" s="113">
        <v>0</v>
      </c>
      <c r="N1150" s="113">
        <v>0</v>
      </c>
      <c r="O1150" s="113">
        <f t="shared" si="344"/>
        <v>1760967.35</v>
      </c>
      <c r="P1150" s="113">
        <v>0</v>
      </c>
      <c r="Q1150" s="114" t="e">
        <f t="shared" si="345"/>
        <v>#DIV/0!</v>
      </c>
      <c r="R1150" s="115"/>
      <c r="S1150" s="335">
        <v>43830</v>
      </c>
    </row>
    <row r="1151" spans="1:19" customFormat="1" ht="31.5">
      <c r="A1151" s="107">
        <f t="shared" si="346"/>
        <v>65</v>
      </c>
      <c r="B1151" s="305" t="s">
        <v>271</v>
      </c>
      <c r="C1151" s="118">
        <v>1961</v>
      </c>
      <c r="D1151" s="118"/>
      <c r="E1151" s="109" t="s">
        <v>218</v>
      </c>
      <c r="F1151" s="118">
        <v>5</v>
      </c>
      <c r="G1151" s="118">
        <v>4</v>
      </c>
      <c r="H1151" s="118"/>
      <c r="I1151" s="118"/>
      <c r="J1151" s="118"/>
      <c r="K1151" s="119"/>
      <c r="L1151" s="113">
        <v>881947</v>
      </c>
      <c r="M1151" s="113">
        <v>0</v>
      </c>
      <c r="N1151" s="113">
        <v>0</v>
      </c>
      <c r="O1151" s="113">
        <f t="shared" ref="O1151:O1214" si="347">L1151</f>
        <v>881947</v>
      </c>
      <c r="P1151" s="113">
        <v>0</v>
      </c>
      <c r="Q1151" s="114" t="e">
        <f t="shared" ref="Q1151:Q1214" si="348">L1151/I1151</f>
        <v>#DIV/0!</v>
      </c>
      <c r="R1151" s="115"/>
      <c r="S1151" s="335">
        <v>43830</v>
      </c>
    </row>
    <row r="1152" spans="1:19" customFormat="1" ht="31.5">
      <c r="A1152" s="107">
        <f t="shared" si="346"/>
        <v>66</v>
      </c>
      <c r="B1152" s="305" t="s">
        <v>287</v>
      </c>
      <c r="C1152" s="108">
        <v>1960</v>
      </c>
      <c r="D1152" s="108"/>
      <c r="E1152" s="109" t="s">
        <v>218</v>
      </c>
      <c r="F1152" s="110">
        <v>2</v>
      </c>
      <c r="G1152" s="110">
        <v>2</v>
      </c>
      <c r="H1152" s="111"/>
      <c r="I1152" s="111"/>
      <c r="J1152" s="111"/>
      <c r="K1152" s="112"/>
      <c r="L1152" s="113">
        <v>517739</v>
      </c>
      <c r="M1152" s="113">
        <v>0</v>
      </c>
      <c r="N1152" s="113">
        <v>0</v>
      </c>
      <c r="O1152" s="113">
        <f t="shared" si="347"/>
        <v>517739</v>
      </c>
      <c r="P1152" s="113">
        <v>0</v>
      </c>
      <c r="Q1152" s="114" t="e">
        <f t="shared" si="348"/>
        <v>#DIV/0!</v>
      </c>
      <c r="R1152" s="115"/>
      <c r="S1152" s="335">
        <v>43830</v>
      </c>
    </row>
    <row r="1153" spans="1:19" customFormat="1" ht="31.5">
      <c r="A1153" s="107">
        <f t="shared" ref="A1153:A1216" si="349">A1152+1</f>
        <v>67</v>
      </c>
      <c r="B1153" s="301" t="s">
        <v>289</v>
      </c>
      <c r="C1153" s="108">
        <v>1966</v>
      </c>
      <c r="D1153" s="108"/>
      <c r="E1153" s="109" t="s">
        <v>218</v>
      </c>
      <c r="F1153" s="110">
        <v>5</v>
      </c>
      <c r="G1153" s="110">
        <v>4</v>
      </c>
      <c r="H1153" s="111"/>
      <c r="I1153" s="111"/>
      <c r="J1153" s="111"/>
      <c r="K1153" s="112"/>
      <c r="L1153" s="113">
        <v>1728895</v>
      </c>
      <c r="M1153" s="113">
        <v>0</v>
      </c>
      <c r="N1153" s="113">
        <v>0</v>
      </c>
      <c r="O1153" s="113">
        <f t="shared" si="347"/>
        <v>1728895</v>
      </c>
      <c r="P1153" s="113">
        <v>0</v>
      </c>
      <c r="Q1153" s="114" t="e">
        <f t="shared" si="348"/>
        <v>#DIV/0!</v>
      </c>
      <c r="R1153" s="115"/>
      <c r="S1153" s="335">
        <v>43830</v>
      </c>
    </row>
    <row r="1154" spans="1:19" customFormat="1" ht="15.75">
      <c r="A1154" s="107">
        <f t="shared" si="349"/>
        <v>68</v>
      </c>
      <c r="B1154" s="305" t="s">
        <v>259</v>
      </c>
      <c r="C1154" s="118">
        <v>1925</v>
      </c>
      <c r="D1154" s="118"/>
      <c r="E1154" s="109" t="s">
        <v>221</v>
      </c>
      <c r="F1154" s="118">
        <v>2</v>
      </c>
      <c r="G1154" s="118">
        <v>2</v>
      </c>
      <c r="H1154" s="118"/>
      <c r="I1154" s="118"/>
      <c r="J1154" s="118"/>
      <c r="K1154" s="119"/>
      <c r="L1154" s="113">
        <v>682529</v>
      </c>
      <c r="M1154" s="113">
        <v>0</v>
      </c>
      <c r="N1154" s="113">
        <v>0</v>
      </c>
      <c r="O1154" s="113">
        <f t="shared" si="347"/>
        <v>682529</v>
      </c>
      <c r="P1154" s="113">
        <v>0</v>
      </c>
      <c r="Q1154" s="114" t="e">
        <f t="shared" si="348"/>
        <v>#DIV/0!</v>
      </c>
      <c r="R1154" s="115"/>
      <c r="S1154" s="335">
        <v>43830</v>
      </c>
    </row>
    <row r="1155" spans="1:19" customFormat="1" ht="15.75">
      <c r="A1155" s="107">
        <f t="shared" si="349"/>
        <v>69</v>
      </c>
      <c r="B1155" s="305" t="s">
        <v>291</v>
      </c>
      <c r="C1155" s="108">
        <v>1900</v>
      </c>
      <c r="D1155" s="108"/>
      <c r="E1155" s="109" t="s">
        <v>221</v>
      </c>
      <c r="F1155" s="110">
        <v>2</v>
      </c>
      <c r="G1155" s="110">
        <v>2</v>
      </c>
      <c r="H1155" s="111"/>
      <c r="I1155" s="111"/>
      <c r="J1155" s="111"/>
      <c r="K1155" s="112"/>
      <c r="L1155" s="113">
        <v>582157</v>
      </c>
      <c r="M1155" s="113">
        <v>0</v>
      </c>
      <c r="N1155" s="113">
        <v>0</v>
      </c>
      <c r="O1155" s="113">
        <f t="shared" si="347"/>
        <v>582157</v>
      </c>
      <c r="P1155" s="113">
        <v>0</v>
      </c>
      <c r="Q1155" s="114" t="e">
        <f t="shared" si="348"/>
        <v>#DIV/0!</v>
      </c>
      <c r="R1155" s="115"/>
      <c r="S1155" s="335">
        <v>43830</v>
      </c>
    </row>
    <row r="1156" spans="1:19" customFormat="1" ht="31.5">
      <c r="A1156" s="107">
        <f t="shared" si="349"/>
        <v>70</v>
      </c>
      <c r="B1156" s="305" t="s">
        <v>224</v>
      </c>
      <c r="C1156" s="118">
        <v>1934</v>
      </c>
      <c r="D1156" s="118"/>
      <c r="E1156" s="109" t="s">
        <v>218</v>
      </c>
      <c r="F1156" s="118">
        <v>3</v>
      </c>
      <c r="G1156" s="118">
        <v>5</v>
      </c>
      <c r="H1156" s="118"/>
      <c r="I1156" s="118"/>
      <c r="J1156" s="118"/>
      <c r="K1156" s="119"/>
      <c r="L1156" s="113">
        <v>701704</v>
      </c>
      <c r="M1156" s="113">
        <v>0</v>
      </c>
      <c r="N1156" s="113">
        <v>0</v>
      </c>
      <c r="O1156" s="113">
        <f t="shared" si="347"/>
        <v>701704</v>
      </c>
      <c r="P1156" s="113">
        <v>0</v>
      </c>
      <c r="Q1156" s="114" t="e">
        <f t="shared" si="348"/>
        <v>#DIV/0!</v>
      </c>
      <c r="R1156" s="115"/>
      <c r="S1156" s="335">
        <v>43830</v>
      </c>
    </row>
    <row r="1157" spans="1:19" customFormat="1" ht="15.75">
      <c r="A1157" s="107">
        <f t="shared" si="349"/>
        <v>71</v>
      </c>
      <c r="B1157" s="305" t="s">
        <v>261</v>
      </c>
      <c r="C1157" s="118">
        <v>1970</v>
      </c>
      <c r="D1157" s="118"/>
      <c r="E1157" s="109" t="s">
        <v>219</v>
      </c>
      <c r="F1157" s="118">
        <v>5</v>
      </c>
      <c r="G1157" s="118">
        <v>6</v>
      </c>
      <c r="H1157" s="118"/>
      <c r="I1157" s="118"/>
      <c r="J1157" s="118"/>
      <c r="K1157" s="119"/>
      <c r="L1157" s="113">
        <v>1969149</v>
      </c>
      <c r="M1157" s="113">
        <v>0</v>
      </c>
      <c r="N1157" s="113">
        <v>0</v>
      </c>
      <c r="O1157" s="113">
        <f t="shared" si="347"/>
        <v>1969149</v>
      </c>
      <c r="P1157" s="113">
        <v>0</v>
      </c>
      <c r="Q1157" s="114" t="e">
        <f t="shared" si="348"/>
        <v>#DIV/0!</v>
      </c>
      <c r="R1157" s="115"/>
      <c r="S1157" s="335">
        <v>43830</v>
      </c>
    </row>
    <row r="1158" spans="1:19" customFormat="1" ht="31.5">
      <c r="A1158" s="107">
        <f t="shared" si="349"/>
        <v>72</v>
      </c>
      <c r="B1158" s="305" t="s">
        <v>239</v>
      </c>
      <c r="C1158" s="118">
        <v>1956</v>
      </c>
      <c r="D1158" s="118"/>
      <c r="E1158" s="109" t="s">
        <v>218</v>
      </c>
      <c r="F1158" s="118">
        <v>3</v>
      </c>
      <c r="G1158" s="118">
        <v>3</v>
      </c>
      <c r="H1158" s="118"/>
      <c r="I1158" s="118"/>
      <c r="J1158" s="118"/>
      <c r="K1158" s="119"/>
      <c r="L1158" s="113">
        <v>1023088</v>
      </c>
      <c r="M1158" s="113">
        <v>0</v>
      </c>
      <c r="N1158" s="113">
        <v>0</v>
      </c>
      <c r="O1158" s="113">
        <f t="shared" si="347"/>
        <v>1023088</v>
      </c>
      <c r="P1158" s="113">
        <v>0</v>
      </c>
      <c r="Q1158" s="114" t="e">
        <f t="shared" si="348"/>
        <v>#DIV/0!</v>
      </c>
      <c r="R1158" s="115"/>
      <c r="S1158" s="335">
        <v>43830</v>
      </c>
    </row>
    <row r="1159" spans="1:19" customFormat="1" ht="31.5">
      <c r="A1159" s="107">
        <f t="shared" si="349"/>
        <v>73</v>
      </c>
      <c r="B1159" s="305" t="s">
        <v>336</v>
      </c>
      <c r="C1159" s="118">
        <v>1957</v>
      </c>
      <c r="D1159" s="118"/>
      <c r="E1159" s="109" t="s">
        <v>218</v>
      </c>
      <c r="F1159" s="118">
        <v>3</v>
      </c>
      <c r="G1159" s="118">
        <v>3</v>
      </c>
      <c r="H1159" s="118"/>
      <c r="I1159" s="118"/>
      <c r="J1159" s="118"/>
      <c r="K1159" s="119"/>
      <c r="L1159" s="113">
        <v>3334570</v>
      </c>
      <c r="M1159" s="113">
        <v>0</v>
      </c>
      <c r="N1159" s="113">
        <v>0</v>
      </c>
      <c r="O1159" s="113">
        <f t="shared" si="347"/>
        <v>3334570</v>
      </c>
      <c r="P1159" s="113">
        <v>0</v>
      </c>
      <c r="Q1159" s="114" t="e">
        <f t="shared" si="348"/>
        <v>#DIV/0!</v>
      </c>
      <c r="R1159" s="115"/>
      <c r="S1159" s="335">
        <v>43830</v>
      </c>
    </row>
    <row r="1160" spans="1:19" customFormat="1" ht="31.5">
      <c r="A1160" s="107">
        <f t="shared" si="349"/>
        <v>74</v>
      </c>
      <c r="B1160" s="305" t="s">
        <v>306</v>
      </c>
      <c r="C1160" s="108">
        <v>1970</v>
      </c>
      <c r="D1160" s="108"/>
      <c r="E1160" s="109" t="s">
        <v>218</v>
      </c>
      <c r="F1160" s="110">
        <v>5</v>
      </c>
      <c r="G1160" s="110">
        <v>2</v>
      </c>
      <c r="H1160" s="111"/>
      <c r="I1160" s="111"/>
      <c r="J1160" s="111"/>
      <c r="K1160" s="112"/>
      <c r="L1160" s="113">
        <v>1127374.33</v>
      </c>
      <c r="M1160" s="113">
        <v>0</v>
      </c>
      <c r="N1160" s="113">
        <v>0</v>
      </c>
      <c r="O1160" s="113">
        <f t="shared" si="347"/>
        <v>1127374.33</v>
      </c>
      <c r="P1160" s="113">
        <v>0</v>
      </c>
      <c r="Q1160" s="114" t="e">
        <f t="shared" si="348"/>
        <v>#DIV/0!</v>
      </c>
      <c r="R1160" s="115"/>
      <c r="S1160" s="335">
        <v>43830</v>
      </c>
    </row>
    <row r="1161" spans="1:19" customFormat="1" ht="15.75">
      <c r="A1161" s="107">
        <f t="shared" si="349"/>
        <v>75</v>
      </c>
      <c r="B1161" s="301" t="s">
        <v>234</v>
      </c>
      <c r="C1161" s="118">
        <v>1968</v>
      </c>
      <c r="D1161" s="118"/>
      <c r="E1161" s="109" t="s">
        <v>219</v>
      </c>
      <c r="F1161" s="118">
        <v>5</v>
      </c>
      <c r="G1161" s="118">
        <v>6</v>
      </c>
      <c r="H1161" s="111"/>
      <c r="I1161" s="118"/>
      <c r="J1161" s="118"/>
      <c r="K1161" s="119"/>
      <c r="L1161" s="113">
        <v>1161456</v>
      </c>
      <c r="M1161" s="113">
        <v>0</v>
      </c>
      <c r="N1161" s="113">
        <v>0</v>
      </c>
      <c r="O1161" s="113">
        <f t="shared" si="347"/>
        <v>1161456</v>
      </c>
      <c r="P1161" s="113">
        <v>0</v>
      </c>
      <c r="Q1161" s="114" t="e">
        <f t="shared" si="348"/>
        <v>#DIV/0!</v>
      </c>
      <c r="R1161" s="115"/>
      <c r="S1161" s="335">
        <v>43830</v>
      </c>
    </row>
    <row r="1162" spans="1:19" customFormat="1" ht="31.5">
      <c r="A1162" s="107">
        <f t="shared" si="349"/>
        <v>76</v>
      </c>
      <c r="B1162" s="301" t="s">
        <v>277</v>
      </c>
      <c r="C1162" s="107">
        <v>1971</v>
      </c>
      <c r="D1162" s="108"/>
      <c r="E1162" s="109" t="s">
        <v>218</v>
      </c>
      <c r="F1162" s="108">
        <v>5</v>
      </c>
      <c r="G1162" s="108">
        <v>4</v>
      </c>
      <c r="H1162" s="117"/>
      <c r="I1162" s="117"/>
      <c r="J1162" s="117"/>
      <c r="K1162" s="101"/>
      <c r="L1162" s="113">
        <v>1197250.23</v>
      </c>
      <c r="M1162" s="113">
        <v>0</v>
      </c>
      <c r="N1162" s="113">
        <v>0</v>
      </c>
      <c r="O1162" s="113">
        <f t="shared" si="347"/>
        <v>1197250.23</v>
      </c>
      <c r="P1162" s="113">
        <v>0</v>
      </c>
      <c r="Q1162" s="114" t="e">
        <f t="shared" si="348"/>
        <v>#DIV/0!</v>
      </c>
      <c r="R1162" s="115"/>
      <c r="S1162" s="335">
        <v>43830</v>
      </c>
    </row>
    <row r="1163" spans="1:19" customFormat="1" ht="31.5">
      <c r="A1163" s="107">
        <f t="shared" si="349"/>
        <v>77</v>
      </c>
      <c r="B1163" s="305" t="s">
        <v>303</v>
      </c>
      <c r="C1163" s="108">
        <v>1954</v>
      </c>
      <c r="D1163" s="108"/>
      <c r="E1163" s="109" t="s">
        <v>218</v>
      </c>
      <c r="F1163" s="110">
        <v>4</v>
      </c>
      <c r="G1163" s="110">
        <v>3</v>
      </c>
      <c r="H1163" s="111"/>
      <c r="I1163" s="111"/>
      <c r="J1163" s="111"/>
      <c r="K1163" s="112"/>
      <c r="L1163" s="113">
        <v>2784233</v>
      </c>
      <c r="M1163" s="113">
        <v>0</v>
      </c>
      <c r="N1163" s="113">
        <v>0</v>
      </c>
      <c r="O1163" s="113">
        <f t="shared" si="347"/>
        <v>2784233</v>
      </c>
      <c r="P1163" s="113">
        <v>0</v>
      </c>
      <c r="Q1163" s="114" t="e">
        <f t="shared" si="348"/>
        <v>#DIV/0!</v>
      </c>
      <c r="R1163" s="115"/>
      <c r="S1163" s="335">
        <v>43830</v>
      </c>
    </row>
    <row r="1164" spans="1:19" customFormat="1" ht="31.5">
      <c r="A1164" s="107">
        <f t="shared" si="349"/>
        <v>78</v>
      </c>
      <c r="B1164" s="305" t="s">
        <v>293</v>
      </c>
      <c r="C1164" s="108">
        <v>1968</v>
      </c>
      <c r="D1164" s="108"/>
      <c r="E1164" s="109" t="s">
        <v>218</v>
      </c>
      <c r="F1164" s="110">
        <v>5</v>
      </c>
      <c r="G1164" s="110">
        <v>4</v>
      </c>
      <c r="H1164" s="111"/>
      <c r="I1164" s="111"/>
      <c r="J1164" s="111"/>
      <c r="K1164" s="112"/>
      <c r="L1164" s="113">
        <v>2369961</v>
      </c>
      <c r="M1164" s="113">
        <v>0</v>
      </c>
      <c r="N1164" s="113">
        <v>0</v>
      </c>
      <c r="O1164" s="113">
        <f t="shared" si="347"/>
        <v>2369961</v>
      </c>
      <c r="P1164" s="113">
        <v>0</v>
      </c>
      <c r="Q1164" s="114" t="e">
        <f t="shared" si="348"/>
        <v>#DIV/0!</v>
      </c>
      <c r="R1164" s="115"/>
      <c r="S1164" s="335">
        <v>43830</v>
      </c>
    </row>
    <row r="1165" spans="1:19" customFormat="1" ht="31.5">
      <c r="A1165" s="107">
        <f t="shared" si="349"/>
        <v>79</v>
      </c>
      <c r="B1165" s="301" t="s">
        <v>463</v>
      </c>
      <c r="C1165" s="107">
        <v>1959</v>
      </c>
      <c r="D1165" s="108"/>
      <c r="E1165" s="109" t="s">
        <v>218</v>
      </c>
      <c r="F1165" s="108">
        <v>2</v>
      </c>
      <c r="G1165" s="108">
        <v>1</v>
      </c>
      <c r="H1165" s="117"/>
      <c r="I1165" s="117"/>
      <c r="J1165" s="117"/>
      <c r="K1165" s="101"/>
      <c r="L1165" s="113">
        <v>672819</v>
      </c>
      <c r="M1165" s="113">
        <v>0</v>
      </c>
      <c r="N1165" s="113">
        <v>0</v>
      </c>
      <c r="O1165" s="113">
        <f t="shared" si="347"/>
        <v>672819</v>
      </c>
      <c r="P1165" s="113">
        <v>0</v>
      </c>
      <c r="Q1165" s="114" t="e">
        <f t="shared" si="348"/>
        <v>#DIV/0!</v>
      </c>
      <c r="R1165" s="115"/>
      <c r="S1165" s="335">
        <v>43830</v>
      </c>
    </row>
    <row r="1166" spans="1:19" customFormat="1" ht="15.75">
      <c r="A1166" s="107">
        <f t="shared" si="349"/>
        <v>80</v>
      </c>
      <c r="B1166" s="305" t="s">
        <v>340</v>
      </c>
      <c r="C1166" s="107">
        <v>1968</v>
      </c>
      <c r="D1166" s="108"/>
      <c r="E1166" s="109" t="s">
        <v>219</v>
      </c>
      <c r="F1166" s="108">
        <v>5</v>
      </c>
      <c r="G1166" s="108">
        <v>5</v>
      </c>
      <c r="H1166" s="117"/>
      <c r="I1166" s="117"/>
      <c r="J1166" s="117"/>
      <c r="K1166" s="101"/>
      <c r="L1166" s="113">
        <v>1651491</v>
      </c>
      <c r="M1166" s="113">
        <v>0</v>
      </c>
      <c r="N1166" s="113">
        <v>0</v>
      </c>
      <c r="O1166" s="113">
        <f t="shared" si="347"/>
        <v>1651491</v>
      </c>
      <c r="P1166" s="113">
        <v>0</v>
      </c>
      <c r="Q1166" s="114" t="e">
        <f t="shared" si="348"/>
        <v>#DIV/0!</v>
      </c>
      <c r="R1166" s="115"/>
      <c r="S1166" s="335">
        <v>43830</v>
      </c>
    </row>
    <row r="1167" spans="1:19" customFormat="1" ht="31.5">
      <c r="A1167" s="107">
        <f t="shared" si="349"/>
        <v>81</v>
      </c>
      <c r="B1167" s="301" t="s">
        <v>254</v>
      </c>
      <c r="C1167" s="118">
        <v>1962</v>
      </c>
      <c r="D1167" s="118"/>
      <c r="E1167" s="109" t="s">
        <v>218</v>
      </c>
      <c r="F1167" s="118">
        <v>3</v>
      </c>
      <c r="G1167" s="118">
        <v>3</v>
      </c>
      <c r="H1167" s="118"/>
      <c r="I1167" s="118"/>
      <c r="J1167" s="118"/>
      <c r="K1167" s="119"/>
      <c r="L1167" s="113">
        <v>1432926</v>
      </c>
      <c r="M1167" s="113">
        <v>0</v>
      </c>
      <c r="N1167" s="113">
        <v>0</v>
      </c>
      <c r="O1167" s="113">
        <f t="shared" si="347"/>
        <v>1432926</v>
      </c>
      <c r="P1167" s="113">
        <v>0</v>
      </c>
      <c r="Q1167" s="114" t="e">
        <f t="shared" si="348"/>
        <v>#DIV/0!</v>
      </c>
      <c r="R1167" s="115"/>
      <c r="S1167" s="335">
        <v>43830</v>
      </c>
    </row>
    <row r="1168" spans="1:19" customFormat="1" ht="31.5">
      <c r="A1168" s="107">
        <f t="shared" si="349"/>
        <v>82</v>
      </c>
      <c r="B1168" s="301" t="s">
        <v>343</v>
      </c>
      <c r="C1168" s="107">
        <v>1955</v>
      </c>
      <c r="D1168" s="108"/>
      <c r="E1168" s="109" t="s">
        <v>218</v>
      </c>
      <c r="F1168" s="108">
        <v>2</v>
      </c>
      <c r="G1168" s="108">
        <v>2</v>
      </c>
      <c r="H1168" s="117"/>
      <c r="I1168" s="117"/>
      <c r="J1168" s="117"/>
      <c r="K1168" s="101"/>
      <c r="L1168" s="113">
        <v>1137886</v>
      </c>
      <c r="M1168" s="113">
        <v>0</v>
      </c>
      <c r="N1168" s="113">
        <v>0</v>
      </c>
      <c r="O1168" s="113">
        <f t="shared" si="347"/>
        <v>1137886</v>
      </c>
      <c r="P1168" s="113">
        <v>0</v>
      </c>
      <c r="Q1168" s="114" t="e">
        <f t="shared" si="348"/>
        <v>#DIV/0!</v>
      </c>
      <c r="R1168" s="115"/>
      <c r="S1168" s="335">
        <v>43830</v>
      </c>
    </row>
    <row r="1169" spans="1:30" customFormat="1" ht="31.5">
      <c r="A1169" s="107">
        <f t="shared" si="349"/>
        <v>83</v>
      </c>
      <c r="B1169" s="305" t="s">
        <v>305</v>
      </c>
      <c r="C1169" s="108">
        <v>1971</v>
      </c>
      <c r="D1169" s="108"/>
      <c r="E1169" s="109" t="s">
        <v>218</v>
      </c>
      <c r="F1169" s="110">
        <v>5</v>
      </c>
      <c r="G1169" s="110">
        <v>4</v>
      </c>
      <c r="H1169" s="111"/>
      <c r="I1169" s="111"/>
      <c r="J1169" s="111"/>
      <c r="K1169" s="112"/>
      <c r="L1169" s="113">
        <v>1814838</v>
      </c>
      <c r="M1169" s="113">
        <v>0</v>
      </c>
      <c r="N1169" s="113">
        <v>0</v>
      </c>
      <c r="O1169" s="113">
        <f t="shared" si="347"/>
        <v>1814838</v>
      </c>
      <c r="P1169" s="113">
        <v>0</v>
      </c>
      <c r="Q1169" s="114" t="e">
        <f t="shared" si="348"/>
        <v>#DIV/0!</v>
      </c>
      <c r="R1169" s="115"/>
      <c r="S1169" s="335">
        <v>43830</v>
      </c>
    </row>
    <row r="1170" spans="1:30" customFormat="1" ht="31.5">
      <c r="A1170" s="107">
        <f t="shared" si="349"/>
        <v>84</v>
      </c>
      <c r="B1170" s="305" t="s">
        <v>345</v>
      </c>
      <c r="C1170" s="108">
        <v>1970</v>
      </c>
      <c r="D1170" s="108"/>
      <c r="E1170" s="109" t="s">
        <v>218</v>
      </c>
      <c r="F1170" s="110">
        <v>5</v>
      </c>
      <c r="G1170" s="110">
        <v>4</v>
      </c>
      <c r="H1170" s="111"/>
      <c r="I1170" s="111"/>
      <c r="J1170" s="111"/>
      <c r="K1170" s="112"/>
      <c r="L1170" s="113">
        <v>1544359.54</v>
      </c>
      <c r="M1170" s="113">
        <v>0</v>
      </c>
      <c r="N1170" s="113">
        <v>0</v>
      </c>
      <c r="O1170" s="113">
        <f t="shared" si="347"/>
        <v>1544359.54</v>
      </c>
      <c r="P1170" s="113">
        <v>0</v>
      </c>
      <c r="Q1170" s="114" t="e">
        <f t="shared" si="348"/>
        <v>#DIV/0!</v>
      </c>
      <c r="R1170" s="115"/>
      <c r="S1170" s="335">
        <v>43830</v>
      </c>
    </row>
    <row r="1171" spans="1:30" customFormat="1" ht="31.5">
      <c r="A1171" s="107">
        <f t="shared" si="349"/>
        <v>85</v>
      </c>
      <c r="B1171" s="301" t="s">
        <v>447</v>
      </c>
      <c r="C1171" s="108">
        <v>1987</v>
      </c>
      <c r="D1171" s="108"/>
      <c r="E1171" s="109" t="s">
        <v>219</v>
      </c>
      <c r="F1171" s="110">
        <v>9</v>
      </c>
      <c r="G1171" s="110">
        <v>1</v>
      </c>
      <c r="H1171" s="111"/>
      <c r="I1171" s="111"/>
      <c r="J1171" s="111"/>
      <c r="K1171" s="112"/>
      <c r="L1171" s="113">
        <v>1787034</v>
      </c>
      <c r="M1171" s="113">
        <v>0</v>
      </c>
      <c r="N1171" s="113">
        <v>0</v>
      </c>
      <c r="O1171" s="113">
        <f t="shared" si="347"/>
        <v>1787034</v>
      </c>
      <c r="P1171" s="113">
        <v>0</v>
      </c>
      <c r="Q1171" s="114" t="e">
        <f t="shared" si="348"/>
        <v>#DIV/0!</v>
      </c>
      <c r="R1171" s="115"/>
      <c r="S1171" s="335">
        <v>43830</v>
      </c>
    </row>
    <row r="1172" spans="1:30" customFormat="1" ht="31.5">
      <c r="A1172" s="107">
        <f t="shared" si="349"/>
        <v>86</v>
      </c>
      <c r="B1172" s="301" t="s">
        <v>223</v>
      </c>
      <c r="C1172" s="118">
        <v>1983</v>
      </c>
      <c r="D1172" s="118"/>
      <c r="E1172" s="109" t="s">
        <v>219</v>
      </c>
      <c r="F1172" s="118">
        <v>9</v>
      </c>
      <c r="G1172" s="118">
        <v>4</v>
      </c>
      <c r="H1172" s="118"/>
      <c r="I1172" s="118"/>
      <c r="J1172" s="118"/>
      <c r="K1172" s="119"/>
      <c r="L1172" s="113">
        <v>437998.57</v>
      </c>
      <c r="M1172" s="113">
        <v>0</v>
      </c>
      <c r="N1172" s="113">
        <v>0</v>
      </c>
      <c r="O1172" s="113">
        <f t="shared" si="347"/>
        <v>437998.57</v>
      </c>
      <c r="P1172" s="113">
        <v>0</v>
      </c>
      <c r="Q1172" s="114" t="e">
        <f t="shared" si="348"/>
        <v>#DIV/0!</v>
      </c>
      <c r="R1172" s="115"/>
      <c r="S1172" s="335">
        <v>43830</v>
      </c>
      <c r="T1172" s="3"/>
      <c r="U1172" s="3"/>
      <c r="V1172" s="3"/>
      <c r="W1172" s="3"/>
      <c r="X1172" s="3"/>
      <c r="Y1172" s="3"/>
    </row>
    <row r="1173" spans="1:30" customFormat="1" ht="31.5">
      <c r="A1173" s="107">
        <f t="shared" si="349"/>
        <v>87</v>
      </c>
      <c r="B1173" s="301" t="s">
        <v>446</v>
      </c>
      <c r="C1173" s="108">
        <v>1976</v>
      </c>
      <c r="D1173" s="108"/>
      <c r="E1173" s="109" t="s">
        <v>219</v>
      </c>
      <c r="F1173" s="110">
        <v>5</v>
      </c>
      <c r="G1173" s="110">
        <v>4</v>
      </c>
      <c r="H1173" s="111"/>
      <c r="I1173" s="111"/>
      <c r="J1173" s="111"/>
      <c r="K1173" s="112"/>
      <c r="L1173" s="113">
        <v>1116228</v>
      </c>
      <c r="M1173" s="113">
        <v>0</v>
      </c>
      <c r="N1173" s="113">
        <v>0</v>
      </c>
      <c r="O1173" s="113">
        <f t="shared" si="347"/>
        <v>1116228</v>
      </c>
      <c r="P1173" s="113">
        <v>0</v>
      </c>
      <c r="Q1173" s="114" t="e">
        <f t="shared" si="348"/>
        <v>#DIV/0!</v>
      </c>
      <c r="R1173" s="115"/>
      <c r="S1173" s="335">
        <v>43830</v>
      </c>
      <c r="Z1173" s="3"/>
      <c r="AA1173" s="3"/>
      <c r="AB1173" s="3"/>
      <c r="AC1173" s="3"/>
      <c r="AD1173" s="3"/>
    </row>
    <row r="1174" spans="1:30" customFormat="1" ht="31.5">
      <c r="A1174" s="107">
        <f t="shared" si="349"/>
        <v>88</v>
      </c>
      <c r="B1174" s="301" t="s">
        <v>448</v>
      </c>
      <c r="C1174" s="108">
        <v>1983</v>
      </c>
      <c r="D1174" s="108"/>
      <c r="E1174" s="109" t="s">
        <v>219</v>
      </c>
      <c r="F1174" s="110">
        <v>5</v>
      </c>
      <c r="G1174" s="110">
        <v>3</v>
      </c>
      <c r="H1174" s="111"/>
      <c r="I1174" s="111"/>
      <c r="J1174" s="111"/>
      <c r="K1174" s="112"/>
      <c r="L1174" s="113">
        <v>1313728</v>
      </c>
      <c r="M1174" s="113">
        <v>0</v>
      </c>
      <c r="N1174" s="113">
        <v>0</v>
      </c>
      <c r="O1174" s="113">
        <f t="shared" si="347"/>
        <v>1313728</v>
      </c>
      <c r="P1174" s="113">
        <v>0</v>
      </c>
      <c r="Q1174" s="114" t="e">
        <f t="shared" si="348"/>
        <v>#DIV/0!</v>
      </c>
      <c r="R1174" s="115"/>
      <c r="S1174" s="335">
        <v>43830</v>
      </c>
      <c r="T1174" s="62"/>
      <c r="U1174" s="62"/>
      <c r="V1174" s="62"/>
      <c r="W1174" s="62"/>
      <c r="X1174" s="62"/>
      <c r="Y1174" s="62"/>
    </row>
    <row r="1175" spans="1:30" customFormat="1" ht="31.5">
      <c r="A1175" s="107">
        <f t="shared" si="349"/>
        <v>89</v>
      </c>
      <c r="B1175" s="305" t="s">
        <v>241</v>
      </c>
      <c r="C1175" s="118">
        <v>1958</v>
      </c>
      <c r="D1175" s="118"/>
      <c r="E1175" s="109" t="s">
        <v>218</v>
      </c>
      <c r="F1175" s="118">
        <v>2</v>
      </c>
      <c r="G1175" s="118">
        <v>1</v>
      </c>
      <c r="H1175" s="118"/>
      <c r="I1175" s="118"/>
      <c r="J1175" s="118"/>
      <c r="K1175" s="119"/>
      <c r="L1175" s="113">
        <v>359651</v>
      </c>
      <c r="M1175" s="113">
        <v>0</v>
      </c>
      <c r="N1175" s="113">
        <v>0</v>
      </c>
      <c r="O1175" s="113">
        <f t="shared" si="347"/>
        <v>359651</v>
      </c>
      <c r="P1175" s="113">
        <v>0</v>
      </c>
      <c r="Q1175" s="114" t="e">
        <f t="shared" si="348"/>
        <v>#DIV/0!</v>
      </c>
      <c r="R1175" s="115"/>
      <c r="S1175" s="335">
        <v>43830</v>
      </c>
      <c r="Z1175" s="62"/>
      <c r="AA1175" s="62"/>
      <c r="AB1175" s="62"/>
      <c r="AC1175" s="62"/>
      <c r="AD1175" s="62"/>
    </row>
    <row r="1176" spans="1:30" customFormat="1" ht="15.75">
      <c r="A1176" s="107">
        <f t="shared" si="349"/>
        <v>90</v>
      </c>
      <c r="B1176" s="305" t="s">
        <v>233</v>
      </c>
      <c r="C1176" s="118">
        <v>1965</v>
      </c>
      <c r="D1176" s="118"/>
      <c r="E1176" s="109" t="s">
        <v>219</v>
      </c>
      <c r="F1176" s="118">
        <v>5</v>
      </c>
      <c r="G1176" s="118">
        <v>5</v>
      </c>
      <c r="H1176" s="118"/>
      <c r="I1176" s="118"/>
      <c r="J1176" s="118"/>
      <c r="K1176" s="119"/>
      <c r="L1176" s="113">
        <v>906779</v>
      </c>
      <c r="M1176" s="113">
        <v>0</v>
      </c>
      <c r="N1176" s="113">
        <v>0</v>
      </c>
      <c r="O1176" s="113">
        <f t="shared" si="347"/>
        <v>906779</v>
      </c>
      <c r="P1176" s="113">
        <v>0</v>
      </c>
      <c r="Q1176" s="114" t="e">
        <f t="shared" si="348"/>
        <v>#DIV/0!</v>
      </c>
      <c r="R1176" s="115"/>
      <c r="S1176" s="335">
        <v>43830</v>
      </c>
    </row>
    <row r="1177" spans="1:30" customFormat="1" ht="31.5">
      <c r="A1177" s="107">
        <f t="shared" si="349"/>
        <v>91</v>
      </c>
      <c r="B1177" s="305" t="s">
        <v>278</v>
      </c>
      <c r="C1177" s="107">
        <v>1958</v>
      </c>
      <c r="D1177" s="108"/>
      <c r="E1177" s="109" t="s">
        <v>218</v>
      </c>
      <c r="F1177" s="108">
        <v>2</v>
      </c>
      <c r="G1177" s="108">
        <v>1</v>
      </c>
      <c r="H1177" s="117"/>
      <c r="I1177" s="117"/>
      <c r="J1177" s="117"/>
      <c r="K1177" s="101"/>
      <c r="L1177" s="113">
        <v>886559</v>
      </c>
      <c r="M1177" s="113">
        <v>0</v>
      </c>
      <c r="N1177" s="113">
        <v>0</v>
      </c>
      <c r="O1177" s="113">
        <f t="shared" si="347"/>
        <v>886559</v>
      </c>
      <c r="P1177" s="113">
        <v>0</v>
      </c>
      <c r="Q1177" s="114" t="e">
        <f t="shared" si="348"/>
        <v>#DIV/0!</v>
      </c>
      <c r="R1177" s="115"/>
      <c r="S1177" s="335">
        <v>43830</v>
      </c>
    </row>
    <row r="1178" spans="1:30" customFormat="1" ht="31.5">
      <c r="A1178" s="107">
        <f t="shared" si="349"/>
        <v>92</v>
      </c>
      <c r="B1178" s="305" t="s">
        <v>347</v>
      </c>
      <c r="C1178" s="108">
        <v>1959</v>
      </c>
      <c r="D1178" s="108"/>
      <c r="E1178" s="109" t="s">
        <v>218</v>
      </c>
      <c r="F1178" s="110">
        <v>2</v>
      </c>
      <c r="G1178" s="110">
        <v>1</v>
      </c>
      <c r="H1178" s="111"/>
      <c r="I1178" s="111"/>
      <c r="J1178" s="111"/>
      <c r="K1178" s="112"/>
      <c r="L1178" s="113">
        <v>642210</v>
      </c>
      <c r="M1178" s="113">
        <v>0</v>
      </c>
      <c r="N1178" s="113">
        <v>0</v>
      </c>
      <c r="O1178" s="113">
        <f t="shared" si="347"/>
        <v>642210</v>
      </c>
      <c r="P1178" s="113">
        <v>0</v>
      </c>
      <c r="Q1178" s="114" t="e">
        <f t="shared" si="348"/>
        <v>#DIV/0!</v>
      </c>
      <c r="R1178" s="115"/>
      <c r="S1178" s="335">
        <v>43830</v>
      </c>
    </row>
    <row r="1179" spans="1:30" customFormat="1" ht="31.5">
      <c r="A1179" s="107">
        <f t="shared" si="349"/>
        <v>93</v>
      </c>
      <c r="B1179" s="301" t="s">
        <v>266</v>
      </c>
      <c r="C1179" s="118">
        <v>1957</v>
      </c>
      <c r="D1179" s="118"/>
      <c r="E1179" s="109" t="s">
        <v>218</v>
      </c>
      <c r="F1179" s="118">
        <v>4</v>
      </c>
      <c r="G1179" s="118">
        <v>3</v>
      </c>
      <c r="H1179" s="118"/>
      <c r="I1179" s="118"/>
      <c r="J1179" s="118"/>
      <c r="K1179" s="119"/>
      <c r="L1179" s="113">
        <v>1952489</v>
      </c>
      <c r="M1179" s="113">
        <v>0</v>
      </c>
      <c r="N1179" s="113">
        <v>0</v>
      </c>
      <c r="O1179" s="113">
        <f t="shared" si="347"/>
        <v>1952489</v>
      </c>
      <c r="P1179" s="113">
        <v>0</v>
      </c>
      <c r="Q1179" s="114" t="e">
        <f t="shared" si="348"/>
        <v>#DIV/0!</v>
      </c>
      <c r="R1179" s="115"/>
      <c r="S1179" s="335">
        <v>43830</v>
      </c>
    </row>
    <row r="1180" spans="1:30" customFormat="1" ht="15.75">
      <c r="A1180" s="107">
        <f t="shared" si="349"/>
        <v>94</v>
      </c>
      <c r="B1180" s="301" t="s">
        <v>310</v>
      </c>
      <c r="C1180" s="108">
        <v>1983</v>
      </c>
      <c r="D1180" s="108"/>
      <c r="E1180" s="109" t="s">
        <v>219</v>
      </c>
      <c r="F1180" s="110">
        <v>9</v>
      </c>
      <c r="G1180" s="110">
        <v>8</v>
      </c>
      <c r="H1180" s="111"/>
      <c r="I1180" s="111"/>
      <c r="J1180" s="111"/>
      <c r="K1180" s="112"/>
      <c r="L1180" s="113">
        <v>15157748</v>
      </c>
      <c r="M1180" s="113">
        <v>0</v>
      </c>
      <c r="N1180" s="113">
        <v>0</v>
      </c>
      <c r="O1180" s="113">
        <f t="shared" si="347"/>
        <v>15157748</v>
      </c>
      <c r="P1180" s="113">
        <v>0</v>
      </c>
      <c r="Q1180" s="114" t="e">
        <f t="shared" si="348"/>
        <v>#DIV/0!</v>
      </c>
      <c r="R1180" s="115"/>
      <c r="S1180" s="335">
        <v>43830</v>
      </c>
    </row>
    <row r="1181" spans="1:30" customFormat="1" ht="31.5">
      <c r="A1181" s="107">
        <f t="shared" si="349"/>
        <v>95</v>
      </c>
      <c r="B1181" s="305" t="s">
        <v>281</v>
      </c>
      <c r="C1181" s="107">
        <v>1959</v>
      </c>
      <c r="D1181" s="108"/>
      <c r="E1181" s="109" t="s">
        <v>218</v>
      </c>
      <c r="F1181" s="108">
        <v>4</v>
      </c>
      <c r="G1181" s="108">
        <v>5</v>
      </c>
      <c r="H1181" s="117"/>
      <c r="I1181" s="117"/>
      <c r="J1181" s="117"/>
      <c r="K1181" s="101"/>
      <c r="L1181" s="113">
        <v>2542298.37</v>
      </c>
      <c r="M1181" s="113">
        <v>0</v>
      </c>
      <c r="N1181" s="113">
        <v>0</v>
      </c>
      <c r="O1181" s="113">
        <f t="shared" si="347"/>
        <v>2542298.37</v>
      </c>
      <c r="P1181" s="113">
        <v>0</v>
      </c>
      <c r="Q1181" s="114" t="e">
        <f t="shared" si="348"/>
        <v>#DIV/0!</v>
      </c>
      <c r="R1181" s="115"/>
      <c r="S1181" s="335">
        <v>43830</v>
      </c>
    </row>
    <row r="1182" spans="1:30" customFormat="1" ht="15.75">
      <c r="A1182" s="107">
        <f t="shared" si="349"/>
        <v>96</v>
      </c>
      <c r="B1182" s="301" t="s">
        <v>248</v>
      </c>
      <c r="C1182" s="118">
        <v>1983</v>
      </c>
      <c r="D1182" s="118"/>
      <c r="E1182" s="109" t="s">
        <v>219</v>
      </c>
      <c r="F1182" s="118">
        <v>9</v>
      </c>
      <c r="G1182" s="118">
        <v>1</v>
      </c>
      <c r="H1182" s="118"/>
      <c r="I1182" s="118"/>
      <c r="J1182" s="118"/>
      <c r="K1182" s="119"/>
      <c r="L1182" s="113">
        <v>1114586</v>
      </c>
      <c r="M1182" s="113">
        <v>0</v>
      </c>
      <c r="N1182" s="113">
        <v>0</v>
      </c>
      <c r="O1182" s="113">
        <f t="shared" si="347"/>
        <v>1114586</v>
      </c>
      <c r="P1182" s="113">
        <v>0</v>
      </c>
      <c r="Q1182" s="114" t="e">
        <f t="shared" si="348"/>
        <v>#DIV/0!</v>
      </c>
      <c r="R1182" s="115"/>
      <c r="S1182" s="335">
        <v>43830</v>
      </c>
      <c r="T1182" s="3"/>
      <c r="U1182" s="3"/>
      <c r="V1182" s="3"/>
      <c r="W1182" s="3"/>
      <c r="X1182" s="3"/>
      <c r="Y1182" s="3"/>
    </row>
    <row r="1183" spans="1:30" customFormat="1" ht="15.75">
      <c r="A1183" s="107">
        <f t="shared" si="349"/>
        <v>97</v>
      </c>
      <c r="B1183" s="301" t="s">
        <v>301</v>
      </c>
      <c r="C1183" s="108">
        <v>1975</v>
      </c>
      <c r="D1183" s="108"/>
      <c r="E1183" s="109" t="s">
        <v>219</v>
      </c>
      <c r="F1183" s="110">
        <v>9</v>
      </c>
      <c r="G1183" s="110">
        <v>3</v>
      </c>
      <c r="H1183" s="111"/>
      <c r="I1183" s="111"/>
      <c r="J1183" s="111"/>
      <c r="K1183" s="112"/>
      <c r="L1183" s="113">
        <v>5623853</v>
      </c>
      <c r="M1183" s="113">
        <v>0</v>
      </c>
      <c r="N1183" s="113">
        <v>0</v>
      </c>
      <c r="O1183" s="113">
        <f t="shared" si="347"/>
        <v>5623853</v>
      </c>
      <c r="P1183" s="113">
        <v>0</v>
      </c>
      <c r="Q1183" s="114" t="e">
        <f t="shared" si="348"/>
        <v>#DIV/0!</v>
      </c>
      <c r="R1183" s="115"/>
      <c r="S1183" s="335">
        <v>43830</v>
      </c>
      <c r="Z1183" s="3"/>
      <c r="AA1183" s="3"/>
      <c r="AB1183" s="3"/>
      <c r="AC1183" s="3"/>
      <c r="AD1183" s="3"/>
    </row>
    <row r="1184" spans="1:30" customFormat="1" ht="15.75">
      <c r="A1184" s="107">
        <f t="shared" si="349"/>
        <v>98</v>
      </c>
      <c r="B1184" s="301" t="s">
        <v>244</v>
      </c>
      <c r="C1184" s="118">
        <v>1976</v>
      </c>
      <c r="D1184" s="118"/>
      <c r="E1184" s="109" t="s">
        <v>219</v>
      </c>
      <c r="F1184" s="118">
        <v>9</v>
      </c>
      <c r="G1184" s="118">
        <v>4</v>
      </c>
      <c r="H1184" s="118"/>
      <c r="I1184" s="118"/>
      <c r="J1184" s="118"/>
      <c r="K1184" s="119"/>
      <c r="L1184" s="113">
        <v>2721106</v>
      </c>
      <c r="M1184" s="113">
        <v>0</v>
      </c>
      <c r="N1184" s="113">
        <v>0</v>
      </c>
      <c r="O1184" s="113">
        <f t="shared" si="347"/>
        <v>2721106</v>
      </c>
      <c r="P1184" s="113">
        <v>0</v>
      </c>
      <c r="Q1184" s="114" t="e">
        <f t="shared" si="348"/>
        <v>#DIV/0!</v>
      </c>
      <c r="R1184" s="115"/>
      <c r="S1184" s="335">
        <v>43830</v>
      </c>
    </row>
    <row r="1185" spans="1:30" customFormat="1" ht="15.75">
      <c r="A1185" s="107">
        <f t="shared" si="349"/>
        <v>99</v>
      </c>
      <c r="B1185" s="305" t="s">
        <v>288</v>
      </c>
      <c r="C1185" s="107">
        <v>1973</v>
      </c>
      <c r="D1185" s="108"/>
      <c r="E1185" s="109" t="s">
        <v>219</v>
      </c>
      <c r="F1185" s="108">
        <v>9</v>
      </c>
      <c r="G1185" s="108">
        <v>6</v>
      </c>
      <c r="H1185" s="117"/>
      <c r="I1185" s="117"/>
      <c r="J1185" s="117"/>
      <c r="K1185" s="101"/>
      <c r="L1185" s="113">
        <v>9789326.5500000007</v>
      </c>
      <c r="M1185" s="113">
        <v>0</v>
      </c>
      <c r="N1185" s="113">
        <v>0</v>
      </c>
      <c r="O1185" s="113">
        <f t="shared" si="347"/>
        <v>9789326.5500000007</v>
      </c>
      <c r="P1185" s="113">
        <v>0</v>
      </c>
      <c r="Q1185" s="114" t="e">
        <f t="shared" si="348"/>
        <v>#DIV/0!</v>
      </c>
      <c r="R1185" s="115"/>
      <c r="S1185" s="335">
        <v>43830</v>
      </c>
    </row>
    <row r="1186" spans="1:30" customFormat="1" ht="31.5">
      <c r="A1186" s="107">
        <f t="shared" si="349"/>
        <v>100</v>
      </c>
      <c r="B1186" s="305" t="s">
        <v>249</v>
      </c>
      <c r="C1186" s="118" t="s">
        <v>190</v>
      </c>
      <c r="D1186" s="118"/>
      <c r="E1186" s="109" t="s">
        <v>218</v>
      </c>
      <c r="F1186" s="118">
        <v>3</v>
      </c>
      <c r="G1186" s="118">
        <v>3</v>
      </c>
      <c r="H1186" s="118"/>
      <c r="I1186" s="118"/>
      <c r="J1186" s="118"/>
      <c r="K1186" s="119"/>
      <c r="L1186" s="113">
        <v>1615074</v>
      </c>
      <c r="M1186" s="113">
        <v>0</v>
      </c>
      <c r="N1186" s="113">
        <v>0</v>
      </c>
      <c r="O1186" s="113">
        <f t="shared" si="347"/>
        <v>1615074</v>
      </c>
      <c r="P1186" s="113">
        <v>0</v>
      </c>
      <c r="Q1186" s="114" t="e">
        <f t="shared" si="348"/>
        <v>#DIV/0!</v>
      </c>
      <c r="R1186" s="115"/>
      <c r="S1186" s="335">
        <v>43830</v>
      </c>
    </row>
    <row r="1187" spans="1:30" customFormat="1" ht="31.5">
      <c r="A1187" s="107">
        <f t="shared" si="349"/>
        <v>101</v>
      </c>
      <c r="B1187" s="301" t="s">
        <v>265</v>
      </c>
      <c r="C1187" s="118">
        <v>1953</v>
      </c>
      <c r="D1187" s="118"/>
      <c r="E1187" s="109" t="s">
        <v>218</v>
      </c>
      <c r="F1187" s="118">
        <v>2</v>
      </c>
      <c r="G1187" s="118">
        <v>2</v>
      </c>
      <c r="H1187" s="118"/>
      <c r="I1187" s="118"/>
      <c r="J1187" s="118"/>
      <c r="K1187" s="119"/>
      <c r="L1187" s="113">
        <v>824390</v>
      </c>
      <c r="M1187" s="113">
        <v>0</v>
      </c>
      <c r="N1187" s="113">
        <v>0</v>
      </c>
      <c r="O1187" s="113">
        <f t="shared" si="347"/>
        <v>824390</v>
      </c>
      <c r="P1187" s="113">
        <v>0</v>
      </c>
      <c r="Q1187" s="114" t="e">
        <f t="shared" si="348"/>
        <v>#DIV/0!</v>
      </c>
      <c r="R1187" s="115"/>
      <c r="S1187" s="335">
        <v>43830</v>
      </c>
    </row>
    <row r="1188" spans="1:30" customFormat="1" ht="15.75">
      <c r="A1188" s="107">
        <f t="shared" si="349"/>
        <v>102</v>
      </c>
      <c r="B1188" s="305" t="s">
        <v>292</v>
      </c>
      <c r="C1188" s="108">
        <v>1951</v>
      </c>
      <c r="D1188" s="108"/>
      <c r="E1188" s="109" t="s">
        <v>220</v>
      </c>
      <c r="F1188" s="110">
        <v>2</v>
      </c>
      <c r="G1188" s="110">
        <v>3</v>
      </c>
      <c r="H1188" s="111"/>
      <c r="I1188" s="111"/>
      <c r="J1188" s="111"/>
      <c r="K1188" s="112"/>
      <c r="L1188" s="113">
        <v>2661189</v>
      </c>
      <c r="M1188" s="113">
        <v>0</v>
      </c>
      <c r="N1188" s="113">
        <v>0</v>
      </c>
      <c r="O1188" s="113">
        <f t="shared" si="347"/>
        <v>2661189</v>
      </c>
      <c r="P1188" s="113">
        <v>0</v>
      </c>
      <c r="Q1188" s="114" t="e">
        <f t="shared" si="348"/>
        <v>#DIV/0!</v>
      </c>
      <c r="R1188" s="115"/>
      <c r="S1188" s="335">
        <v>43830</v>
      </c>
    </row>
    <row r="1189" spans="1:30" s="62" customFormat="1" ht="31.5">
      <c r="A1189" s="107">
        <f t="shared" si="349"/>
        <v>103</v>
      </c>
      <c r="B1189" s="305" t="s">
        <v>276</v>
      </c>
      <c r="C1189" s="107">
        <v>1959</v>
      </c>
      <c r="D1189" s="108"/>
      <c r="E1189" s="109" t="s">
        <v>218</v>
      </c>
      <c r="F1189" s="108">
        <v>2</v>
      </c>
      <c r="G1189" s="108">
        <v>1</v>
      </c>
      <c r="H1189" s="117"/>
      <c r="I1189" s="117"/>
      <c r="J1189" s="117"/>
      <c r="K1189" s="101"/>
      <c r="L1189" s="113">
        <v>278220</v>
      </c>
      <c r="M1189" s="113">
        <v>0</v>
      </c>
      <c r="N1189" s="113">
        <v>0</v>
      </c>
      <c r="O1189" s="113">
        <f t="shared" si="347"/>
        <v>278220</v>
      </c>
      <c r="P1189" s="113">
        <v>0</v>
      </c>
      <c r="Q1189" s="114" t="e">
        <f t="shared" si="348"/>
        <v>#DIV/0!</v>
      </c>
      <c r="R1189" s="115"/>
      <c r="S1189" s="335">
        <v>43830</v>
      </c>
      <c r="T1189"/>
      <c r="U1189"/>
      <c r="V1189"/>
      <c r="W1189"/>
      <c r="X1189"/>
      <c r="Y1189"/>
      <c r="Z1189"/>
      <c r="AA1189"/>
      <c r="AB1189"/>
      <c r="AC1189"/>
      <c r="AD1189"/>
    </row>
    <row r="1190" spans="1:30" customFormat="1" ht="31.5">
      <c r="A1190" s="107">
        <f t="shared" si="349"/>
        <v>104</v>
      </c>
      <c r="B1190" s="301" t="s">
        <v>229</v>
      </c>
      <c r="C1190" s="118">
        <v>1928</v>
      </c>
      <c r="D1190" s="118"/>
      <c r="E1190" s="109" t="s">
        <v>218</v>
      </c>
      <c r="F1190" s="118">
        <v>3</v>
      </c>
      <c r="G1190" s="118">
        <v>6</v>
      </c>
      <c r="H1190" s="118"/>
      <c r="I1190" s="118"/>
      <c r="J1190" s="118"/>
      <c r="K1190" s="119"/>
      <c r="L1190" s="113">
        <v>2511472</v>
      </c>
      <c r="M1190" s="113">
        <v>0</v>
      </c>
      <c r="N1190" s="113">
        <v>0</v>
      </c>
      <c r="O1190" s="113">
        <f t="shared" si="347"/>
        <v>2511472</v>
      </c>
      <c r="P1190" s="113">
        <v>0</v>
      </c>
      <c r="Q1190" s="114" t="e">
        <f t="shared" si="348"/>
        <v>#DIV/0!</v>
      </c>
      <c r="R1190" s="115"/>
      <c r="S1190" s="335">
        <v>43830</v>
      </c>
    </row>
    <row r="1191" spans="1:30" customFormat="1" ht="31.5">
      <c r="A1191" s="107">
        <f t="shared" si="349"/>
        <v>105</v>
      </c>
      <c r="B1191" s="301" t="s">
        <v>309</v>
      </c>
      <c r="C1191" s="108">
        <v>1964</v>
      </c>
      <c r="D1191" s="108"/>
      <c r="E1191" s="109" t="s">
        <v>218</v>
      </c>
      <c r="F1191" s="110">
        <v>4</v>
      </c>
      <c r="G1191" s="110">
        <v>2</v>
      </c>
      <c r="H1191" s="111"/>
      <c r="I1191" s="111"/>
      <c r="J1191" s="111"/>
      <c r="K1191" s="112"/>
      <c r="L1191" s="113">
        <v>871988</v>
      </c>
      <c r="M1191" s="113">
        <v>0</v>
      </c>
      <c r="N1191" s="113">
        <v>0</v>
      </c>
      <c r="O1191" s="113">
        <f t="shared" si="347"/>
        <v>871988</v>
      </c>
      <c r="P1191" s="113">
        <v>0</v>
      </c>
      <c r="Q1191" s="114" t="e">
        <f t="shared" si="348"/>
        <v>#DIV/0!</v>
      </c>
      <c r="R1191" s="115"/>
      <c r="S1191" s="335">
        <v>43830</v>
      </c>
    </row>
    <row r="1192" spans="1:30" customFormat="1" ht="31.5">
      <c r="A1192" s="107">
        <f t="shared" si="349"/>
        <v>106</v>
      </c>
      <c r="B1192" s="301" t="s">
        <v>308</v>
      </c>
      <c r="C1192" s="108">
        <v>1966</v>
      </c>
      <c r="D1192" s="108"/>
      <c r="E1192" s="109" t="s">
        <v>218</v>
      </c>
      <c r="F1192" s="110">
        <v>4</v>
      </c>
      <c r="G1192" s="110">
        <v>4</v>
      </c>
      <c r="H1192" s="111"/>
      <c r="I1192" s="111"/>
      <c r="J1192" s="111"/>
      <c r="K1192" s="112"/>
      <c r="L1192" s="113">
        <v>2113335</v>
      </c>
      <c r="M1192" s="113">
        <v>0</v>
      </c>
      <c r="N1192" s="113">
        <v>0</v>
      </c>
      <c r="O1192" s="113">
        <f t="shared" si="347"/>
        <v>2113335</v>
      </c>
      <c r="P1192" s="113">
        <v>0</v>
      </c>
      <c r="Q1192" s="114" t="e">
        <f t="shared" si="348"/>
        <v>#DIV/0!</v>
      </c>
      <c r="R1192" s="115"/>
      <c r="S1192" s="335">
        <v>43830</v>
      </c>
    </row>
    <row r="1193" spans="1:30" customFormat="1" ht="31.5">
      <c r="A1193" s="107">
        <f t="shared" si="349"/>
        <v>107</v>
      </c>
      <c r="B1193" s="305" t="s">
        <v>296</v>
      </c>
      <c r="C1193" s="108">
        <v>1960</v>
      </c>
      <c r="D1193" s="108"/>
      <c r="E1193" s="109" t="s">
        <v>218</v>
      </c>
      <c r="F1193" s="110">
        <v>2</v>
      </c>
      <c r="G1193" s="110">
        <v>2</v>
      </c>
      <c r="H1193" s="111"/>
      <c r="I1193" s="111"/>
      <c r="J1193" s="111"/>
      <c r="K1193" s="112"/>
      <c r="L1193" s="113">
        <v>996585</v>
      </c>
      <c r="M1193" s="113">
        <v>0</v>
      </c>
      <c r="N1193" s="113">
        <v>0</v>
      </c>
      <c r="O1193" s="113">
        <f t="shared" si="347"/>
        <v>996585</v>
      </c>
      <c r="P1193" s="113">
        <v>0</v>
      </c>
      <c r="Q1193" s="114" t="e">
        <f t="shared" si="348"/>
        <v>#DIV/0!</v>
      </c>
      <c r="R1193" s="115"/>
      <c r="S1193" s="335">
        <v>43830</v>
      </c>
    </row>
    <row r="1194" spans="1:30" customFormat="1" ht="31.5">
      <c r="A1194" s="107">
        <f t="shared" si="349"/>
        <v>108</v>
      </c>
      <c r="B1194" s="305" t="s">
        <v>240</v>
      </c>
      <c r="C1194" s="118">
        <v>1955</v>
      </c>
      <c r="D1194" s="118"/>
      <c r="E1194" s="109" t="s">
        <v>218</v>
      </c>
      <c r="F1194" s="118">
        <v>2</v>
      </c>
      <c r="G1194" s="118">
        <v>2</v>
      </c>
      <c r="H1194" s="118"/>
      <c r="I1194" s="118"/>
      <c r="J1194" s="118"/>
      <c r="K1194" s="119"/>
      <c r="L1194" s="113">
        <v>637739</v>
      </c>
      <c r="M1194" s="113">
        <v>0</v>
      </c>
      <c r="N1194" s="113">
        <v>0</v>
      </c>
      <c r="O1194" s="113">
        <f t="shared" si="347"/>
        <v>637739</v>
      </c>
      <c r="P1194" s="113">
        <v>0</v>
      </c>
      <c r="Q1194" s="114" t="e">
        <f t="shared" si="348"/>
        <v>#DIV/0!</v>
      </c>
      <c r="R1194" s="115"/>
      <c r="S1194" s="335">
        <v>43830</v>
      </c>
    </row>
    <row r="1195" spans="1:30" customFormat="1" ht="15.75">
      <c r="A1195" s="107">
        <f t="shared" si="349"/>
        <v>109</v>
      </c>
      <c r="B1195" s="301" t="s">
        <v>243</v>
      </c>
      <c r="C1195" s="118">
        <v>1976</v>
      </c>
      <c r="D1195" s="118"/>
      <c r="E1195" s="109" t="s">
        <v>219</v>
      </c>
      <c r="F1195" s="118">
        <v>9</v>
      </c>
      <c r="G1195" s="118">
        <v>2</v>
      </c>
      <c r="H1195" s="118"/>
      <c r="I1195" s="118"/>
      <c r="J1195" s="118"/>
      <c r="K1195" s="119"/>
      <c r="L1195" s="113">
        <v>1357217</v>
      </c>
      <c r="M1195" s="113">
        <v>0</v>
      </c>
      <c r="N1195" s="113">
        <v>0</v>
      </c>
      <c r="O1195" s="113">
        <f t="shared" si="347"/>
        <v>1357217</v>
      </c>
      <c r="P1195" s="113">
        <v>0</v>
      </c>
      <c r="Q1195" s="114" t="e">
        <f t="shared" si="348"/>
        <v>#DIV/0!</v>
      </c>
      <c r="R1195" s="115"/>
      <c r="S1195" s="335">
        <v>43830</v>
      </c>
    </row>
    <row r="1196" spans="1:30" customFormat="1" ht="31.5">
      <c r="A1196" s="107">
        <f t="shared" si="349"/>
        <v>110</v>
      </c>
      <c r="B1196" s="305" t="s">
        <v>269</v>
      </c>
      <c r="C1196" s="118">
        <v>1952</v>
      </c>
      <c r="D1196" s="118"/>
      <c r="E1196" s="109" t="s">
        <v>218</v>
      </c>
      <c r="F1196" s="118">
        <v>2</v>
      </c>
      <c r="G1196" s="118">
        <v>2</v>
      </c>
      <c r="H1196" s="118"/>
      <c r="I1196" s="118"/>
      <c r="J1196" s="118"/>
      <c r="K1196" s="119"/>
      <c r="L1196" s="113">
        <v>836226</v>
      </c>
      <c r="M1196" s="113">
        <v>0</v>
      </c>
      <c r="N1196" s="113">
        <v>0</v>
      </c>
      <c r="O1196" s="113">
        <f t="shared" si="347"/>
        <v>836226</v>
      </c>
      <c r="P1196" s="113">
        <v>0</v>
      </c>
      <c r="Q1196" s="114" t="e">
        <f t="shared" si="348"/>
        <v>#DIV/0!</v>
      </c>
      <c r="R1196" s="115"/>
      <c r="S1196" s="335">
        <v>43830</v>
      </c>
    </row>
    <row r="1197" spans="1:30" customFormat="1" ht="31.5">
      <c r="A1197" s="107">
        <f t="shared" si="349"/>
        <v>111</v>
      </c>
      <c r="B1197" s="305" t="s">
        <v>299</v>
      </c>
      <c r="C1197" s="108">
        <v>1952</v>
      </c>
      <c r="D1197" s="108"/>
      <c r="E1197" s="109" t="s">
        <v>218</v>
      </c>
      <c r="F1197" s="110">
        <v>2</v>
      </c>
      <c r="G1197" s="110">
        <v>2</v>
      </c>
      <c r="H1197" s="111"/>
      <c r="I1197" s="111"/>
      <c r="J1197" s="111"/>
      <c r="K1197" s="112"/>
      <c r="L1197" s="113">
        <v>640078</v>
      </c>
      <c r="M1197" s="113">
        <v>0</v>
      </c>
      <c r="N1197" s="113">
        <v>0</v>
      </c>
      <c r="O1197" s="113">
        <f t="shared" si="347"/>
        <v>640078</v>
      </c>
      <c r="P1197" s="113">
        <v>0</v>
      </c>
      <c r="Q1197" s="114" t="e">
        <f t="shared" si="348"/>
        <v>#DIV/0!</v>
      </c>
      <c r="R1197" s="115"/>
      <c r="S1197" s="335">
        <v>43830</v>
      </c>
    </row>
    <row r="1198" spans="1:30" customFormat="1" ht="31.5">
      <c r="A1198" s="107">
        <f t="shared" si="349"/>
        <v>112</v>
      </c>
      <c r="B1198" s="301" t="s">
        <v>236</v>
      </c>
      <c r="C1198" s="118">
        <v>1959</v>
      </c>
      <c r="D1198" s="118"/>
      <c r="E1198" s="109" t="s">
        <v>218</v>
      </c>
      <c r="F1198" s="118">
        <v>2</v>
      </c>
      <c r="G1198" s="118">
        <v>2</v>
      </c>
      <c r="H1198" s="118"/>
      <c r="I1198" s="118"/>
      <c r="J1198" s="118"/>
      <c r="K1198" s="119"/>
      <c r="L1198" s="113">
        <v>202649</v>
      </c>
      <c r="M1198" s="113">
        <v>0</v>
      </c>
      <c r="N1198" s="113">
        <v>0</v>
      </c>
      <c r="O1198" s="113">
        <f t="shared" si="347"/>
        <v>202649</v>
      </c>
      <c r="P1198" s="113">
        <v>0</v>
      </c>
      <c r="Q1198" s="114" t="e">
        <f t="shared" si="348"/>
        <v>#DIV/0!</v>
      </c>
      <c r="R1198" s="115"/>
      <c r="S1198" s="335">
        <v>43830</v>
      </c>
    </row>
    <row r="1199" spans="1:30" customFormat="1" ht="31.5">
      <c r="A1199" s="107">
        <f t="shared" si="349"/>
        <v>113</v>
      </c>
      <c r="B1199" s="305" t="s">
        <v>285</v>
      </c>
      <c r="C1199" s="108">
        <v>1954</v>
      </c>
      <c r="D1199" s="108"/>
      <c r="E1199" s="109" t="s">
        <v>218</v>
      </c>
      <c r="F1199" s="121" t="s">
        <v>191</v>
      </c>
      <c r="G1199" s="110">
        <v>10</v>
      </c>
      <c r="H1199" s="111"/>
      <c r="I1199" s="111"/>
      <c r="J1199" s="111"/>
      <c r="K1199" s="112"/>
      <c r="L1199" s="113">
        <v>7892437</v>
      </c>
      <c r="M1199" s="113">
        <v>0</v>
      </c>
      <c r="N1199" s="113">
        <v>0</v>
      </c>
      <c r="O1199" s="113">
        <f t="shared" si="347"/>
        <v>7892437</v>
      </c>
      <c r="P1199" s="113">
        <v>0</v>
      </c>
      <c r="Q1199" s="114" t="e">
        <f t="shared" si="348"/>
        <v>#DIV/0!</v>
      </c>
      <c r="R1199" s="115"/>
      <c r="S1199" s="335">
        <v>43830</v>
      </c>
    </row>
    <row r="1200" spans="1:30" customFormat="1" ht="31.5">
      <c r="A1200" s="107">
        <f t="shared" si="349"/>
        <v>114</v>
      </c>
      <c r="B1200" s="305" t="s">
        <v>237</v>
      </c>
      <c r="C1200" s="118">
        <v>1950</v>
      </c>
      <c r="D1200" s="118"/>
      <c r="E1200" s="109" t="s">
        <v>218</v>
      </c>
      <c r="F1200" s="118">
        <v>2</v>
      </c>
      <c r="G1200" s="118">
        <v>1</v>
      </c>
      <c r="H1200" s="118"/>
      <c r="I1200" s="118"/>
      <c r="J1200" s="118"/>
      <c r="K1200" s="119"/>
      <c r="L1200" s="113">
        <v>523389</v>
      </c>
      <c r="M1200" s="113">
        <v>0</v>
      </c>
      <c r="N1200" s="113">
        <v>0</v>
      </c>
      <c r="O1200" s="113">
        <f t="shared" si="347"/>
        <v>523389</v>
      </c>
      <c r="P1200" s="113">
        <v>0</v>
      </c>
      <c r="Q1200" s="114" t="e">
        <f t="shared" si="348"/>
        <v>#DIV/0!</v>
      </c>
      <c r="R1200" s="115"/>
      <c r="S1200" s="335">
        <v>43830</v>
      </c>
    </row>
    <row r="1201" spans="1:30" customFormat="1" ht="15.75">
      <c r="A1201" s="107">
        <f t="shared" si="349"/>
        <v>115</v>
      </c>
      <c r="B1201" s="305" t="s">
        <v>264</v>
      </c>
      <c r="C1201" s="118">
        <v>1950</v>
      </c>
      <c r="D1201" s="118"/>
      <c r="E1201" s="109" t="s">
        <v>220</v>
      </c>
      <c r="F1201" s="118">
        <v>2</v>
      </c>
      <c r="G1201" s="118">
        <v>3</v>
      </c>
      <c r="H1201" s="118"/>
      <c r="I1201" s="118"/>
      <c r="J1201" s="118"/>
      <c r="K1201" s="119"/>
      <c r="L1201" s="113">
        <v>1038920</v>
      </c>
      <c r="M1201" s="113">
        <v>0</v>
      </c>
      <c r="N1201" s="113">
        <v>0</v>
      </c>
      <c r="O1201" s="113">
        <f t="shared" si="347"/>
        <v>1038920</v>
      </c>
      <c r="P1201" s="113">
        <v>0</v>
      </c>
      <c r="Q1201" s="114" t="e">
        <f t="shared" si="348"/>
        <v>#DIV/0!</v>
      </c>
      <c r="R1201" s="115"/>
      <c r="S1201" s="335">
        <v>43830</v>
      </c>
    </row>
    <row r="1202" spans="1:30" s="3" customFormat="1" ht="15.75">
      <c r="A1202" s="107">
        <f t="shared" si="349"/>
        <v>116</v>
      </c>
      <c r="B1202" s="305" t="s">
        <v>258</v>
      </c>
      <c r="C1202" s="118">
        <v>1950</v>
      </c>
      <c r="D1202" s="118"/>
      <c r="E1202" s="109" t="s">
        <v>220</v>
      </c>
      <c r="F1202" s="118">
        <v>2</v>
      </c>
      <c r="G1202" s="118">
        <v>2</v>
      </c>
      <c r="H1202" s="118"/>
      <c r="I1202" s="118"/>
      <c r="J1202" s="118"/>
      <c r="K1202" s="119"/>
      <c r="L1202" s="113">
        <v>1742553</v>
      </c>
      <c r="M1202" s="113">
        <v>0</v>
      </c>
      <c r="N1202" s="113">
        <v>0</v>
      </c>
      <c r="O1202" s="113">
        <f t="shared" si="347"/>
        <v>1742553</v>
      </c>
      <c r="P1202" s="113">
        <v>0</v>
      </c>
      <c r="Q1202" s="114" t="e">
        <f t="shared" si="348"/>
        <v>#DIV/0!</v>
      </c>
      <c r="R1202" s="115"/>
      <c r="S1202" s="335">
        <v>43830</v>
      </c>
      <c r="T1202"/>
      <c r="U1202"/>
      <c r="V1202"/>
      <c r="W1202"/>
      <c r="X1202"/>
      <c r="Y1202"/>
      <c r="Z1202"/>
      <c r="AA1202"/>
      <c r="AB1202"/>
      <c r="AC1202"/>
      <c r="AD1202"/>
    </row>
    <row r="1203" spans="1:30" customFormat="1" ht="31.5">
      <c r="A1203" s="107">
        <f t="shared" si="349"/>
        <v>117</v>
      </c>
      <c r="B1203" s="305" t="s">
        <v>250</v>
      </c>
      <c r="C1203" s="118">
        <v>1948</v>
      </c>
      <c r="D1203" s="118"/>
      <c r="E1203" s="109" t="s">
        <v>218</v>
      </c>
      <c r="F1203" s="118">
        <v>2</v>
      </c>
      <c r="G1203" s="118">
        <v>3</v>
      </c>
      <c r="H1203" s="118"/>
      <c r="I1203" s="118"/>
      <c r="J1203" s="118"/>
      <c r="K1203" s="119"/>
      <c r="L1203" s="113">
        <v>2124581</v>
      </c>
      <c r="M1203" s="113">
        <v>0</v>
      </c>
      <c r="N1203" s="113">
        <v>0</v>
      </c>
      <c r="O1203" s="113">
        <f t="shared" si="347"/>
        <v>2124581</v>
      </c>
      <c r="P1203" s="113">
        <v>0</v>
      </c>
      <c r="Q1203" s="114" t="e">
        <f t="shared" si="348"/>
        <v>#DIV/0!</v>
      </c>
      <c r="R1203" s="115"/>
      <c r="S1203" s="335">
        <v>43830</v>
      </c>
    </row>
    <row r="1204" spans="1:30" customFormat="1" ht="15.75">
      <c r="A1204" s="107">
        <f t="shared" si="349"/>
        <v>118</v>
      </c>
      <c r="B1204" s="305" t="s">
        <v>282</v>
      </c>
      <c r="C1204" s="107">
        <v>1948</v>
      </c>
      <c r="D1204" s="108"/>
      <c r="E1204" s="109" t="s">
        <v>220</v>
      </c>
      <c r="F1204" s="108">
        <v>2</v>
      </c>
      <c r="G1204" s="108">
        <v>3</v>
      </c>
      <c r="H1204" s="117"/>
      <c r="I1204" s="117"/>
      <c r="J1204" s="117"/>
      <c r="K1204" s="101"/>
      <c r="L1204" s="113">
        <v>2347478</v>
      </c>
      <c r="M1204" s="113">
        <v>0</v>
      </c>
      <c r="N1204" s="113">
        <v>0</v>
      </c>
      <c r="O1204" s="113">
        <f t="shared" si="347"/>
        <v>2347478</v>
      </c>
      <c r="P1204" s="113">
        <v>0</v>
      </c>
      <c r="Q1204" s="114" t="e">
        <f t="shared" si="348"/>
        <v>#DIV/0!</v>
      </c>
      <c r="R1204" s="115"/>
      <c r="S1204" s="335">
        <v>43830</v>
      </c>
    </row>
    <row r="1205" spans="1:30" customFormat="1" ht="31.5">
      <c r="A1205" s="107">
        <f t="shared" si="349"/>
        <v>119</v>
      </c>
      <c r="B1205" s="301" t="s">
        <v>267</v>
      </c>
      <c r="C1205" s="118">
        <v>1948</v>
      </c>
      <c r="D1205" s="118"/>
      <c r="E1205" s="109" t="s">
        <v>218</v>
      </c>
      <c r="F1205" s="118">
        <v>2</v>
      </c>
      <c r="G1205" s="118">
        <v>3</v>
      </c>
      <c r="H1205" s="118"/>
      <c r="I1205" s="118"/>
      <c r="J1205" s="118"/>
      <c r="K1205" s="119"/>
      <c r="L1205" s="113">
        <v>2468472</v>
      </c>
      <c r="M1205" s="113">
        <v>0</v>
      </c>
      <c r="N1205" s="113">
        <v>0</v>
      </c>
      <c r="O1205" s="113">
        <f t="shared" si="347"/>
        <v>2468472</v>
      </c>
      <c r="P1205" s="113">
        <v>0</v>
      </c>
      <c r="Q1205" s="114" t="e">
        <f t="shared" si="348"/>
        <v>#DIV/0!</v>
      </c>
      <c r="R1205" s="115"/>
      <c r="S1205" s="335">
        <v>43830</v>
      </c>
    </row>
    <row r="1206" spans="1:30" customFormat="1" ht="31.5">
      <c r="A1206" s="107">
        <f t="shared" si="349"/>
        <v>120</v>
      </c>
      <c r="B1206" s="305" t="s">
        <v>284</v>
      </c>
      <c r="C1206" s="108">
        <v>1950</v>
      </c>
      <c r="D1206" s="116"/>
      <c r="E1206" s="109" t="s">
        <v>218</v>
      </c>
      <c r="F1206" s="110">
        <v>2</v>
      </c>
      <c r="G1206" s="110">
        <v>2</v>
      </c>
      <c r="H1206" s="111"/>
      <c r="I1206" s="111"/>
      <c r="J1206" s="111"/>
      <c r="K1206" s="112"/>
      <c r="L1206" s="113">
        <v>1612780</v>
      </c>
      <c r="M1206" s="113">
        <v>0</v>
      </c>
      <c r="N1206" s="113">
        <v>0</v>
      </c>
      <c r="O1206" s="113">
        <f t="shared" si="347"/>
        <v>1612780</v>
      </c>
      <c r="P1206" s="113">
        <v>0</v>
      </c>
      <c r="Q1206" s="114" t="e">
        <f t="shared" si="348"/>
        <v>#DIV/0!</v>
      </c>
      <c r="R1206" s="115"/>
      <c r="S1206" s="335">
        <v>43830</v>
      </c>
    </row>
    <row r="1207" spans="1:30" customFormat="1" ht="31.5">
      <c r="A1207" s="107">
        <f t="shared" si="349"/>
        <v>121</v>
      </c>
      <c r="B1207" s="305" t="s">
        <v>256</v>
      </c>
      <c r="C1207" s="118">
        <v>1947</v>
      </c>
      <c r="D1207" s="118"/>
      <c r="E1207" s="109" t="s">
        <v>218</v>
      </c>
      <c r="F1207" s="118">
        <v>2</v>
      </c>
      <c r="G1207" s="118">
        <v>2</v>
      </c>
      <c r="H1207" s="118"/>
      <c r="I1207" s="118"/>
      <c r="J1207" s="118"/>
      <c r="K1207" s="119"/>
      <c r="L1207" s="113">
        <v>2580419</v>
      </c>
      <c r="M1207" s="113">
        <v>0</v>
      </c>
      <c r="N1207" s="113">
        <v>0</v>
      </c>
      <c r="O1207" s="113">
        <f t="shared" si="347"/>
        <v>2580419</v>
      </c>
      <c r="P1207" s="113">
        <v>0</v>
      </c>
      <c r="Q1207" s="114" t="e">
        <f t="shared" si="348"/>
        <v>#DIV/0!</v>
      </c>
      <c r="R1207" s="115"/>
      <c r="S1207" s="335">
        <v>43830</v>
      </c>
    </row>
    <row r="1208" spans="1:30" customFormat="1" ht="15.75">
      <c r="A1208" s="107">
        <f t="shared" si="349"/>
        <v>122</v>
      </c>
      <c r="B1208" s="301" t="s">
        <v>335</v>
      </c>
      <c r="C1208" s="118">
        <v>1963</v>
      </c>
      <c r="D1208" s="118"/>
      <c r="E1208" s="109" t="s">
        <v>219</v>
      </c>
      <c r="F1208" s="118">
        <v>5</v>
      </c>
      <c r="G1208" s="118">
        <v>4</v>
      </c>
      <c r="H1208" s="118"/>
      <c r="I1208" s="118"/>
      <c r="J1208" s="118"/>
      <c r="K1208" s="119"/>
      <c r="L1208" s="113">
        <v>1681645</v>
      </c>
      <c r="M1208" s="113">
        <v>0</v>
      </c>
      <c r="N1208" s="113">
        <v>0</v>
      </c>
      <c r="O1208" s="113">
        <f t="shared" si="347"/>
        <v>1681645</v>
      </c>
      <c r="P1208" s="113">
        <v>0</v>
      </c>
      <c r="Q1208" s="114" t="e">
        <f t="shared" si="348"/>
        <v>#DIV/0!</v>
      </c>
      <c r="R1208" s="115"/>
      <c r="S1208" s="335">
        <v>43830</v>
      </c>
    </row>
    <row r="1209" spans="1:30" customFormat="1" ht="31.5">
      <c r="A1209" s="107">
        <f t="shared" si="349"/>
        <v>123</v>
      </c>
      <c r="B1209" s="305" t="s">
        <v>255</v>
      </c>
      <c r="C1209" s="118">
        <v>1950</v>
      </c>
      <c r="D1209" s="118"/>
      <c r="E1209" s="109" t="s">
        <v>218</v>
      </c>
      <c r="F1209" s="118">
        <v>2</v>
      </c>
      <c r="G1209" s="118">
        <v>2</v>
      </c>
      <c r="H1209" s="118"/>
      <c r="I1209" s="118"/>
      <c r="J1209" s="118"/>
      <c r="K1209" s="119"/>
      <c r="L1209" s="113">
        <v>1318880</v>
      </c>
      <c r="M1209" s="113">
        <v>0</v>
      </c>
      <c r="N1209" s="113">
        <v>0</v>
      </c>
      <c r="O1209" s="113">
        <f t="shared" si="347"/>
        <v>1318880</v>
      </c>
      <c r="P1209" s="113">
        <v>0</v>
      </c>
      <c r="Q1209" s="114" t="e">
        <f t="shared" si="348"/>
        <v>#DIV/0!</v>
      </c>
      <c r="R1209" s="115"/>
      <c r="S1209" s="335">
        <v>43830</v>
      </c>
    </row>
    <row r="1210" spans="1:30" customFormat="1" ht="15.75">
      <c r="A1210" s="107">
        <f t="shared" si="349"/>
        <v>124</v>
      </c>
      <c r="B1210" s="305" t="s">
        <v>245</v>
      </c>
      <c r="C1210" s="118">
        <v>1949</v>
      </c>
      <c r="D1210" s="118"/>
      <c r="E1210" s="109" t="s">
        <v>220</v>
      </c>
      <c r="F1210" s="118">
        <v>2</v>
      </c>
      <c r="G1210" s="118">
        <v>1</v>
      </c>
      <c r="H1210" s="118"/>
      <c r="I1210" s="118"/>
      <c r="J1210" s="118"/>
      <c r="K1210" s="119"/>
      <c r="L1210" s="113">
        <v>1566345</v>
      </c>
      <c r="M1210" s="113">
        <v>0</v>
      </c>
      <c r="N1210" s="113">
        <v>0</v>
      </c>
      <c r="O1210" s="113">
        <f t="shared" si="347"/>
        <v>1566345</v>
      </c>
      <c r="P1210" s="113">
        <v>0</v>
      </c>
      <c r="Q1210" s="114" t="e">
        <f t="shared" si="348"/>
        <v>#DIV/0!</v>
      </c>
      <c r="R1210" s="115"/>
      <c r="S1210" s="335">
        <v>43830</v>
      </c>
    </row>
    <row r="1211" spans="1:30" customFormat="1" ht="31.5">
      <c r="A1211" s="107">
        <f t="shared" si="349"/>
        <v>125</v>
      </c>
      <c r="B1211" s="301" t="s">
        <v>449</v>
      </c>
      <c r="C1211" s="108">
        <v>1984</v>
      </c>
      <c r="D1211" s="108"/>
      <c r="E1211" s="109" t="s">
        <v>219</v>
      </c>
      <c r="F1211" s="110">
        <v>9</v>
      </c>
      <c r="G1211" s="110">
        <v>1</v>
      </c>
      <c r="H1211" s="111"/>
      <c r="I1211" s="111"/>
      <c r="J1211" s="111"/>
      <c r="K1211" s="112"/>
      <c r="L1211" s="113">
        <v>1910088</v>
      </c>
      <c r="M1211" s="113">
        <v>0</v>
      </c>
      <c r="N1211" s="113">
        <v>0</v>
      </c>
      <c r="O1211" s="113">
        <f t="shared" si="347"/>
        <v>1910088</v>
      </c>
      <c r="P1211" s="113">
        <v>0</v>
      </c>
      <c r="Q1211" s="114" t="e">
        <f t="shared" si="348"/>
        <v>#DIV/0!</v>
      </c>
      <c r="R1211" s="115"/>
      <c r="S1211" s="335">
        <v>43830</v>
      </c>
    </row>
    <row r="1212" spans="1:30" customFormat="1" ht="31.5">
      <c r="A1212" s="107">
        <f t="shared" si="349"/>
        <v>126</v>
      </c>
      <c r="B1212" s="305" t="s">
        <v>280</v>
      </c>
      <c r="C1212" s="107">
        <v>1966</v>
      </c>
      <c r="D1212" s="108"/>
      <c r="E1212" s="109" t="s">
        <v>218</v>
      </c>
      <c r="F1212" s="108">
        <v>5</v>
      </c>
      <c r="G1212" s="108">
        <v>3</v>
      </c>
      <c r="H1212" s="117"/>
      <c r="I1212" s="117"/>
      <c r="J1212" s="117"/>
      <c r="K1212" s="101"/>
      <c r="L1212" s="113">
        <v>2694957</v>
      </c>
      <c r="M1212" s="113">
        <v>0</v>
      </c>
      <c r="N1212" s="113">
        <v>0</v>
      </c>
      <c r="O1212" s="113">
        <f t="shared" si="347"/>
        <v>2694957</v>
      </c>
      <c r="P1212" s="113">
        <v>0</v>
      </c>
      <c r="Q1212" s="114" t="e">
        <f t="shared" si="348"/>
        <v>#DIV/0!</v>
      </c>
      <c r="R1212" s="115"/>
      <c r="S1212" s="335">
        <v>43830</v>
      </c>
    </row>
    <row r="1213" spans="1:30" customFormat="1" ht="31.5">
      <c r="A1213" s="107">
        <f t="shared" si="349"/>
        <v>127</v>
      </c>
      <c r="B1213" s="305" t="s">
        <v>367</v>
      </c>
      <c r="C1213" s="118">
        <v>1958</v>
      </c>
      <c r="D1213" s="118"/>
      <c r="E1213" s="109" t="s">
        <v>218</v>
      </c>
      <c r="F1213" s="118">
        <v>2</v>
      </c>
      <c r="G1213" s="118">
        <v>1</v>
      </c>
      <c r="H1213" s="118"/>
      <c r="I1213" s="118"/>
      <c r="J1213" s="118"/>
      <c r="K1213" s="119"/>
      <c r="L1213" s="113">
        <v>580578</v>
      </c>
      <c r="M1213" s="113">
        <v>0</v>
      </c>
      <c r="N1213" s="113">
        <v>0</v>
      </c>
      <c r="O1213" s="113">
        <f t="shared" si="347"/>
        <v>580578</v>
      </c>
      <c r="P1213" s="113">
        <v>0</v>
      </c>
      <c r="Q1213" s="114" t="e">
        <f t="shared" si="348"/>
        <v>#DIV/0!</v>
      </c>
      <c r="R1213" s="115"/>
      <c r="S1213" s="335">
        <v>43830</v>
      </c>
    </row>
    <row r="1214" spans="1:30" customFormat="1" ht="31.5">
      <c r="A1214" s="107">
        <f t="shared" si="349"/>
        <v>128</v>
      </c>
      <c r="B1214" s="305" t="s">
        <v>464</v>
      </c>
      <c r="C1214" s="118">
        <v>1971</v>
      </c>
      <c r="D1214" s="118"/>
      <c r="E1214" s="109" t="s">
        <v>218</v>
      </c>
      <c r="F1214" s="118">
        <v>2</v>
      </c>
      <c r="G1214" s="118">
        <v>1</v>
      </c>
      <c r="H1214" s="118"/>
      <c r="I1214" s="118"/>
      <c r="J1214" s="118"/>
      <c r="K1214" s="119"/>
      <c r="L1214" s="113">
        <v>615357</v>
      </c>
      <c r="M1214" s="113">
        <v>0</v>
      </c>
      <c r="N1214" s="113">
        <v>0</v>
      </c>
      <c r="O1214" s="113">
        <f t="shared" si="347"/>
        <v>615357</v>
      </c>
      <c r="P1214" s="113">
        <v>0</v>
      </c>
      <c r="Q1214" s="114" t="e">
        <f t="shared" si="348"/>
        <v>#DIV/0!</v>
      </c>
      <c r="R1214" s="115"/>
      <c r="S1214" s="335">
        <v>43830</v>
      </c>
    </row>
    <row r="1215" spans="1:30" customFormat="1" ht="31.5">
      <c r="A1215" s="107">
        <f t="shared" si="349"/>
        <v>129</v>
      </c>
      <c r="B1215" s="305" t="s">
        <v>385</v>
      </c>
      <c r="C1215" s="118">
        <v>1957</v>
      </c>
      <c r="D1215" s="118"/>
      <c r="E1215" s="109" t="s">
        <v>218</v>
      </c>
      <c r="F1215" s="118">
        <v>2</v>
      </c>
      <c r="G1215" s="118">
        <v>1</v>
      </c>
      <c r="H1215" s="118"/>
      <c r="I1215" s="118"/>
      <c r="J1215" s="118"/>
      <c r="K1215" s="119"/>
      <c r="L1215" s="113">
        <v>269948.13</v>
      </c>
      <c r="M1215" s="113">
        <v>0</v>
      </c>
      <c r="N1215" s="113">
        <v>0</v>
      </c>
      <c r="O1215" s="113">
        <f t="shared" ref="O1215:O1254" si="350">L1215</f>
        <v>269948.13</v>
      </c>
      <c r="P1215" s="113">
        <v>0</v>
      </c>
      <c r="Q1215" s="114" t="e">
        <f t="shared" ref="Q1215:Q1254" si="351">L1215/I1215</f>
        <v>#DIV/0!</v>
      </c>
      <c r="R1215" s="115"/>
      <c r="S1215" s="335">
        <v>43830</v>
      </c>
    </row>
    <row r="1216" spans="1:30" customFormat="1" ht="15.75">
      <c r="A1216" s="107">
        <f t="shared" si="349"/>
        <v>130</v>
      </c>
      <c r="B1216" s="305" t="s">
        <v>238</v>
      </c>
      <c r="C1216" s="118">
        <v>1924</v>
      </c>
      <c r="D1216" s="118"/>
      <c r="E1216" s="109" t="s">
        <v>221</v>
      </c>
      <c r="F1216" s="118">
        <v>2</v>
      </c>
      <c r="G1216" s="118">
        <v>2</v>
      </c>
      <c r="H1216" s="118"/>
      <c r="I1216" s="118"/>
      <c r="J1216" s="118"/>
      <c r="K1216" s="119"/>
      <c r="L1216" s="113">
        <v>807980</v>
      </c>
      <c r="M1216" s="113">
        <v>0</v>
      </c>
      <c r="N1216" s="113">
        <v>0</v>
      </c>
      <c r="O1216" s="113">
        <f t="shared" si="350"/>
        <v>807980</v>
      </c>
      <c r="P1216" s="113">
        <v>0</v>
      </c>
      <c r="Q1216" s="114" t="e">
        <f t="shared" si="351"/>
        <v>#DIV/0!</v>
      </c>
      <c r="R1216" s="115"/>
      <c r="S1216" s="335">
        <v>43830</v>
      </c>
    </row>
    <row r="1217" spans="1:19" customFormat="1" ht="31.5">
      <c r="A1217" s="107">
        <f t="shared" ref="A1217:A1273" si="352">A1216+1</f>
        <v>131</v>
      </c>
      <c r="B1217" s="305" t="s">
        <v>273</v>
      </c>
      <c r="C1217" s="107">
        <v>1949</v>
      </c>
      <c r="D1217" s="108"/>
      <c r="E1217" s="109" t="s">
        <v>218</v>
      </c>
      <c r="F1217" s="108">
        <v>2</v>
      </c>
      <c r="G1217" s="108">
        <v>1</v>
      </c>
      <c r="H1217" s="117"/>
      <c r="I1217" s="117"/>
      <c r="J1217" s="117"/>
      <c r="K1217" s="101"/>
      <c r="L1217" s="113">
        <v>661525</v>
      </c>
      <c r="M1217" s="113">
        <v>0</v>
      </c>
      <c r="N1217" s="113">
        <v>0</v>
      </c>
      <c r="O1217" s="113">
        <f t="shared" si="350"/>
        <v>661525</v>
      </c>
      <c r="P1217" s="113">
        <v>0</v>
      </c>
      <c r="Q1217" s="114" t="e">
        <f t="shared" si="351"/>
        <v>#DIV/0!</v>
      </c>
      <c r="R1217" s="115"/>
      <c r="S1217" s="335">
        <v>43830</v>
      </c>
    </row>
    <row r="1218" spans="1:19" customFormat="1" ht="15.75">
      <c r="A1218" s="107">
        <f t="shared" si="352"/>
        <v>132</v>
      </c>
      <c r="B1218" s="305" t="s">
        <v>297</v>
      </c>
      <c r="C1218" s="108">
        <v>1981</v>
      </c>
      <c r="D1218" s="108"/>
      <c r="E1218" s="109" t="s">
        <v>219</v>
      </c>
      <c r="F1218" s="110">
        <v>9</v>
      </c>
      <c r="G1218" s="110">
        <v>2</v>
      </c>
      <c r="H1218" s="111"/>
      <c r="I1218" s="111"/>
      <c r="J1218" s="111"/>
      <c r="K1218" s="112"/>
      <c r="L1218" s="113">
        <v>3719885</v>
      </c>
      <c r="M1218" s="113">
        <v>0</v>
      </c>
      <c r="N1218" s="113">
        <v>0</v>
      </c>
      <c r="O1218" s="113">
        <f t="shared" si="350"/>
        <v>3719885</v>
      </c>
      <c r="P1218" s="113">
        <v>0</v>
      </c>
      <c r="Q1218" s="114" t="e">
        <f t="shared" si="351"/>
        <v>#DIV/0!</v>
      </c>
      <c r="R1218" s="115"/>
      <c r="S1218" s="335">
        <v>43830</v>
      </c>
    </row>
    <row r="1219" spans="1:19" customFormat="1" ht="31.5">
      <c r="A1219" s="107">
        <f t="shared" si="352"/>
        <v>133</v>
      </c>
      <c r="B1219" s="305" t="s">
        <v>263</v>
      </c>
      <c r="C1219" s="118">
        <v>1949</v>
      </c>
      <c r="D1219" s="118"/>
      <c r="E1219" s="109" t="s">
        <v>218</v>
      </c>
      <c r="F1219" s="118">
        <v>2</v>
      </c>
      <c r="G1219" s="118">
        <v>2</v>
      </c>
      <c r="H1219" s="118"/>
      <c r="I1219" s="118"/>
      <c r="J1219" s="118"/>
      <c r="K1219" s="119"/>
      <c r="L1219" s="113">
        <v>1726391</v>
      </c>
      <c r="M1219" s="113">
        <v>0</v>
      </c>
      <c r="N1219" s="113">
        <v>0</v>
      </c>
      <c r="O1219" s="113">
        <f t="shared" si="350"/>
        <v>1726391</v>
      </c>
      <c r="P1219" s="113">
        <v>0</v>
      </c>
      <c r="Q1219" s="114" t="e">
        <f t="shared" si="351"/>
        <v>#DIV/0!</v>
      </c>
      <c r="R1219" s="115"/>
      <c r="S1219" s="335">
        <v>43830</v>
      </c>
    </row>
    <row r="1220" spans="1:19" customFormat="1" ht="15.75">
      <c r="A1220" s="107">
        <f t="shared" si="352"/>
        <v>134</v>
      </c>
      <c r="B1220" s="305" t="s">
        <v>235</v>
      </c>
      <c r="C1220" s="118">
        <v>1950</v>
      </c>
      <c r="D1220" s="118"/>
      <c r="E1220" s="109" t="s">
        <v>220</v>
      </c>
      <c r="F1220" s="118">
        <v>2</v>
      </c>
      <c r="G1220" s="118">
        <v>1</v>
      </c>
      <c r="H1220" s="118"/>
      <c r="I1220" s="118"/>
      <c r="J1220" s="118"/>
      <c r="K1220" s="119"/>
      <c r="L1220" s="113">
        <v>1521754</v>
      </c>
      <c r="M1220" s="113">
        <v>0</v>
      </c>
      <c r="N1220" s="113">
        <v>0</v>
      </c>
      <c r="O1220" s="113">
        <f t="shared" si="350"/>
        <v>1521754</v>
      </c>
      <c r="P1220" s="113">
        <v>0</v>
      </c>
      <c r="Q1220" s="114" t="e">
        <f t="shared" si="351"/>
        <v>#DIV/0!</v>
      </c>
      <c r="R1220" s="115"/>
      <c r="S1220" s="335">
        <v>43830</v>
      </c>
    </row>
    <row r="1221" spans="1:19" customFormat="1" ht="31.5">
      <c r="A1221" s="107">
        <f t="shared" si="352"/>
        <v>135</v>
      </c>
      <c r="B1221" s="301" t="s">
        <v>227</v>
      </c>
      <c r="C1221" s="118">
        <v>1937</v>
      </c>
      <c r="D1221" s="118"/>
      <c r="E1221" s="109" t="s">
        <v>218</v>
      </c>
      <c r="F1221" s="118">
        <v>2</v>
      </c>
      <c r="G1221" s="118">
        <v>1</v>
      </c>
      <c r="H1221" s="118"/>
      <c r="I1221" s="118"/>
      <c r="J1221" s="118"/>
      <c r="K1221" s="119"/>
      <c r="L1221" s="113">
        <v>671505</v>
      </c>
      <c r="M1221" s="113">
        <v>0</v>
      </c>
      <c r="N1221" s="113">
        <v>0</v>
      </c>
      <c r="O1221" s="113">
        <f t="shared" si="350"/>
        <v>671505</v>
      </c>
      <c r="P1221" s="113">
        <v>0</v>
      </c>
      <c r="Q1221" s="114" t="e">
        <f t="shared" si="351"/>
        <v>#DIV/0!</v>
      </c>
      <c r="R1221" s="115"/>
      <c r="S1221" s="335">
        <v>43830</v>
      </c>
    </row>
    <row r="1222" spans="1:19" customFormat="1" ht="31.5">
      <c r="A1222" s="107">
        <f t="shared" si="352"/>
        <v>136</v>
      </c>
      <c r="B1222" s="305" t="s">
        <v>339</v>
      </c>
      <c r="C1222" s="118">
        <v>1961</v>
      </c>
      <c r="D1222" s="118"/>
      <c r="E1222" s="109" t="s">
        <v>218</v>
      </c>
      <c r="F1222" s="118">
        <v>3</v>
      </c>
      <c r="G1222" s="118">
        <v>2</v>
      </c>
      <c r="H1222" s="118"/>
      <c r="I1222" s="118"/>
      <c r="J1222" s="118"/>
      <c r="K1222" s="119"/>
      <c r="L1222" s="113">
        <v>1081718</v>
      </c>
      <c r="M1222" s="113">
        <v>0</v>
      </c>
      <c r="N1222" s="113">
        <v>0</v>
      </c>
      <c r="O1222" s="113">
        <f t="shared" si="350"/>
        <v>1081718</v>
      </c>
      <c r="P1222" s="113">
        <v>0</v>
      </c>
      <c r="Q1222" s="114" t="e">
        <f t="shared" si="351"/>
        <v>#DIV/0!</v>
      </c>
      <c r="R1222" s="115"/>
      <c r="S1222" s="335">
        <v>43830</v>
      </c>
    </row>
    <row r="1223" spans="1:19" customFormat="1" ht="15.75">
      <c r="A1223" s="107">
        <f t="shared" si="352"/>
        <v>137</v>
      </c>
      <c r="B1223" s="305" t="s">
        <v>231</v>
      </c>
      <c r="C1223" s="118">
        <v>1960</v>
      </c>
      <c r="D1223" s="118"/>
      <c r="E1223" s="109" t="s">
        <v>220</v>
      </c>
      <c r="F1223" s="118">
        <v>3</v>
      </c>
      <c r="G1223" s="118">
        <v>2</v>
      </c>
      <c r="H1223" s="118"/>
      <c r="I1223" s="118"/>
      <c r="J1223" s="118"/>
      <c r="K1223" s="119"/>
      <c r="L1223" s="113">
        <v>206635</v>
      </c>
      <c r="M1223" s="113">
        <v>0</v>
      </c>
      <c r="N1223" s="113">
        <v>0</v>
      </c>
      <c r="O1223" s="113">
        <f t="shared" si="350"/>
        <v>206635</v>
      </c>
      <c r="P1223" s="113">
        <v>0</v>
      </c>
      <c r="Q1223" s="114" t="e">
        <f t="shared" si="351"/>
        <v>#DIV/0!</v>
      </c>
      <c r="R1223" s="115"/>
      <c r="S1223" s="335">
        <v>43830</v>
      </c>
    </row>
    <row r="1224" spans="1:19" customFormat="1" ht="15.75">
      <c r="A1224" s="107">
        <f t="shared" si="352"/>
        <v>138</v>
      </c>
      <c r="B1224" s="301" t="s">
        <v>300</v>
      </c>
      <c r="C1224" s="108">
        <v>1961</v>
      </c>
      <c r="D1224" s="108"/>
      <c r="E1224" s="109" t="s">
        <v>220</v>
      </c>
      <c r="F1224" s="110">
        <v>3</v>
      </c>
      <c r="G1224" s="110">
        <v>2</v>
      </c>
      <c r="H1224" s="111"/>
      <c r="I1224" s="111"/>
      <c r="J1224" s="111"/>
      <c r="K1224" s="112"/>
      <c r="L1224" s="113">
        <v>1044081.04</v>
      </c>
      <c r="M1224" s="113">
        <v>0</v>
      </c>
      <c r="N1224" s="113">
        <v>0</v>
      </c>
      <c r="O1224" s="113">
        <f t="shared" si="350"/>
        <v>1044081.04</v>
      </c>
      <c r="P1224" s="113">
        <v>0</v>
      </c>
      <c r="Q1224" s="114" t="e">
        <f t="shared" si="351"/>
        <v>#DIV/0!</v>
      </c>
      <c r="R1224" s="115"/>
      <c r="S1224" s="335">
        <v>43830</v>
      </c>
    </row>
    <row r="1225" spans="1:19" customFormat="1" ht="31.5">
      <c r="A1225" s="107">
        <f t="shared" si="352"/>
        <v>139</v>
      </c>
      <c r="B1225" s="301" t="s">
        <v>283</v>
      </c>
      <c r="C1225" s="107">
        <v>1959</v>
      </c>
      <c r="D1225" s="108"/>
      <c r="E1225" s="109" t="s">
        <v>218</v>
      </c>
      <c r="F1225" s="108">
        <v>2</v>
      </c>
      <c r="G1225" s="108">
        <v>2</v>
      </c>
      <c r="H1225" s="117"/>
      <c r="I1225" s="117"/>
      <c r="J1225" s="117"/>
      <c r="K1225" s="101"/>
      <c r="L1225" s="113">
        <v>1340000</v>
      </c>
      <c r="M1225" s="113">
        <v>0</v>
      </c>
      <c r="N1225" s="113">
        <v>0</v>
      </c>
      <c r="O1225" s="113">
        <f t="shared" si="350"/>
        <v>1340000</v>
      </c>
      <c r="P1225" s="113">
        <v>0</v>
      </c>
      <c r="Q1225" s="114" t="e">
        <f t="shared" si="351"/>
        <v>#DIV/0!</v>
      </c>
      <c r="R1225" s="115"/>
      <c r="S1225" s="335">
        <v>43830</v>
      </c>
    </row>
    <row r="1226" spans="1:19" customFormat="1" ht="15.75">
      <c r="A1226" s="107">
        <f t="shared" si="352"/>
        <v>140</v>
      </c>
      <c r="B1226" s="305" t="s">
        <v>450</v>
      </c>
      <c r="C1226" s="107">
        <v>1975</v>
      </c>
      <c r="D1226" s="108"/>
      <c r="E1226" s="109" t="s">
        <v>219</v>
      </c>
      <c r="F1226" s="108">
        <v>5</v>
      </c>
      <c r="G1226" s="108">
        <v>6</v>
      </c>
      <c r="H1226" s="117"/>
      <c r="I1226" s="117"/>
      <c r="J1226" s="117"/>
      <c r="K1226" s="101"/>
      <c r="L1226" s="113">
        <v>2294529</v>
      </c>
      <c r="M1226" s="113">
        <v>0</v>
      </c>
      <c r="N1226" s="113">
        <v>0</v>
      </c>
      <c r="O1226" s="113">
        <f t="shared" si="350"/>
        <v>2294529</v>
      </c>
      <c r="P1226" s="113">
        <v>0</v>
      </c>
      <c r="Q1226" s="114" t="e">
        <f t="shared" si="351"/>
        <v>#DIV/0!</v>
      </c>
      <c r="R1226" s="115"/>
      <c r="S1226" s="335">
        <v>43830</v>
      </c>
    </row>
    <row r="1227" spans="1:19" customFormat="1" ht="15.75">
      <c r="A1227" s="107">
        <f t="shared" si="352"/>
        <v>141</v>
      </c>
      <c r="B1227" s="305" t="s">
        <v>230</v>
      </c>
      <c r="C1227" s="118">
        <v>1981</v>
      </c>
      <c r="D1227" s="118"/>
      <c r="E1227" s="109" t="s">
        <v>219</v>
      </c>
      <c r="F1227" s="118">
        <v>9</v>
      </c>
      <c r="G1227" s="118">
        <v>2</v>
      </c>
      <c r="H1227" s="118"/>
      <c r="I1227" s="118"/>
      <c r="J1227" s="118"/>
      <c r="K1227" s="119"/>
      <c r="L1227" s="113">
        <v>2615616.2000000002</v>
      </c>
      <c r="M1227" s="113">
        <v>0</v>
      </c>
      <c r="N1227" s="113">
        <v>0</v>
      </c>
      <c r="O1227" s="113">
        <f t="shared" si="350"/>
        <v>2615616.2000000002</v>
      </c>
      <c r="P1227" s="113">
        <v>0</v>
      </c>
      <c r="Q1227" s="114" t="e">
        <f t="shared" si="351"/>
        <v>#DIV/0!</v>
      </c>
      <c r="R1227" s="115"/>
      <c r="S1227" s="335">
        <v>43830</v>
      </c>
    </row>
    <row r="1228" spans="1:19" customFormat="1" ht="31.5">
      <c r="A1228" s="107">
        <f t="shared" si="352"/>
        <v>142</v>
      </c>
      <c r="B1228" s="301" t="s">
        <v>295</v>
      </c>
      <c r="C1228" s="108">
        <v>1964</v>
      </c>
      <c r="D1228" s="108"/>
      <c r="E1228" s="109" t="s">
        <v>218</v>
      </c>
      <c r="F1228" s="110">
        <v>5</v>
      </c>
      <c r="G1228" s="110">
        <v>3</v>
      </c>
      <c r="H1228" s="111"/>
      <c r="I1228" s="111"/>
      <c r="J1228" s="111"/>
      <c r="K1228" s="112"/>
      <c r="L1228" s="113">
        <v>1561539</v>
      </c>
      <c r="M1228" s="113">
        <v>0</v>
      </c>
      <c r="N1228" s="113">
        <v>0</v>
      </c>
      <c r="O1228" s="113">
        <f t="shared" si="350"/>
        <v>1561539</v>
      </c>
      <c r="P1228" s="113">
        <v>0</v>
      </c>
      <c r="Q1228" s="114" t="e">
        <f t="shared" si="351"/>
        <v>#DIV/0!</v>
      </c>
      <c r="R1228" s="115"/>
      <c r="S1228" s="335">
        <v>43830</v>
      </c>
    </row>
    <row r="1229" spans="1:19" customFormat="1" ht="31.5">
      <c r="A1229" s="107">
        <f t="shared" si="352"/>
        <v>143</v>
      </c>
      <c r="B1229" s="305" t="s">
        <v>294</v>
      </c>
      <c r="C1229" s="108">
        <v>1960</v>
      </c>
      <c r="D1229" s="108"/>
      <c r="E1229" s="109" t="s">
        <v>218</v>
      </c>
      <c r="F1229" s="110">
        <v>5</v>
      </c>
      <c r="G1229" s="110">
        <v>2</v>
      </c>
      <c r="H1229" s="111"/>
      <c r="I1229" s="111"/>
      <c r="J1229" s="111"/>
      <c r="K1229" s="112"/>
      <c r="L1229" s="113">
        <v>1421187</v>
      </c>
      <c r="M1229" s="113">
        <v>0</v>
      </c>
      <c r="N1229" s="113">
        <v>0</v>
      </c>
      <c r="O1229" s="113">
        <f t="shared" si="350"/>
        <v>1421187</v>
      </c>
      <c r="P1229" s="113">
        <v>0</v>
      </c>
      <c r="Q1229" s="114" t="e">
        <f t="shared" si="351"/>
        <v>#DIV/0!</v>
      </c>
      <c r="R1229" s="115"/>
      <c r="S1229" s="335">
        <v>43830</v>
      </c>
    </row>
    <row r="1230" spans="1:19" customFormat="1" ht="15.75">
      <c r="A1230" s="107">
        <f t="shared" si="352"/>
        <v>144</v>
      </c>
      <c r="B1230" s="305" t="s">
        <v>270</v>
      </c>
      <c r="C1230" s="118">
        <v>1962</v>
      </c>
      <c r="D1230" s="118"/>
      <c r="E1230" s="109" t="s">
        <v>219</v>
      </c>
      <c r="F1230" s="118">
        <v>4</v>
      </c>
      <c r="G1230" s="118">
        <v>4</v>
      </c>
      <c r="H1230" s="118"/>
      <c r="I1230" s="118"/>
      <c r="J1230" s="118"/>
      <c r="K1230" s="119"/>
      <c r="L1230" s="113">
        <v>2469740</v>
      </c>
      <c r="M1230" s="113">
        <v>0</v>
      </c>
      <c r="N1230" s="113">
        <v>0</v>
      </c>
      <c r="O1230" s="113">
        <f t="shared" si="350"/>
        <v>2469740</v>
      </c>
      <c r="P1230" s="113">
        <v>0</v>
      </c>
      <c r="Q1230" s="114" t="e">
        <f t="shared" si="351"/>
        <v>#DIV/0!</v>
      </c>
      <c r="R1230" s="115"/>
      <c r="S1230" s="335">
        <v>43830</v>
      </c>
    </row>
    <row r="1231" spans="1:19" customFormat="1" ht="31.5">
      <c r="A1231" s="107">
        <f t="shared" si="352"/>
        <v>145</v>
      </c>
      <c r="B1231" s="305" t="s">
        <v>252</v>
      </c>
      <c r="C1231" s="118">
        <v>1986</v>
      </c>
      <c r="D1231" s="118"/>
      <c r="E1231" s="109" t="s">
        <v>218</v>
      </c>
      <c r="F1231" s="118">
        <v>9</v>
      </c>
      <c r="G1231" s="118">
        <v>1</v>
      </c>
      <c r="H1231" s="118"/>
      <c r="I1231" s="118"/>
      <c r="J1231" s="118"/>
      <c r="K1231" s="119"/>
      <c r="L1231" s="113">
        <v>1104857</v>
      </c>
      <c r="M1231" s="113">
        <v>0</v>
      </c>
      <c r="N1231" s="113">
        <v>0</v>
      </c>
      <c r="O1231" s="113">
        <f t="shared" si="350"/>
        <v>1104857</v>
      </c>
      <c r="P1231" s="113">
        <v>0</v>
      </c>
      <c r="Q1231" s="114" t="e">
        <f t="shared" si="351"/>
        <v>#DIV/0!</v>
      </c>
      <c r="R1231" s="115"/>
      <c r="S1231" s="335">
        <v>43830</v>
      </c>
    </row>
    <row r="1232" spans="1:19" customFormat="1" ht="31.5">
      <c r="A1232" s="107">
        <f t="shared" si="352"/>
        <v>146</v>
      </c>
      <c r="B1232" s="305" t="s">
        <v>304</v>
      </c>
      <c r="C1232" s="108">
        <v>1989</v>
      </c>
      <c r="D1232" s="108"/>
      <c r="E1232" s="109" t="s">
        <v>218</v>
      </c>
      <c r="F1232" s="110">
        <v>9</v>
      </c>
      <c r="G1232" s="110">
        <v>1</v>
      </c>
      <c r="H1232" s="111"/>
      <c r="I1232" s="111"/>
      <c r="J1232" s="111"/>
      <c r="K1232" s="112"/>
      <c r="L1232" s="113">
        <v>1877378</v>
      </c>
      <c r="M1232" s="113">
        <v>0</v>
      </c>
      <c r="N1232" s="113">
        <v>0</v>
      </c>
      <c r="O1232" s="113">
        <f t="shared" si="350"/>
        <v>1877378</v>
      </c>
      <c r="P1232" s="113">
        <v>0</v>
      </c>
      <c r="Q1232" s="114" t="e">
        <f t="shared" si="351"/>
        <v>#DIV/0!</v>
      </c>
      <c r="R1232" s="115"/>
      <c r="S1232" s="335">
        <v>43830</v>
      </c>
    </row>
    <row r="1233" spans="1:30" customFormat="1" ht="31.5">
      <c r="A1233" s="107">
        <f t="shared" si="352"/>
        <v>147</v>
      </c>
      <c r="B1233" s="305" t="s">
        <v>228</v>
      </c>
      <c r="C1233" s="118" t="s">
        <v>190</v>
      </c>
      <c r="D1233" s="118"/>
      <c r="E1233" s="109" t="s">
        <v>218</v>
      </c>
      <c r="F1233" s="118">
        <v>4</v>
      </c>
      <c r="G1233" s="118">
        <v>2</v>
      </c>
      <c r="H1233" s="118"/>
      <c r="I1233" s="118"/>
      <c r="J1233" s="118"/>
      <c r="K1233" s="119"/>
      <c r="L1233" s="113">
        <v>2945836</v>
      </c>
      <c r="M1233" s="113">
        <v>0</v>
      </c>
      <c r="N1233" s="113">
        <v>0</v>
      </c>
      <c r="O1233" s="113">
        <f t="shared" si="350"/>
        <v>2945836</v>
      </c>
      <c r="P1233" s="113">
        <v>0</v>
      </c>
      <c r="Q1233" s="114" t="e">
        <f t="shared" si="351"/>
        <v>#DIV/0!</v>
      </c>
      <c r="R1233" s="115"/>
      <c r="S1233" s="335">
        <v>43830</v>
      </c>
    </row>
    <row r="1234" spans="1:30" customFormat="1" ht="31.5">
      <c r="A1234" s="107">
        <f t="shared" si="352"/>
        <v>148</v>
      </c>
      <c r="B1234" s="305" t="s">
        <v>225</v>
      </c>
      <c r="C1234" s="118">
        <v>1932</v>
      </c>
      <c r="D1234" s="118"/>
      <c r="E1234" s="109" t="s">
        <v>218</v>
      </c>
      <c r="F1234" s="118">
        <v>5</v>
      </c>
      <c r="G1234" s="118">
        <v>5</v>
      </c>
      <c r="H1234" s="118"/>
      <c r="I1234" s="118"/>
      <c r="J1234" s="118"/>
      <c r="K1234" s="119"/>
      <c r="L1234" s="113">
        <v>1118494</v>
      </c>
      <c r="M1234" s="113">
        <v>0</v>
      </c>
      <c r="N1234" s="113">
        <v>0</v>
      </c>
      <c r="O1234" s="113">
        <f t="shared" si="350"/>
        <v>1118494</v>
      </c>
      <c r="P1234" s="113">
        <v>0</v>
      </c>
      <c r="Q1234" s="114" t="e">
        <f t="shared" si="351"/>
        <v>#DIV/0!</v>
      </c>
      <c r="R1234" s="115"/>
      <c r="S1234" s="335">
        <v>43830</v>
      </c>
    </row>
    <row r="1235" spans="1:30" customFormat="1" ht="31.5">
      <c r="A1235" s="107">
        <f t="shared" si="352"/>
        <v>149</v>
      </c>
      <c r="B1235" s="305" t="s">
        <v>232</v>
      </c>
      <c r="C1235" s="118" t="s">
        <v>190</v>
      </c>
      <c r="D1235" s="118"/>
      <c r="E1235" s="109" t="s">
        <v>218</v>
      </c>
      <c r="F1235" s="118">
        <v>3</v>
      </c>
      <c r="G1235" s="118">
        <v>2</v>
      </c>
      <c r="H1235" s="118"/>
      <c r="I1235" s="118"/>
      <c r="J1235" s="118"/>
      <c r="K1235" s="119"/>
      <c r="L1235" s="113">
        <v>2540427</v>
      </c>
      <c r="M1235" s="113">
        <v>0</v>
      </c>
      <c r="N1235" s="113">
        <v>0</v>
      </c>
      <c r="O1235" s="113">
        <f t="shared" si="350"/>
        <v>2540427</v>
      </c>
      <c r="P1235" s="113">
        <v>0</v>
      </c>
      <c r="Q1235" s="114" t="e">
        <f t="shared" si="351"/>
        <v>#DIV/0!</v>
      </c>
      <c r="R1235" s="115"/>
      <c r="S1235" s="335">
        <v>43830</v>
      </c>
    </row>
    <row r="1236" spans="1:30" customFormat="1" ht="31.5">
      <c r="A1236" s="107">
        <f t="shared" si="352"/>
        <v>150</v>
      </c>
      <c r="B1236" s="305" t="s">
        <v>275</v>
      </c>
      <c r="C1236" s="107">
        <v>1951</v>
      </c>
      <c r="D1236" s="108"/>
      <c r="E1236" s="109" t="s">
        <v>218</v>
      </c>
      <c r="F1236" s="108">
        <v>3</v>
      </c>
      <c r="G1236" s="108">
        <v>3</v>
      </c>
      <c r="H1236" s="117"/>
      <c r="I1236" s="117"/>
      <c r="J1236" s="117"/>
      <c r="K1236" s="101"/>
      <c r="L1236" s="113">
        <v>2253297</v>
      </c>
      <c r="M1236" s="113">
        <v>0</v>
      </c>
      <c r="N1236" s="113">
        <v>0</v>
      </c>
      <c r="O1236" s="113">
        <f t="shared" si="350"/>
        <v>2253297</v>
      </c>
      <c r="P1236" s="113">
        <v>0</v>
      </c>
      <c r="Q1236" s="114" t="e">
        <f t="shared" si="351"/>
        <v>#DIV/0!</v>
      </c>
      <c r="R1236" s="115"/>
      <c r="S1236" s="335">
        <v>43830</v>
      </c>
    </row>
    <row r="1237" spans="1:30" customFormat="1" ht="21.75" customHeight="1">
      <c r="A1237" s="107">
        <f t="shared" si="352"/>
        <v>151</v>
      </c>
      <c r="B1237" s="305" t="s">
        <v>286</v>
      </c>
      <c r="C1237" s="108">
        <v>1971</v>
      </c>
      <c r="D1237" s="108"/>
      <c r="E1237" s="109" t="s">
        <v>219</v>
      </c>
      <c r="F1237" s="110">
        <v>5</v>
      </c>
      <c r="G1237" s="110">
        <v>4</v>
      </c>
      <c r="H1237" s="111"/>
      <c r="I1237" s="111"/>
      <c r="J1237" s="111"/>
      <c r="K1237" s="112"/>
      <c r="L1237" s="113">
        <v>1390061</v>
      </c>
      <c r="M1237" s="113">
        <v>0</v>
      </c>
      <c r="N1237" s="113">
        <v>0</v>
      </c>
      <c r="O1237" s="113">
        <f t="shared" si="350"/>
        <v>1390061</v>
      </c>
      <c r="P1237" s="113">
        <v>0</v>
      </c>
      <c r="Q1237" s="114" t="e">
        <f t="shared" si="351"/>
        <v>#DIV/0!</v>
      </c>
      <c r="R1237" s="115"/>
      <c r="S1237" s="335">
        <v>43830</v>
      </c>
    </row>
    <row r="1238" spans="1:30" customFormat="1" ht="31.5">
      <c r="A1238" s="107">
        <f t="shared" si="352"/>
        <v>152</v>
      </c>
      <c r="B1238" s="301" t="s">
        <v>342</v>
      </c>
      <c r="C1238" s="107">
        <v>1961</v>
      </c>
      <c r="D1238" s="108"/>
      <c r="E1238" s="109" t="s">
        <v>218</v>
      </c>
      <c r="F1238" s="108">
        <v>5</v>
      </c>
      <c r="G1238" s="108">
        <v>4</v>
      </c>
      <c r="H1238" s="117"/>
      <c r="I1238" s="117"/>
      <c r="J1238" s="117"/>
      <c r="K1238" s="101"/>
      <c r="L1238" s="113">
        <v>3213804</v>
      </c>
      <c r="M1238" s="113">
        <v>0</v>
      </c>
      <c r="N1238" s="113">
        <v>0</v>
      </c>
      <c r="O1238" s="113">
        <f t="shared" si="350"/>
        <v>3213804</v>
      </c>
      <c r="P1238" s="113">
        <v>0</v>
      </c>
      <c r="Q1238" s="114" t="e">
        <f t="shared" si="351"/>
        <v>#DIV/0!</v>
      </c>
      <c r="R1238" s="115"/>
      <c r="S1238" s="335">
        <v>43830</v>
      </c>
    </row>
    <row r="1239" spans="1:30" customFormat="1" ht="31.5">
      <c r="A1239" s="107">
        <f t="shared" si="352"/>
        <v>153</v>
      </c>
      <c r="B1239" s="305" t="s">
        <v>298</v>
      </c>
      <c r="C1239" s="108">
        <v>1958</v>
      </c>
      <c r="D1239" s="108"/>
      <c r="E1239" s="109" t="s">
        <v>218</v>
      </c>
      <c r="F1239" s="110">
        <v>4</v>
      </c>
      <c r="G1239" s="110">
        <v>3</v>
      </c>
      <c r="H1239" s="111"/>
      <c r="I1239" s="111"/>
      <c r="J1239" s="111"/>
      <c r="K1239" s="112"/>
      <c r="L1239" s="113">
        <v>3202371</v>
      </c>
      <c r="M1239" s="113">
        <v>0</v>
      </c>
      <c r="N1239" s="113">
        <v>0</v>
      </c>
      <c r="O1239" s="113">
        <f t="shared" si="350"/>
        <v>3202371</v>
      </c>
      <c r="P1239" s="113">
        <v>0</v>
      </c>
      <c r="Q1239" s="114" t="e">
        <f t="shared" si="351"/>
        <v>#DIV/0!</v>
      </c>
      <c r="R1239" s="115"/>
      <c r="S1239" s="335">
        <v>43830</v>
      </c>
    </row>
    <row r="1240" spans="1:30" s="3" customFormat="1" ht="31.5">
      <c r="A1240" s="107">
        <f t="shared" si="352"/>
        <v>154</v>
      </c>
      <c r="B1240" s="305" t="s">
        <v>253</v>
      </c>
      <c r="C1240" s="118">
        <v>1959</v>
      </c>
      <c r="D1240" s="118"/>
      <c r="E1240" s="109" t="s">
        <v>218</v>
      </c>
      <c r="F1240" s="118">
        <v>2</v>
      </c>
      <c r="G1240" s="118">
        <v>1</v>
      </c>
      <c r="H1240" s="118"/>
      <c r="I1240" s="118"/>
      <c r="J1240" s="118"/>
      <c r="K1240" s="119"/>
      <c r="L1240" s="113">
        <v>709022</v>
      </c>
      <c r="M1240" s="113">
        <v>0</v>
      </c>
      <c r="N1240" s="113">
        <v>0</v>
      </c>
      <c r="O1240" s="113">
        <f t="shared" si="350"/>
        <v>709022</v>
      </c>
      <c r="P1240" s="113">
        <v>0</v>
      </c>
      <c r="Q1240" s="114" t="e">
        <f t="shared" si="351"/>
        <v>#DIV/0!</v>
      </c>
      <c r="R1240" s="115"/>
      <c r="S1240" s="335">
        <v>43830</v>
      </c>
      <c r="T1240"/>
      <c r="U1240"/>
      <c r="V1240"/>
      <c r="W1240"/>
      <c r="X1240"/>
      <c r="Y1240"/>
      <c r="Z1240"/>
      <c r="AA1240"/>
      <c r="AB1240"/>
      <c r="AC1240"/>
      <c r="AD1240"/>
    </row>
    <row r="1241" spans="1:30" customFormat="1" ht="31.5">
      <c r="A1241" s="107">
        <f t="shared" si="352"/>
        <v>155</v>
      </c>
      <c r="B1241" s="305" t="s">
        <v>260</v>
      </c>
      <c r="C1241" s="118">
        <v>1958</v>
      </c>
      <c r="D1241" s="118"/>
      <c r="E1241" s="109" t="s">
        <v>218</v>
      </c>
      <c r="F1241" s="118">
        <v>2</v>
      </c>
      <c r="G1241" s="118">
        <v>1</v>
      </c>
      <c r="H1241" s="118"/>
      <c r="I1241" s="118"/>
      <c r="J1241" s="118"/>
      <c r="K1241" s="119"/>
      <c r="L1241" s="113">
        <v>1136930</v>
      </c>
      <c r="M1241" s="113">
        <v>0</v>
      </c>
      <c r="N1241" s="113">
        <v>0</v>
      </c>
      <c r="O1241" s="113">
        <f t="shared" si="350"/>
        <v>1136930</v>
      </c>
      <c r="P1241" s="113">
        <v>0</v>
      </c>
      <c r="Q1241" s="114" t="e">
        <f t="shared" si="351"/>
        <v>#DIV/0!</v>
      </c>
      <c r="R1241" s="115"/>
      <c r="S1241" s="335">
        <v>43830</v>
      </c>
    </row>
    <row r="1242" spans="1:30" customFormat="1" ht="31.5">
      <c r="A1242" s="107">
        <f t="shared" si="352"/>
        <v>156</v>
      </c>
      <c r="B1242" s="305" t="s">
        <v>349</v>
      </c>
      <c r="C1242" s="108">
        <v>1958</v>
      </c>
      <c r="D1242" s="108"/>
      <c r="E1242" s="109" t="s">
        <v>218</v>
      </c>
      <c r="F1242" s="110">
        <v>2</v>
      </c>
      <c r="G1242" s="110">
        <v>2</v>
      </c>
      <c r="H1242" s="111"/>
      <c r="I1242" s="111"/>
      <c r="J1242" s="111"/>
      <c r="K1242" s="112"/>
      <c r="L1242" s="113">
        <v>1320636</v>
      </c>
      <c r="M1242" s="113">
        <v>0</v>
      </c>
      <c r="N1242" s="113">
        <v>0</v>
      </c>
      <c r="O1242" s="113">
        <f t="shared" si="350"/>
        <v>1320636</v>
      </c>
      <c r="P1242" s="113">
        <v>0</v>
      </c>
      <c r="Q1242" s="114" t="e">
        <f t="shared" si="351"/>
        <v>#DIV/0!</v>
      </c>
      <c r="R1242" s="115"/>
      <c r="S1242" s="335">
        <v>43830</v>
      </c>
    </row>
    <row r="1243" spans="1:30" customFormat="1" ht="15.75">
      <c r="A1243" s="107">
        <f t="shared" si="352"/>
        <v>157</v>
      </c>
      <c r="B1243" s="305" t="s">
        <v>302</v>
      </c>
      <c r="C1243" s="108">
        <v>1986</v>
      </c>
      <c r="D1243" s="108"/>
      <c r="E1243" s="109" t="s">
        <v>219</v>
      </c>
      <c r="F1243" s="110">
        <v>9</v>
      </c>
      <c r="G1243" s="110">
        <v>3</v>
      </c>
      <c r="H1243" s="111"/>
      <c r="I1243" s="111"/>
      <c r="J1243" s="111"/>
      <c r="K1243" s="112"/>
      <c r="L1243" s="113">
        <v>4265098</v>
      </c>
      <c r="M1243" s="113">
        <v>0</v>
      </c>
      <c r="N1243" s="113">
        <v>0</v>
      </c>
      <c r="O1243" s="113">
        <f t="shared" si="350"/>
        <v>4265098</v>
      </c>
      <c r="P1243" s="113">
        <v>0</v>
      </c>
      <c r="Q1243" s="114" t="e">
        <f t="shared" si="351"/>
        <v>#DIV/0!</v>
      </c>
      <c r="R1243" s="115"/>
      <c r="S1243" s="335">
        <v>43830</v>
      </c>
    </row>
    <row r="1244" spans="1:30" customFormat="1" ht="31.5">
      <c r="A1244" s="107">
        <f t="shared" si="352"/>
        <v>158</v>
      </c>
      <c r="B1244" s="305" t="s">
        <v>341</v>
      </c>
      <c r="C1244" s="107">
        <v>1963</v>
      </c>
      <c r="D1244" s="108"/>
      <c r="E1244" s="109" t="s">
        <v>218</v>
      </c>
      <c r="F1244" s="108">
        <v>4</v>
      </c>
      <c r="G1244" s="108">
        <v>4</v>
      </c>
      <c r="H1244" s="117"/>
      <c r="I1244" s="117"/>
      <c r="J1244" s="117"/>
      <c r="K1244" s="101"/>
      <c r="L1244" s="113">
        <v>2115890</v>
      </c>
      <c r="M1244" s="113">
        <v>0</v>
      </c>
      <c r="N1244" s="113">
        <v>0</v>
      </c>
      <c r="O1244" s="113">
        <f t="shared" si="350"/>
        <v>2115890</v>
      </c>
      <c r="P1244" s="113">
        <v>0</v>
      </c>
      <c r="Q1244" s="114" t="e">
        <f t="shared" si="351"/>
        <v>#DIV/0!</v>
      </c>
      <c r="R1244" s="115"/>
      <c r="S1244" s="335">
        <v>43830</v>
      </c>
    </row>
    <row r="1245" spans="1:30" customFormat="1" ht="31.5">
      <c r="A1245" s="107">
        <f t="shared" si="352"/>
        <v>159</v>
      </c>
      <c r="B1245" s="301" t="s">
        <v>242</v>
      </c>
      <c r="C1245" s="118">
        <v>1961</v>
      </c>
      <c r="D1245" s="118"/>
      <c r="E1245" s="109" t="s">
        <v>218</v>
      </c>
      <c r="F1245" s="118">
        <v>3</v>
      </c>
      <c r="G1245" s="118">
        <v>2</v>
      </c>
      <c r="H1245" s="118"/>
      <c r="I1245" s="118"/>
      <c r="J1245" s="118"/>
      <c r="K1245" s="119"/>
      <c r="L1245" s="113">
        <v>482251.51</v>
      </c>
      <c r="M1245" s="113">
        <v>0</v>
      </c>
      <c r="N1245" s="113">
        <v>0</v>
      </c>
      <c r="O1245" s="113">
        <f t="shared" si="350"/>
        <v>482251.51</v>
      </c>
      <c r="P1245" s="113">
        <v>0</v>
      </c>
      <c r="Q1245" s="114" t="e">
        <f t="shared" si="351"/>
        <v>#DIV/0!</v>
      </c>
      <c r="R1245" s="115"/>
      <c r="S1245" s="335">
        <v>43830</v>
      </c>
    </row>
    <row r="1246" spans="1:30" customFormat="1" ht="31.5">
      <c r="A1246" s="107">
        <f t="shared" si="352"/>
        <v>160</v>
      </c>
      <c r="B1246" s="305" t="s">
        <v>279</v>
      </c>
      <c r="C1246" s="107">
        <v>1959</v>
      </c>
      <c r="D1246" s="108"/>
      <c r="E1246" s="109" t="s">
        <v>218</v>
      </c>
      <c r="F1246" s="108">
        <v>3</v>
      </c>
      <c r="G1246" s="108">
        <v>2</v>
      </c>
      <c r="H1246" s="117"/>
      <c r="I1246" s="117"/>
      <c r="J1246" s="117"/>
      <c r="K1246" s="101"/>
      <c r="L1246" s="113">
        <v>1018040.92</v>
      </c>
      <c r="M1246" s="113">
        <v>0</v>
      </c>
      <c r="N1246" s="113">
        <v>0</v>
      </c>
      <c r="O1246" s="113">
        <f t="shared" si="350"/>
        <v>1018040.92</v>
      </c>
      <c r="P1246" s="113">
        <v>0</v>
      </c>
      <c r="Q1246" s="114" t="e">
        <f t="shared" si="351"/>
        <v>#DIV/0!</v>
      </c>
      <c r="R1246" s="115"/>
      <c r="S1246" s="335">
        <v>43830</v>
      </c>
    </row>
    <row r="1247" spans="1:30" customFormat="1" ht="31.5">
      <c r="A1247" s="107">
        <f t="shared" si="352"/>
        <v>161</v>
      </c>
      <c r="B1247" s="305" t="s">
        <v>262</v>
      </c>
      <c r="C1247" s="118">
        <v>1977</v>
      </c>
      <c r="D1247" s="118"/>
      <c r="E1247" s="109" t="s">
        <v>218</v>
      </c>
      <c r="F1247" s="118">
        <v>9</v>
      </c>
      <c r="G1247" s="118">
        <v>1</v>
      </c>
      <c r="H1247" s="118"/>
      <c r="I1247" s="118"/>
      <c r="J1247" s="118"/>
      <c r="K1247" s="119"/>
      <c r="L1247" s="113">
        <v>1871554</v>
      </c>
      <c r="M1247" s="113">
        <v>0</v>
      </c>
      <c r="N1247" s="113">
        <v>0</v>
      </c>
      <c r="O1247" s="113">
        <f t="shared" si="350"/>
        <v>1871554</v>
      </c>
      <c r="P1247" s="113">
        <v>0</v>
      </c>
      <c r="Q1247" s="114" t="e">
        <f t="shared" si="351"/>
        <v>#DIV/0!</v>
      </c>
      <c r="R1247" s="115"/>
      <c r="S1247" s="335">
        <v>43830</v>
      </c>
    </row>
    <row r="1248" spans="1:30" customFormat="1" ht="31.5">
      <c r="A1248" s="107">
        <f t="shared" si="352"/>
        <v>162</v>
      </c>
      <c r="B1248" s="301" t="s">
        <v>290</v>
      </c>
      <c r="C1248" s="108">
        <v>1974</v>
      </c>
      <c r="D1248" s="108"/>
      <c r="E1248" s="109" t="s">
        <v>218</v>
      </c>
      <c r="F1248" s="110">
        <v>5</v>
      </c>
      <c r="G1248" s="110">
        <v>4</v>
      </c>
      <c r="H1248" s="111"/>
      <c r="I1248" s="111"/>
      <c r="J1248" s="111"/>
      <c r="K1248" s="112"/>
      <c r="L1248" s="113">
        <v>2652530</v>
      </c>
      <c r="M1248" s="113">
        <v>0</v>
      </c>
      <c r="N1248" s="113">
        <v>0</v>
      </c>
      <c r="O1248" s="113">
        <f t="shared" si="350"/>
        <v>2652530</v>
      </c>
      <c r="P1248" s="113">
        <v>0</v>
      </c>
      <c r="Q1248" s="114" t="e">
        <f t="shared" si="351"/>
        <v>#DIV/0!</v>
      </c>
      <c r="R1248" s="115"/>
      <c r="S1248" s="335">
        <v>43830</v>
      </c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</row>
    <row r="1249" spans="1:30" customFormat="1" ht="15.75">
      <c r="A1249" s="107">
        <f t="shared" si="352"/>
        <v>163</v>
      </c>
      <c r="B1249" s="305" t="s">
        <v>356</v>
      </c>
      <c r="C1249" s="108">
        <v>1974</v>
      </c>
      <c r="D1249" s="108"/>
      <c r="E1249" s="109" t="s">
        <v>219</v>
      </c>
      <c r="F1249" s="110">
        <v>5</v>
      </c>
      <c r="G1249" s="110">
        <v>6</v>
      </c>
      <c r="H1249" s="111"/>
      <c r="I1249" s="111"/>
      <c r="J1249" s="111"/>
      <c r="K1249" s="112"/>
      <c r="L1249" s="113">
        <v>3645969</v>
      </c>
      <c r="M1249" s="113">
        <v>0</v>
      </c>
      <c r="N1249" s="113">
        <v>0</v>
      </c>
      <c r="O1249" s="113">
        <f t="shared" si="350"/>
        <v>3645969</v>
      </c>
      <c r="P1249" s="113">
        <v>0</v>
      </c>
      <c r="Q1249" s="114" t="e">
        <f t="shared" si="351"/>
        <v>#DIV/0!</v>
      </c>
      <c r="R1249" s="115"/>
      <c r="S1249" s="335">
        <v>43830</v>
      </c>
    </row>
    <row r="1250" spans="1:30" s="62" customFormat="1" ht="15.75">
      <c r="A1250" s="107">
        <f t="shared" si="352"/>
        <v>164</v>
      </c>
      <c r="B1250" s="305" t="s">
        <v>354</v>
      </c>
      <c r="C1250" s="107">
        <v>1986</v>
      </c>
      <c r="D1250" s="108"/>
      <c r="E1250" s="109" t="s">
        <v>219</v>
      </c>
      <c r="F1250" s="108">
        <v>9</v>
      </c>
      <c r="G1250" s="108">
        <v>1</v>
      </c>
      <c r="H1250" s="117"/>
      <c r="I1250" s="117"/>
      <c r="J1250" s="117"/>
      <c r="K1250" s="101"/>
      <c r="L1250" s="113">
        <v>771330</v>
      </c>
      <c r="M1250" s="113">
        <v>0</v>
      </c>
      <c r="N1250" s="113">
        <v>0</v>
      </c>
      <c r="O1250" s="113">
        <f t="shared" si="350"/>
        <v>771330</v>
      </c>
      <c r="P1250" s="113">
        <v>0</v>
      </c>
      <c r="Q1250" s="114" t="e">
        <f t="shared" si="351"/>
        <v>#DIV/0!</v>
      </c>
      <c r="R1250" s="115"/>
      <c r="S1250" s="335">
        <v>43830</v>
      </c>
      <c r="T1250"/>
      <c r="U1250"/>
      <c r="V1250"/>
      <c r="W1250"/>
      <c r="X1250"/>
      <c r="Y1250"/>
      <c r="Z1250"/>
      <c r="AA1250"/>
      <c r="AB1250"/>
      <c r="AC1250"/>
      <c r="AD1250"/>
    </row>
    <row r="1251" spans="1:30" customFormat="1" ht="15.75">
      <c r="A1251" s="107">
        <f t="shared" si="352"/>
        <v>165</v>
      </c>
      <c r="B1251" s="301" t="s">
        <v>352</v>
      </c>
      <c r="C1251" s="118">
        <v>1972</v>
      </c>
      <c r="D1251" s="118"/>
      <c r="E1251" s="109" t="s">
        <v>219</v>
      </c>
      <c r="F1251" s="118">
        <v>9</v>
      </c>
      <c r="G1251" s="118">
        <v>1</v>
      </c>
      <c r="H1251" s="118"/>
      <c r="I1251" s="118"/>
      <c r="J1251" s="118"/>
      <c r="K1251" s="119"/>
      <c r="L1251" s="113">
        <v>1894719</v>
      </c>
      <c r="M1251" s="113">
        <v>0</v>
      </c>
      <c r="N1251" s="113">
        <v>0</v>
      </c>
      <c r="O1251" s="113">
        <f t="shared" si="350"/>
        <v>1894719</v>
      </c>
      <c r="P1251" s="113">
        <v>0</v>
      </c>
      <c r="Q1251" s="114" t="e">
        <f t="shared" si="351"/>
        <v>#DIV/0!</v>
      </c>
      <c r="R1251" s="115"/>
      <c r="S1251" s="335">
        <v>43830</v>
      </c>
    </row>
    <row r="1252" spans="1:30" customFormat="1" ht="31.5">
      <c r="A1252" s="107">
        <f t="shared" si="352"/>
        <v>166</v>
      </c>
      <c r="B1252" s="305" t="s">
        <v>355</v>
      </c>
      <c r="C1252" s="107">
        <v>1964</v>
      </c>
      <c r="D1252" s="108"/>
      <c r="E1252" s="109" t="s">
        <v>218</v>
      </c>
      <c r="F1252" s="108">
        <v>5</v>
      </c>
      <c r="G1252" s="108">
        <v>3</v>
      </c>
      <c r="H1252" s="117"/>
      <c r="I1252" s="117"/>
      <c r="J1252" s="117"/>
      <c r="K1252" s="101"/>
      <c r="L1252" s="113">
        <v>1492412</v>
      </c>
      <c r="M1252" s="113">
        <v>0</v>
      </c>
      <c r="N1252" s="113">
        <v>0</v>
      </c>
      <c r="O1252" s="113">
        <f t="shared" si="350"/>
        <v>1492412</v>
      </c>
      <c r="P1252" s="113">
        <v>0</v>
      </c>
      <c r="Q1252" s="114" t="e">
        <f t="shared" si="351"/>
        <v>#DIV/0!</v>
      </c>
      <c r="R1252" s="115"/>
      <c r="S1252" s="335">
        <v>43830</v>
      </c>
    </row>
    <row r="1253" spans="1:30" customFormat="1" ht="31.5">
      <c r="A1253" s="107">
        <f t="shared" si="352"/>
        <v>167</v>
      </c>
      <c r="B1253" s="301" t="s">
        <v>318</v>
      </c>
      <c r="C1253" s="118">
        <v>1884</v>
      </c>
      <c r="D1253" s="118"/>
      <c r="E1253" s="109" t="s">
        <v>218</v>
      </c>
      <c r="F1253" s="118">
        <v>2</v>
      </c>
      <c r="G1253" s="118">
        <v>2</v>
      </c>
      <c r="H1253" s="118"/>
      <c r="I1253" s="118"/>
      <c r="J1253" s="118"/>
      <c r="K1253" s="119"/>
      <c r="L1253" s="113">
        <v>651523.25</v>
      </c>
      <c r="M1253" s="113">
        <v>0</v>
      </c>
      <c r="N1253" s="113">
        <v>0</v>
      </c>
      <c r="O1253" s="113">
        <f t="shared" si="350"/>
        <v>651523.25</v>
      </c>
      <c r="P1253" s="113">
        <v>0</v>
      </c>
      <c r="Q1253" s="114" t="e">
        <f t="shared" si="351"/>
        <v>#DIV/0!</v>
      </c>
      <c r="R1253" s="115"/>
      <c r="S1253" s="335">
        <v>43830</v>
      </c>
    </row>
    <row r="1254" spans="1:30" customFormat="1" ht="15.75">
      <c r="A1254" s="107">
        <f t="shared" si="352"/>
        <v>168</v>
      </c>
      <c r="B1254" s="305" t="s">
        <v>353</v>
      </c>
      <c r="C1254" s="118">
        <v>1948</v>
      </c>
      <c r="D1254" s="118"/>
      <c r="E1254" s="109" t="s">
        <v>220</v>
      </c>
      <c r="F1254" s="118">
        <v>2</v>
      </c>
      <c r="G1254" s="118">
        <v>2</v>
      </c>
      <c r="H1254" s="118"/>
      <c r="I1254" s="118"/>
      <c r="J1254" s="118"/>
      <c r="K1254" s="119"/>
      <c r="L1254" s="113">
        <v>1221424.83</v>
      </c>
      <c r="M1254" s="113">
        <v>0</v>
      </c>
      <c r="N1254" s="113">
        <v>0</v>
      </c>
      <c r="O1254" s="113">
        <f t="shared" si="350"/>
        <v>1221424.83</v>
      </c>
      <c r="P1254" s="113">
        <v>0</v>
      </c>
      <c r="Q1254" s="114" t="e">
        <f t="shared" si="351"/>
        <v>#DIV/0!</v>
      </c>
      <c r="R1254" s="115"/>
      <c r="S1254" s="335">
        <v>43830</v>
      </c>
    </row>
    <row r="1255" spans="1:30" s="1" customFormat="1" ht="30.6" customHeight="1">
      <c r="A1255" s="107"/>
      <c r="B1255" s="1335" t="s">
        <v>91</v>
      </c>
      <c r="C1255" s="1335"/>
      <c r="D1255" s="1335"/>
      <c r="E1255" s="1335"/>
      <c r="F1255" s="1345"/>
      <c r="G1255" s="1345"/>
      <c r="H1255" s="891">
        <f t="shared" ref="H1255:P1255" si="353">SUM(H1256:H1266)</f>
        <v>14224.600000000002</v>
      </c>
      <c r="I1255" s="891">
        <f t="shared" si="353"/>
        <v>11656.000000000002</v>
      </c>
      <c r="J1255" s="891">
        <f t="shared" si="353"/>
        <v>9609.0999999999985</v>
      </c>
      <c r="K1255" s="892">
        <f t="shared" si="353"/>
        <v>391</v>
      </c>
      <c r="L1255" s="113">
        <f t="shared" si="353"/>
        <v>20085822.140000001</v>
      </c>
      <c r="M1255" s="113">
        <f t="shared" si="353"/>
        <v>0</v>
      </c>
      <c r="N1255" s="113">
        <f t="shared" si="353"/>
        <v>0</v>
      </c>
      <c r="O1255" s="113">
        <f t="shared" si="353"/>
        <v>20085822.140000001</v>
      </c>
      <c r="P1255" s="113">
        <f t="shared" si="353"/>
        <v>0</v>
      </c>
      <c r="Q1255" s="106" t="s">
        <v>40</v>
      </c>
      <c r="R1255" s="106" t="s">
        <v>40</v>
      </c>
      <c r="S1255" s="335">
        <v>43830</v>
      </c>
    </row>
    <row r="1256" spans="1:30" s="30" customFormat="1" ht="21.6" customHeight="1">
      <c r="A1256" s="107">
        <v>1</v>
      </c>
      <c r="B1256" s="889" t="s">
        <v>963</v>
      </c>
      <c r="C1256" s="108">
        <v>1938</v>
      </c>
      <c r="D1256" s="108"/>
      <c r="E1256" s="611" t="s">
        <v>962</v>
      </c>
      <c r="F1256" s="764">
        <v>1</v>
      </c>
      <c r="G1256" s="764">
        <v>1</v>
      </c>
      <c r="H1256" s="764">
        <v>178.4</v>
      </c>
      <c r="I1256" s="764">
        <v>167.5</v>
      </c>
      <c r="J1256" s="764">
        <v>178.4</v>
      </c>
      <c r="K1256" s="764">
        <v>8</v>
      </c>
      <c r="L1256" s="655">
        <f>O1256</f>
        <v>568539.85</v>
      </c>
      <c r="M1256" s="113">
        <v>0</v>
      </c>
      <c r="N1256" s="113">
        <v>0</v>
      </c>
      <c r="O1256" s="113">
        <v>568539.85</v>
      </c>
      <c r="P1256" s="113">
        <v>0</v>
      </c>
      <c r="Q1256" s="114">
        <f t="shared" ref="Q1256:Q1266" si="354">L1256/I1256</f>
        <v>3394.2677611940298</v>
      </c>
      <c r="R1256" s="114">
        <v>7920</v>
      </c>
      <c r="S1256" s="335">
        <v>43830</v>
      </c>
    </row>
    <row r="1257" spans="1:30" s="30" customFormat="1" ht="29.45" customHeight="1">
      <c r="A1257" s="107">
        <v>2</v>
      </c>
      <c r="B1257" s="889" t="s">
        <v>964</v>
      </c>
      <c r="C1257" s="108">
        <v>1917</v>
      </c>
      <c r="D1257" s="108"/>
      <c r="E1257" s="611" t="s">
        <v>962</v>
      </c>
      <c r="F1257" s="764">
        <v>2</v>
      </c>
      <c r="G1257" s="764">
        <v>1</v>
      </c>
      <c r="H1257" s="764">
        <v>153.19999999999999</v>
      </c>
      <c r="I1257" s="764">
        <v>140.69999999999999</v>
      </c>
      <c r="J1257" s="764">
        <v>117.3</v>
      </c>
      <c r="K1257" s="764">
        <v>7</v>
      </c>
      <c r="L1257" s="655">
        <f t="shared" ref="L1257:L1266" si="355">O1257</f>
        <v>690413</v>
      </c>
      <c r="M1257" s="113">
        <v>0</v>
      </c>
      <c r="N1257" s="113">
        <v>0</v>
      </c>
      <c r="O1257" s="113">
        <v>690413</v>
      </c>
      <c r="P1257" s="113">
        <v>0</v>
      </c>
      <c r="Q1257" s="114">
        <f t="shared" si="354"/>
        <v>4906.9864960909745</v>
      </c>
      <c r="R1257" s="114">
        <v>7920</v>
      </c>
      <c r="S1257" s="335">
        <v>43830</v>
      </c>
    </row>
    <row r="1258" spans="1:30" s="30" customFormat="1" ht="31.5">
      <c r="A1258" s="107">
        <v>3</v>
      </c>
      <c r="B1258" s="889" t="s">
        <v>965</v>
      </c>
      <c r="C1258" s="108">
        <v>1959</v>
      </c>
      <c r="D1258" s="108"/>
      <c r="E1258" s="611" t="s">
        <v>974</v>
      </c>
      <c r="F1258" s="764">
        <v>2</v>
      </c>
      <c r="G1258" s="764">
        <v>2</v>
      </c>
      <c r="H1258" s="764">
        <v>671.6</v>
      </c>
      <c r="I1258" s="764">
        <v>671.1</v>
      </c>
      <c r="J1258" s="764">
        <v>659.2</v>
      </c>
      <c r="K1258" s="764">
        <v>21</v>
      </c>
      <c r="L1258" s="655">
        <f t="shared" si="355"/>
        <v>1677206</v>
      </c>
      <c r="M1258" s="113">
        <v>0</v>
      </c>
      <c r="N1258" s="113">
        <v>0</v>
      </c>
      <c r="O1258" s="113">
        <v>1677206</v>
      </c>
      <c r="P1258" s="113">
        <v>0</v>
      </c>
      <c r="Q1258" s="114">
        <f t="shared" si="354"/>
        <v>2499.1893905528236</v>
      </c>
      <c r="R1258" s="114">
        <v>7920</v>
      </c>
      <c r="S1258" s="335">
        <v>43830</v>
      </c>
    </row>
    <row r="1259" spans="1:30" s="30" customFormat="1" ht="31.5">
      <c r="A1259" s="107">
        <v>4</v>
      </c>
      <c r="B1259" s="889" t="s">
        <v>966</v>
      </c>
      <c r="C1259" s="108">
        <v>1960</v>
      </c>
      <c r="D1259" s="108"/>
      <c r="E1259" s="611" t="s">
        <v>218</v>
      </c>
      <c r="F1259" s="764">
        <v>2</v>
      </c>
      <c r="G1259" s="764">
        <v>2</v>
      </c>
      <c r="H1259" s="764">
        <v>620.70000000000005</v>
      </c>
      <c r="I1259" s="764">
        <v>620.70000000000005</v>
      </c>
      <c r="J1259" s="764">
        <v>591.5</v>
      </c>
      <c r="K1259" s="764">
        <v>23</v>
      </c>
      <c r="L1259" s="655">
        <f t="shared" si="355"/>
        <v>1912197</v>
      </c>
      <c r="M1259" s="113">
        <v>0</v>
      </c>
      <c r="N1259" s="113">
        <v>0</v>
      </c>
      <c r="O1259" s="113">
        <v>1912197</v>
      </c>
      <c r="P1259" s="113">
        <v>0</v>
      </c>
      <c r="Q1259" s="114">
        <f t="shared" si="354"/>
        <v>3080.7104881585306</v>
      </c>
      <c r="R1259" s="114">
        <v>7920</v>
      </c>
      <c r="S1259" s="335">
        <v>43830</v>
      </c>
    </row>
    <row r="1260" spans="1:30" s="30" customFormat="1" ht="31.5">
      <c r="A1260" s="107">
        <v>5</v>
      </c>
      <c r="B1260" s="889" t="s">
        <v>967</v>
      </c>
      <c r="C1260" s="108">
        <v>1960</v>
      </c>
      <c r="D1260" s="108"/>
      <c r="E1260" s="611" t="s">
        <v>218</v>
      </c>
      <c r="F1260" s="764">
        <v>3</v>
      </c>
      <c r="G1260" s="764">
        <v>3</v>
      </c>
      <c r="H1260" s="764">
        <v>1641.6</v>
      </c>
      <c r="I1260" s="764">
        <v>1533.4</v>
      </c>
      <c r="J1260" s="764">
        <v>1492.4</v>
      </c>
      <c r="K1260" s="764">
        <v>53</v>
      </c>
      <c r="L1260" s="655">
        <f t="shared" si="355"/>
        <v>2920191</v>
      </c>
      <c r="M1260" s="113">
        <v>0</v>
      </c>
      <c r="N1260" s="113">
        <v>0</v>
      </c>
      <c r="O1260" s="113">
        <v>2920191</v>
      </c>
      <c r="P1260" s="113">
        <v>0</v>
      </c>
      <c r="Q1260" s="114">
        <f t="shared" si="354"/>
        <v>1904.38959175688</v>
      </c>
      <c r="R1260" s="114">
        <v>7920</v>
      </c>
      <c r="S1260" s="335">
        <v>43830</v>
      </c>
    </row>
    <row r="1261" spans="1:30" s="30" customFormat="1" ht="21.6" customHeight="1">
      <c r="A1261" s="107">
        <v>6</v>
      </c>
      <c r="B1261" s="889" t="s">
        <v>968</v>
      </c>
      <c r="C1261" s="108">
        <v>1937</v>
      </c>
      <c r="D1261" s="108"/>
      <c r="E1261" s="611" t="s">
        <v>962</v>
      </c>
      <c r="F1261" s="764">
        <v>2</v>
      </c>
      <c r="G1261" s="764">
        <v>2</v>
      </c>
      <c r="H1261" s="764">
        <v>614.5</v>
      </c>
      <c r="I1261" s="764">
        <v>499.1</v>
      </c>
      <c r="J1261" s="764">
        <v>498.9</v>
      </c>
      <c r="K1261" s="764">
        <v>25</v>
      </c>
      <c r="L1261" s="655">
        <f t="shared" si="355"/>
        <v>1379030</v>
      </c>
      <c r="M1261" s="113">
        <v>0</v>
      </c>
      <c r="N1261" s="113">
        <v>0</v>
      </c>
      <c r="O1261" s="113">
        <v>1379030</v>
      </c>
      <c r="P1261" s="113">
        <v>0</v>
      </c>
      <c r="Q1261" s="114">
        <f t="shared" si="354"/>
        <v>2763.0334602284111</v>
      </c>
      <c r="R1261" s="114">
        <v>7920</v>
      </c>
      <c r="S1261" s="335">
        <v>43830</v>
      </c>
    </row>
    <row r="1262" spans="1:30" s="30" customFormat="1" ht="24.6" customHeight="1">
      <c r="A1262" s="107">
        <v>7</v>
      </c>
      <c r="B1262" s="889" t="s">
        <v>969</v>
      </c>
      <c r="C1262" s="108">
        <v>1958</v>
      </c>
      <c r="D1262" s="108"/>
      <c r="E1262" s="611" t="s">
        <v>962</v>
      </c>
      <c r="F1262" s="764">
        <v>2</v>
      </c>
      <c r="G1262" s="764">
        <v>1</v>
      </c>
      <c r="H1262" s="764">
        <v>414.3</v>
      </c>
      <c r="I1262" s="764">
        <v>296.8</v>
      </c>
      <c r="J1262" s="764">
        <v>206.2</v>
      </c>
      <c r="K1262" s="764">
        <v>12</v>
      </c>
      <c r="L1262" s="655">
        <f t="shared" si="355"/>
        <v>1053343</v>
      </c>
      <c r="M1262" s="113">
        <v>0</v>
      </c>
      <c r="N1262" s="113">
        <v>0</v>
      </c>
      <c r="O1262" s="113">
        <v>1053343</v>
      </c>
      <c r="P1262" s="113">
        <v>0</v>
      </c>
      <c r="Q1262" s="114">
        <f t="shared" si="354"/>
        <v>3548.9993261455525</v>
      </c>
      <c r="R1262" s="114">
        <v>7920</v>
      </c>
      <c r="S1262" s="335">
        <v>43830</v>
      </c>
    </row>
    <row r="1263" spans="1:30" s="30" customFormat="1" ht="24.6" customHeight="1">
      <c r="A1263" s="107">
        <v>8</v>
      </c>
      <c r="B1263" s="889" t="s">
        <v>970</v>
      </c>
      <c r="C1263" s="108">
        <v>1972</v>
      </c>
      <c r="D1263" s="108"/>
      <c r="E1263" s="611" t="s">
        <v>218</v>
      </c>
      <c r="F1263" s="764">
        <v>5</v>
      </c>
      <c r="G1263" s="764">
        <v>4</v>
      </c>
      <c r="H1263" s="764">
        <v>3992.9</v>
      </c>
      <c r="I1263" s="764">
        <v>2555.4</v>
      </c>
      <c r="J1263" s="764">
        <v>2298</v>
      </c>
      <c r="K1263" s="764">
        <v>101</v>
      </c>
      <c r="L1263" s="655">
        <f t="shared" si="355"/>
        <v>2217592</v>
      </c>
      <c r="M1263" s="113">
        <v>0</v>
      </c>
      <c r="N1263" s="113">
        <v>0</v>
      </c>
      <c r="O1263" s="113">
        <v>2217592</v>
      </c>
      <c r="P1263" s="113">
        <v>0</v>
      </c>
      <c r="Q1263" s="114">
        <f t="shared" si="354"/>
        <v>867.80621429130463</v>
      </c>
      <c r="R1263" s="114">
        <v>7920</v>
      </c>
      <c r="S1263" s="335">
        <v>43830</v>
      </c>
    </row>
    <row r="1264" spans="1:30" s="30" customFormat="1" ht="31.5">
      <c r="A1264" s="107">
        <v>9</v>
      </c>
      <c r="B1264" s="889" t="s">
        <v>971</v>
      </c>
      <c r="C1264" s="108">
        <v>1961</v>
      </c>
      <c r="D1264" s="108"/>
      <c r="E1264" s="611" t="s">
        <v>218</v>
      </c>
      <c r="F1264" s="764">
        <v>3</v>
      </c>
      <c r="G1264" s="764">
        <v>3</v>
      </c>
      <c r="H1264" s="764">
        <v>2465.9</v>
      </c>
      <c r="I1264" s="764">
        <v>2299.1</v>
      </c>
      <c r="J1264" s="764">
        <v>1233.4000000000001</v>
      </c>
      <c r="K1264" s="764">
        <v>48</v>
      </c>
      <c r="L1264" s="655">
        <f t="shared" si="355"/>
        <v>3519351</v>
      </c>
      <c r="M1264" s="113">
        <v>0</v>
      </c>
      <c r="N1264" s="113">
        <v>0</v>
      </c>
      <c r="O1264" s="113">
        <v>3519351</v>
      </c>
      <c r="P1264" s="113">
        <v>0</v>
      </c>
      <c r="Q1264" s="114">
        <f t="shared" si="354"/>
        <v>1530.751598451568</v>
      </c>
      <c r="R1264" s="114">
        <v>7920</v>
      </c>
      <c r="S1264" s="335">
        <v>43830</v>
      </c>
    </row>
    <row r="1265" spans="1:62" s="30" customFormat="1" ht="31.5">
      <c r="A1265" s="107">
        <v>10</v>
      </c>
      <c r="B1265" s="889" t="s">
        <v>972</v>
      </c>
      <c r="C1265" s="108">
        <v>1917</v>
      </c>
      <c r="D1265" s="108"/>
      <c r="E1265" s="611" t="s">
        <v>218</v>
      </c>
      <c r="F1265" s="764">
        <v>2</v>
      </c>
      <c r="G1265" s="764">
        <v>3</v>
      </c>
      <c r="H1265" s="764">
        <v>942.7</v>
      </c>
      <c r="I1265" s="764">
        <v>852.1</v>
      </c>
      <c r="J1265" s="764">
        <v>432</v>
      </c>
      <c r="K1265" s="764">
        <v>17</v>
      </c>
      <c r="L1265" s="655">
        <f t="shared" si="355"/>
        <v>1482982.29</v>
      </c>
      <c r="M1265" s="113">
        <v>0</v>
      </c>
      <c r="N1265" s="113">
        <v>0</v>
      </c>
      <c r="O1265" s="113">
        <v>1482982.29</v>
      </c>
      <c r="P1265" s="113">
        <v>0</v>
      </c>
      <c r="Q1265" s="114">
        <f t="shared" si="354"/>
        <v>1740.3852716817275</v>
      </c>
      <c r="R1265" s="114">
        <v>7920</v>
      </c>
      <c r="S1265" s="335">
        <v>43830</v>
      </c>
    </row>
    <row r="1266" spans="1:62" s="30" customFormat="1" ht="31.5">
      <c r="A1266" s="107">
        <v>11</v>
      </c>
      <c r="B1266" s="889" t="s">
        <v>973</v>
      </c>
      <c r="C1266" s="108">
        <v>1972</v>
      </c>
      <c r="D1266" s="108"/>
      <c r="E1266" s="611" t="s">
        <v>218</v>
      </c>
      <c r="F1266" s="764">
        <v>5</v>
      </c>
      <c r="G1266" s="764">
        <v>3</v>
      </c>
      <c r="H1266" s="764">
        <v>2528.8000000000002</v>
      </c>
      <c r="I1266" s="764">
        <v>2020.1</v>
      </c>
      <c r="J1266" s="764">
        <v>1901.8</v>
      </c>
      <c r="K1266" s="764">
        <v>76</v>
      </c>
      <c r="L1266" s="655">
        <f t="shared" si="355"/>
        <v>2664977</v>
      </c>
      <c r="M1266" s="113">
        <v>0</v>
      </c>
      <c r="N1266" s="113">
        <v>0</v>
      </c>
      <c r="O1266" s="113">
        <v>2664977</v>
      </c>
      <c r="P1266" s="113">
        <v>0</v>
      </c>
      <c r="Q1266" s="114">
        <f t="shared" si="354"/>
        <v>1319.2302361269244</v>
      </c>
      <c r="R1266" s="114">
        <v>7920</v>
      </c>
      <c r="S1266" s="335">
        <v>43830</v>
      </c>
    </row>
    <row r="1267" spans="1:62" s="30" customFormat="1" ht="15.75" customHeight="1">
      <c r="A1267" s="327"/>
      <c r="B1267" s="1331" t="s">
        <v>92</v>
      </c>
      <c r="C1267" s="1331"/>
      <c r="D1267" s="1331"/>
      <c r="E1267" s="1331"/>
      <c r="F1267" s="1353"/>
      <c r="G1267" s="1353"/>
      <c r="H1267" s="896">
        <f>H1268</f>
        <v>0</v>
      </c>
      <c r="I1267" s="896">
        <f t="shared" ref="I1267:P1267" si="356">I1268</f>
        <v>0</v>
      </c>
      <c r="J1267" s="896">
        <f t="shared" si="356"/>
        <v>0</v>
      </c>
      <c r="K1267" s="896">
        <f t="shared" si="356"/>
        <v>0</v>
      </c>
      <c r="L1267" s="897">
        <f t="shared" si="356"/>
        <v>0</v>
      </c>
      <c r="M1267" s="897">
        <f t="shared" si="356"/>
        <v>0</v>
      </c>
      <c r="N1267" s="897">
        <f t="shared" si="356"/>
        <v>0</v>
      </c>
      <c r="O1267" s="897">
        <f t="shared" si="356"/>
        <v>0</v>
      </c>
      <c r="P1267" s="897">
        <f t="shared" si="356"/>
        <v>0</v>
      </c>
      <c r="Q1267" s="334" t="s">
        <v>40</v>
      </c>
      <c r="R1267" s="664" t="s">
        <v>40</v>
      </c>
      <c r="S1267" s="335">
        <v>43830</v>
      </c>
    </row>
    <row r="1268" spans="1:62" s="1" customFormat="1" ht="15.75">
      <c r="A1268" s="327"/>
      <c r="B1268" s="396"/>
      <c r="C1268" s="367"/>
      <c r="D1268" s="367"/>
      <c r="E1268" s="330"/>
      <c r="F1268" s="367"/>
      <c r="G1268" s="367"/>
      <c r="H1268" s="368"/>
      <c r="I1268" s="367"/>
      <c r="J1268" s="367"/>
      <c r="K1268" s="370"/>
      <c r="L1268" s="333"/>
      <c r="M1268" s="333"/>
      <c r="N1268" s="333"/>
      <c r="O1268" s="333"/>
      <c r="P1268" s="333"/>
      <c r="Q1268" s="371"/>
      <c r="R1268" s="334"/>
      <c r="S1268" s="335"/>
    </row>
    <row r="1269" spans="1:62" s="1" customFormat="1" ht="15.75" customHeight="1">
      <c r="A1269" s="327"/>
      <c r="B1269" s="1335" t="s">
        <v>93</v>
      </c>
      <c r="C1269" s="1335"/>
      <c r="D1269" s="1335"/>
      <c r="E1269" s="1335"/>
      <c r="F1269" s="1335"/>
      <c r="G1269" s="1335"/>
      <c r="H1269" s="368">
        <f>SUM(H1270:H1273)</f>
        <v>16121.400000000001</v>
      </c>
      <c r="I1269" s="368">
        <f t="shared" ref="I1269:P1269" si="357">SUM(I1270:I1273)</f>
        <v>15093.3</v>
      </c>
      <c r="J1269" s="368">
        <f t="shared" si="357"/>
        <v>9440.59</v>
      </c>
      <c r="K1269" s="368">
        <f t="shared" si="357"/>
        <v>400</v>
      </c>
      <c r="L1269" s="697">
        <f t="shared" si="357"/>
        <v>12233600</v>
      </c>
      <c r="M1269" s="697">
        <f t="shared" si="357"/>
        <v>0</v>
      </c>
      <c r="N1269" s="697">
        <f t="shared" si="357"/>
        <v>0</v>
      </c>
      <c r="O1269" s="697">
        <f t="shared" si="357"/>
        <v>12233600</v>
      </c>
      <c r="P1269" s="697">
        <f t="shared" si="357"/>
        <v>0</v>
      </c>
      <c r="Q1269" s="356" t="s">
        <v>40</v>
      </c>
      <c r="R1269" s="356" t="s">
        <v>40</v>
      </c>
      <c r="S1269" s="335">
        <v>43830</v>
      </c>
    </row>
    <row r="1270" spans="1:62" s="1" customFormat="1" ht="15.75">
      <c r="A1270" s="327">
        <f>A1268+1</f>
        <v>1</v>
      </c>
      <c r="B1270" s="698" t="s">
        <v>790</v>
      </c>
      <c r="C1270" s="352">
        <v>1979</v>
      </c>
      <c r="D1270" s="352"/>
      <c r="E1270" s="330" t="s">
        <v>219</v>
      </c>
      <c r="F1270" s="355">
        <v>5</v>
      </c>
      <c r="G1270" s="355">
        <v>5</v>
      </c>
      <c r="H1270" s="574">
        <v>6227.3</v>
      </c>
      <c r="I1270" s="353">
        <v>6227.3</v>
      </c>
      <c r="J1270" s="353">
        <v>3788.52</v>
      </c>
      <c r="K1270" s="355">
        <v>174</v>
      </c>
      <c r="L1270" s="333">
        <v>3401438</v>
      </c>
      <c r="M1270" s="333">
        <v>0</v>
      </c>
      <c r="N1270" s="333">
        <v>0</v>
      </c>
      <c r="O1270" s="333">
        <f t="shared" ref="O1270:O1273" si="358">L1270</f>
        <v>3401438</v>
      </c>
      <c r="P1270" s="333">
        <v>0</v>
      </c>
      <c r="Q1270" s="356">
        <f>L1270/I1270</f>
        <v>546.21392899009197</v>
      </c>
      <c r="R1270" s="334">
        <v>7920</v>
      </c>
      <c r="S1270" s="335">
        <v>43830</v>
      </c>
    </row>
    <row r="1271" spans="1:62" s="1" customFormat="1" ht="15.75">
      <c r="A1271" s="327">
        <f t="shared" si="352"/>
        <v>2</v>
      </c>
      <c r="B1271" s="698" t="s">
        <v>791</v>
      </c>
      <c r="C1271" s="352">
        <v>1991</v>
      </c>
      <c r="D1271" s="352"/>
      <c r="E1271" s="330" t="s">
        <v>219</v>
      </c>
      <c r="F1271" s="355">
        <v>5</v>
      </c>
      <c r="G1271" s="355">
        <v>4</v>
      </c>
      <c r="H1271" s="574">
        <v>3557.4</v>
      </c>
      <c r="I1271" s="353">
        <v>3287.3</v>
      </c>
      <c r="J1271" s="353">
        <v>2188.1</v>
      </c>
      <c r="K1271" s="355">
        <v>79</v>
      </c>
      <c r="L1271" s="333">
        <v>2323942</v>
      </c>
      <c r="M1271" s="333">
        <v>0</v>
      </c>
      <c r="N1271" s="333">
        <v>0</v>
      </c>
      <c r="O1271" s="333">
        <f t="shared" si="358"/>
        <v>2323942</v>
      </c>
      <c r="P1271" s="333">
        <v>0</v>
      </c>
      <c r="Q1271" s="356">
        <f t="shared" ref="Q1271:Q1273" si="359">L1271/I1271</f>
        <v>706.94551759802869</v>
      </c>
      <c r="R1271" s="334">
        <v>7920</v>
      </c>
      <c r="S1271" s="335">
        <v>43830</v>
      </c>
    </row>
    <row r="1272" spans="1:62" s="1" customFormat="1" ht="31.5">
      <c r="A1272" s="327">
        <f t="shared" si="352"/>
        <v>3</v>
      </c>
      <c r="B1272" s="698" t="s">
        <v>792</v>
      </c>
      <c r="C1272" s="352">
        <v>1950</v>
      </c>
      <c r="D1272" s="352"/>
      <c r="E1272" s="330" t="s">
        <v>218</v>
      </c>
      <c r="F1272" s="355">
        <v>3</v>
      </c>
      <c r="G1272" s="355">
        <v>4</v>
      </c>
      <c r="H1272" s="574">
        <v>2375</v>
      </c>
      <c r="I1272" s="353">
        <v>2375</v>
      </c>
      <c r="J1272" s="353">
        <v>1480.89</v>
      </c>
      <c r="K1272" s="355">
        <v>54</v>
      </c>
      <c r="L1272" s="333">
        <v>4059506</v>
      </c>
      <c r="M1272" s="333">
        <v>0</v>
      </c>
      <c r="N1272" s="333">
        <v>0</v>
      </c>
      <c r="O1272" s="333">
        <f t="shared" si="358"/>
        <v>4059506</v>
      </c>
      <c r="P1272" s="333">
        <v>0</v>
      </c>
      <c r="Q1272" s="356">
        <f t="shared" si="359"/>
        <v>1709.2656842105264</v>
      </c>
      <c r="R1272" s="334">
        <v>7920</v>
      </c>
      <c r="S1272" s="335">
        <v>43830</v>
      </c>
    </row>
    <row r="1273" spans="1:62" s="1" customFormat="1" ht="15.75">
      <c r="A1273" s="327">
        <f t="shared" si="352"/>
        <v>4</v>
      </c>
      <c r="B1273" s="698" t="s">
        <v>793</v>
      </c>
      <c r="C1273" s="352">
        <v>1980</v>
      </c>
      <c r="D1273" s="352"/>
      <c r="E1273" s="330" t="s">
        <v>220</v>
      </c>
      <c r="F1273" s="355">
        <v>5</v>
      </c>
      <c r="G1273" s="355">
        <v>4</v>
      </c>
      <c r="H1273" s="574">
        <v>3961.7</v>
      </c>
      <c r="I1273" s="353">
        <v>3203.7</v>
      </c>
      <c r="J1273" s="353">
        <v>1983.08</v>
      </c>
      <c r="K1273" s="355">
        <v>93</v>
      </c>
      <c r="L1273" s="333">
        <v>2448714</v>
      </c>
      <c r="M1273" s="333">
        <v>0</v>
      </c>
      <c r="N1273" s="333">
        <v>0</v>
      </c>
      <c r="O1273" s="333">
        <f t="shared" si="358"/>
        <v>2448714</v>
      </c>
      <c r="P1273" s="333">
        <v>0</v>
      </c>
      <c r="Q1273" s="356">
        <f t="shared" si="359"/>
        <v>764.33935761775456</v>
      </c>
      <c r="R1273" s="334">
        <v>7920</v>
      </c>
      <c r="S1273" s="335">
        <v>43830</v>
      </c>
    </row>
    <row r="1274" spans="1:62" s="1" customFormat="1" ht="15.75">
      <c r="A1274" s="327"/>
      <c r="B1274" s="698"/>
      <c r="C1274" s="352"/>
      <c r="D1274" s="352"/>
      <c r="E1274" s="330"/>
      <c r="F1274" s="355"/>
      <c r="G1274" s="355"/>
      <c r="H1274" s="574"/>
      <c r="I1274" s="353"/>
      <c r="J1274" s="353"/>
      <c r="K1274" s="355"/>
      <c r="L1274" s="333"/>
      <c r="M1274" s="333"/>
      <c r="N1274" s="333"/>
      <c r="O1274" s="333"/>
      <c r="P1274" s="333"/>
      <c r="Q1274" s="356"/>
      <c r="R1274" s="334"/>
      <c r="S1274" s="335"/>
    </row>
    <row r="1275" spans="1:62" s="1" customFormat="1" ht="15.75">
      <c r="A1275" s="327"/>
      <c r="B1275" s="698"/>
      <c r="C1275" s="352"/>
      <c r="D1275" s="352"/>
      <c r="E1275" s="330"/>
      <c r="F1275" s="355"/>
      <c r="G1275" s="355"/>
      <c r="H1275" s="574"/>
      <c r="I1275" s="353"/>
      <c r="J1275" s="353"/>
      <c r="K1275" s="355"/>
      <c r="L1275" s="333"/>
      <c r="M1275" s="333"/>
      <c r="N1275" s="333"/>
      <c r="O1275" s="333"/>
      <c r="P1275" s="333"/>
      <c r="Q1275" s="356"/>
      <c r="R1275" s="334"/>
      <c r="S1275" s="335"/>
      <c r="T1275" s="10"/>
      <c r="U1275" s="10"/>
      <c r="V1275" s="10"/>
      <c r="W1275" s="10"/>
      <c r="X1275" s="10"/>
      <c r="Y1275" s="10"/>
      <c r="Z1275" s="10"/>
      <c r="AA1275" s="10"/>
      <c r="AB1275" s="10"/>
      <c r="AC1275" s="10"/>
      <c r="AD1275" s="10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10"/>
      <c r="AZ1275" s="10"/>
      <c r="BA1275" s="10"/>
      <c r="BB1275" s="10"/>
      <c r="BC1275" s="10"/>
      <c r="BD1275" s="10"/>
      <c r="BE1275" s="10"/>
      <c r="BF1275" s="10"/>
      <c r="BG1275" s="10"/>
      <c r="BH1275" s="10"/>
      <c r="BI1275" s="10"/>
      <c r="BJ1275" s="10"/>
    </row>
    <row r="1276" spans="1:62" s="1" customFormat="1" ht="15.75">
      <c r="A1276" s="327"/>
      <c r="B1276" s="698"/>
      <c r="C1276" s="352"/>
      <c r="D1276" s="352"/>
      <c r="E1276" s="330"/>
      <c r="F1276" s="355"/>
      <c r="G1276" s="355"/>
      <c r="H1276" s="574"/>
      <c r="I1276" s="353"/>
      <c r="J1276" s="353"/>
      <c r="K1276" s="355"/>
      <c r="L1276" s="333"/>
      <c r="M1276" s="333"/>
      <c r="N1276" s="333"/>
      <c r="O1276" s="333"/>
      <c r="P1276" s="333"/>
      <c r="Q1276" s="356"/>
      <c r="R1276" s="334"/>
      <c r="S1276" s="335"/>
      <c r="T1276" s="10"/>
      <c r="U1276" s="10"/>
      <c r="V1276" s="10"/>
      <c r="W1276" s="10"/>
      <c r="X1276" s="10"/>
      <c r="Y1276" s="10"/>
      <c r="Z1276" s="10"/>
      <c r="AA1276" s="10"/>
      <c r="AB1276" s="10"/>
      <c r="AC1276" s="10"/>
      <c r="AD1276" s="10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10"/>
      <c r="AZ1276" s="10"/>
      <c r="BA1276" s="10"/>
      <c r="BB1276" s="10"/>
      <c r="BC1276" s="10"/>
      <c r="BD1276" s="10"/>
      <c r="BE1276" s="10"/>
      <c r="BF1276" s="10"/>
      <c r="BG1276" s="10"/>
      <c r="BH1276" s="10"/>
      <c r="BI1276" s="10"/>
      <c r="BJ1276" s="10"/>
    </row>
    <row r="1277" spans="1:62" s="1" customFormat="1" ht="15.75">
      <c r="A1277" s="327"/>
      <c r="B1277" s="698"/>
      <c r="C1277" s="352"/>
      <c r="D1277" s="352"/>
      <c r="E1277" s="330"/>
      <c r="F1277" s="355"/>
      <c r="G1277" s="355"/>
      <c r="H1277" s="574"/>
      <c r="I1277" s="353"/>
      <c r="J1277" s="353"/>
      <c r="K1277" s="355"/>
      <c r="L1277" s="333"/>
      <c r="M1277" s="333"/>
      <c r="N1277" s="333"/>
      <c r="O1277" s="333"/>
      <c r="P1277" s="333"/>
      <c r="Q1277" s="356"/>
      <c r="R1277" s="334"/>
      <c r="S1277" s="335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10"/>
      <c r="AZ1277" s="10"/>
      <c r="BA1277" s="10"/>
      <c r="BB1277" s="10"/>
      <c r="BC1277" s="10"/>
      <c r="BD1277" s="10"/>
      <c r="BE1277" s="10"/>
      <c r="BF1277" s="10"/>
      <c r="BG1277" s="10"/>
      <c r="BH1277" s="10"/>
      <c r="BI1277" s="10"/>
      <c r="BJ1277" s="10"/>
    </row>
    <row r="1278" spans="1:62" s="1" customFormat="1" ht="15.75">
      <c r="A1278" s="327"/>
      <c r="B1278" s="698"/>
      <c r="C1278" s="352"/>
      <c r="D1278" s="352"/>
      <c r="E1278" s="330"/>
      <c r="F1278" s="355"/>
      <c r="G1278" s="355"/>
      <c r="H1278" s="574"/>
      <c r="I1278" s="353"/>
      <c r="J1278" s="353"/>
      <c r="K1278" s="355"/>
      <c r="L1278" s="333"/>
      <c r="M1278" s="333"/>
      <c r="N1278" s="333"/>
      <c r="O1278" s="333"/>
      <c r="P1278" s="333"/>
      <c r="Q1278" s="356"/>
      <c r="R1278" s="334"/>
      <c r="S1278" s="335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10"/>
      <c r="AZ1278" s="10"/>
      <c r="BA1278" s="10"/>
      <c r="BB1278" s="10"/>
      <c r="BC1278" s="10"/>
      <c r="BD1278" s="10"/>
      <c r="BE1278" s="10"/>
      <c r="BF1278" s="10"/>
      <c r="BG1278" s="10"/>
      <c r="BH1278" s="10"/>
      <c r="BI1278" s="10"/>
      <c r="BJ1278" s="10"/>
    </row>
    <row r="1279" spans="1:62" s="1" customFormat="1" ht="15.75">
      <c r="A1279" s="327"/>
      <c r="B1279" s="698"/>
      <c r="C1279" s="352"/>
      <c r="D1279" s="352"/>
      <c r="E1279" s="330"/>
      <c r="F1279" s="355"/>
      <c r="G1279" s="355"/>
      <c r="H1279" s="574"/>
      <c r="I1279" s="353"/>
      <c r="J1279" s="353"/>
      <c r="K1279" s="355"/>
      <c r="L1279" s="333"/>
      <c r="M1279" s="333"/>
      <c r="N1279" s="333"/>
      <c r="O1279" s="333"/>
      <c r="P1279" s="333"/>
      <c r="Q1279" s="356"/>
      <c r="R1279" s="334"/>
      <c r="S1279" s="335"/>
      <c r="T1279" s="10"/>
      <c r="U1279" s="10"/>
      <c r="V1279" s="10"/>
      <c r="W1279" s="10"/>
      <c r="X1279" s="10"/>
      <c r="Y1279" s="10"/>
      <c r="Z1279" s="10"/>
      <c r="AA1279" s="10"/>
      <c r="AB1279" s="10"/>
      <c r="AC1279" s="10"/>
      <c r="AD1279" s="10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10"/>
      <c r="AZ1279" s="10"/>
      <c r="BA1279" s="10"/>
      <c r="BB1279" s="10"/>
      <c r="BC1279" s="10"/>
      <c r="BD1279" s="10"/>
      <c r="BE1279" s="10"/>
      <c r="BF1279" s="10"/>
      <c r="BG1279" s="10"/>
      <c r="BH1279" s="10"/>
      <c r="BI1279" s="10"/>
      <c r="BJ1279" s="10"/>
    </row>
    <row r="1280" spans="1:62" s="1" customFormat="1" ht="15.75">
      <c r="A1280" s="327"/>
      <c r="B1280" s="698"/>
      <c r="C1280" s="352"/>
      <c r="D1280" s="352"/>
      <c r="E1280" s="330"/>
      <c r="F1280" s="355"/>
      <c r="G1280" s="355"/>
      <c r="H1280" s="574"/>
      <c r="I1280" s="353"/>
      <c r="J1280" s="353"/>
      <c r="K1280" s="355"/>
      <c r="L1280" s="333"/>
      <c r="M1280" s="333"/>
      <c r="N1280" s="333"/>
      <c r="O1280" s="333"/>
      <c r="P1280" s="333"/>
      <c r="Q1280" s="356"/>
      <c r="R1280" s="334"/>
      <c r="S1280" s="335"/>
      <c r="T1280" s="10"/>
      <c r="U1280" s="10"/>
      <c r="V1280" s="10"/>
      <c r="W1280" s="10"/>
      <c r="X1280" s="10"/>
      <c r="Y1280" s="10"/>
      <c r="Z1280" s="10"/>
      <c r="AA1280" s="10"/>
      <c r="AB1280" s="10"/>
      <c r="AC1280" s="10"/>
      <c r="AD1280" s="10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10"/>
      <c r="AZ1280" s="10"/>
      <c r="BA1280" s="10"/>
      <c r="BB1280" s="10"/>
      <c r="BC1280" s="10"/>
      <c r="BD1280" s="10"/>
      <c r="BE1280" s="10"/>
      <c r="BF1280" s="10"/>
      <c r="BG1280" s="10"/>
      <c r="BH1280" s="10"/>
      <c r="BI1280" s="10"/>
      <c r="BJ1280" s="10"/>
    </row>
    <row r="1281" spans="1:62" s="1" customFormat="1" ht="15.75">
      <c r="A1281" s="327"/>
      <c r="B1281" s="698"/>
      <c r="C1281" s="352"/>
      <c r="D1281" s="352"/>
      <c r="E1281" s="330"/>
      <c r="F1281" s="355"/>
      <c r="G1281" s="355"/>
      <c r="H1281" s="574"/>
      <c r="I1281" s="353"/>
      <c r="J1281" s="353"/>
      <c r="K1281" s="355"/>
      <c r="L1281" s="333"/>
      <c r="M1281" s="333"/>
      <c r="N1281" s="333"/>
      <c r="O1281" s="333"/>
      <c r="P1281" s="333"/>
      <c r="Q1281" s="356"/>
      <c r="R1281" s="334"/>
      <c r="S1281" s="335"/>
      <c r="T1281" s="10"/>
      <c r="U1281" s="10"/>
      <c r="V1281" s="10"/>
      <c r="W1281" s="10"/>
      <c r="X1281" s="10"/>
      <c r="Y1281" s="10"/>
      <c r="Z1281" s="10"/>
      <c r="AA1281" s="10"/>
      <c r="AB1281" s="10"/>
      <c r="AC1281" s="10"/>
      <c r="AD1281" s="10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10"/>
      <c r="AZ1281" s="10"/>
      <c r="BA1281" s="10"/>
      <c r="BB1281" s="10"/>
      <c r="BC1281" s="10"/>
      <c r="BD1281" s="10"/>
      <c r="BE1281" s="10"/>
      <c r="BF1281" s="10"/>
      <c r="BG1281" s="10"/>
      <c r="BH1281" s="10"/>
      <c r="BI1281" s="10"/>
      <c r="BJ1281" s="10"/>
    </row>
    <row r="1282" spans="1:62" s="1" customFormat="1" ht="15.75">
      <c r="A1282" s="327"/>
      <c r="B1282" s="698"/>
      <c r="C1282" s="352"/>
      <c r="D1282" s="352"/>
      <c r="E1282" s="330"/>
      <c r="F1282" s="355"/>
      <c r="G1282" s="355"/>
      <c r="H1282" s="574"/>
      <c r="I1282" s="353"/>
      <c r="J1282" s="353"/>
      <c r="K1282" s="355"/>
      <c r="L1282" s="333"/>
      <c r="M1282" s="333"/>
      <c r="N1282" s="333"/>
      <c r="O1282" s="333"/>
      <c r="P1282" s="333"/>
      <c r="Q1282" s="356"/>
      <c r="R1282" s="334"/>
      <c r="S1282" s="335"/>
      <c r="T1282" s="10"/>
      <c r="U1282" s="10"/>
      <c r="V1282" s="10"/>
      <c r="W1282" s="10"/>
      <c r="X1282" s="10"/>
      <c r="Y1282" s="10"/>
      <c r="Z1282" s="10"/>
      <c r="AA1282" s="10"/>
      <c r="AB1282" s="10"/>
      <c r="AC1282" s="10"/>
      <c r="AD1282" s="10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10"/>
      <c r="AZ1282" s="10"/>
      <c r="BA1282" s="10"/>
      <c r="BB1282" s="10"/>
      <c r="BC1282" s="10"/>
      <c r="BD1282" s="10"/>
      <c r="BE1282" s="10"/>
      <c r="BF1282" s="10"/>
      <c r="BG1282" s="10"/>
      <c r="BH1282" s="10"/>
      <c r="BI1282" s="10"/>
      <c r="BJ1282" s="10"/>
    </row>
    <row r="1283" spans="1:62" s="1" customFormat="1" ht="15.75">
      <c r="A1283" s="327"/>
      <c r="B1283" s="698"/>
      <c r="C1283" s="352"/>
      <c r="D1283" s="352"/>
      <c r="E1283" s="330"/>
      <c r="F1283" s="355"/>
      <c r="G1283" s="355"/>
      <c r="H1283" s="574"/>
      <c r="I1283" s="353"/>
      <c r="J1283" s="353"/>
      <c r="K1283" s="355"/>
      <c r="L1283" s="333"/>
      <c r="M1283" s="333"/>
      <c r="N1283" s="333"/>
      <c r="O1283" s="333"/>
      <c r="P1283" s="333"/>
      <c r="Q1283" s="356"/>
      <c r="R1283" s="334"/>
      <c r="S1283" s="335"/>
      <c r="T1283" s="10"/>
      <c r="U1283" s="10"/>
      <c r="V1283" s="10"/>
      <c r="W1283" s="10"/>
      <c r="X1283" s="10"/>
      <c r="Y1283" s="10"/>
      <c r="Z1283" s="10"/>
      <c r="AA1283" s="10"/>
      <c r="AB1283" s="10"/>
      <c r="AC1283" s="10"/>
      <c r="AD1283" s="10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10"/>
      <c r="AZ1283" s="10"/>
      <c r="BA1283" s="10"/>
      <c r="BB1283" s="10"/>
      <c r="BC1283" s="10"/>
      <c r="BD1283" s="10"/>
      <c r="BE1283" s="10"/>
      <c r="BF1283" s="10"/>
      <c r="BG1283" s="10"/>
      <c r="BH1283" s="10"/>
      <c r="BI1283" s="10"/>
      <c r="BJ1283" s="10"/>
    </row>
    <row r="1284" spans="1:62" s="1" customFormat="1" ht="15.75">
      <c r="A1284" s="327"/>
      <c r="B1284" s="698"/>
      <c r="C1284" s="352"/>
      <c r="D1284" s="352"/>
      <c r="E1284" s="330"/>
      <c r="F1284" s="355"/>
      <c r="G1284" s="355"/>
      <c r="H1284" s="574"/>
      <c r="I1284" s="353"/>
      <c r="J1284" s="353"/>
      <c r="K1284" s="355"/>
      <c r="L1284" s="333"/>
      <c r="M1284" s="333"/>
      <c r="N1284" s="333"/>
      <c r="O1284" s="333"/>
      <c r="P1284" s="333"/>
      <c r="Q1284" s="356"/>
      <c r="R1284" s="334"/>
      <c r="S1284" s="335"/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10"/>
      <c r="AZ1284" s="10"/>
      <c r="BA1284" s="10"/>
      <c r="BB1284" s="10"/>
      <c r="BC1284" s="10"/>
      <c r="BD1284" s="10"/>
      <c r="BE1284" s="10"/>
      <c r="BF1284" s="10"/>
      <c r="BG1284" s="10"/>
      <c r="BH1284" s="10"/>
      <c r="BI1284" s="10"/>
      <c r="BJ1284" s="10"/>
    </row>
    <row r="1285" spans="1:62" s="1" customFormat="1" ht="15.75">
      <c r="A1285" s="327"/>
      <c r="B1285" s="698"/>
      <c r="C1285" s="352"/>
      <c r="D1285" s="352"/>
      <c r="E1285" s="330"/>
      <c r="F1285" s="355"/>
      <c r="G1285" s="355"/>
      <c r="H1285" s="574"/>
      <c r="I1285" s="353"/>
      <c r="J1285" s="353"/>
      <c r="K1285" s="355"/>
      <c r="L1285" s="333"/>
      <c r="M1285" s="333"/>
      <c r="N1285" s="333"/>
      <c r="O1285" s="333"/>
      <c r="P1285" s="333"/>
      <c r="Q1285" s="356"/>
      <c r="R1285" s="334"/>
      <c r="S1285" s="335"/>
      <c r="T1285" s="10"/>
      <c r="U1285" s="10"/>
      <c r="V1285" s="10"/>
      <c r="W1285" s="10"/>
      <c r="X1285" s="10"/>
      <c r="Y1285" s="10"/>
      <c r="Z1285" s="10"/>
      <c r="AA1285" s="10"/>
      <c r="AB1285" s="10"/>
      <c r="AC1285" s="10"/>
      <c r="AD1285" s="10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10"/>
      <c r="AZ1285" s="10"/>
      <c r="BA1285" s="10"/>
      <c r="BB1285" s="10"/>
      <c r="BC1285" s="10"/>
      <c r="BD1285" s="10"/>
      <c r="BE1285" s="10"/>
      <c r="BF1285" s="10"/>
      <c r="BG1285" s="10"/>
      <c r="BH1285" s="10"/>
      <c r="BI1285" s="10"/>
      <c r="BJ1285" s="10"/>
    </row>
    <row r="1286" spans="1:62" s="1" customFormat="1" ht="15.75">
      <c r="A1286" s="327"/>
      <c r="B1286" s="698"/>
      <c r="C1286" s="352"/>
      <c r="D1286" s="352"/>
      <c r="E1286" s="330"/>
      <c r="F1286" s="355"/>
      <c r="G1286" s="355"/>
      <c r="H1286" s="574"/>
      <c r="I1286" s="353"/>
      <c r="J1286" s="353"/>
      <c r="K1286" s="355"/>
      <c r="L1286" s="333"/>
      <c r="M1286" s="333"/>
      <c r="N1286" s="333"/>
      <c r="O1286" s="333"/>
      <c r="P1286" s="333"/>
      <c r="Q1286" s="356"/>
      <c r="R1286" s="334"/>
      <c r="S1286" s="335"/>
      <c r="T1286" s="10"/>
      <c r="U1286" s="10"/>
      <c r="V1286" s="10"/>
      <c r="W1286" s="10"/>
      <c r="X1286" s="10"/>
      <c r="Y1286" s="10"/>
      <c r="Z1286" s="10"/>
      <c r="AA1286" s="10"/>
      <c r="AB1286" s="10"/>
      <c r="AC1286" s="10"/>
      <c r="AD1286" s="10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10"/>
      <c r="AZ1286" s="10"/>
      <c r="BA1286" s="10"/>
      <c r="BB1286" s="10"/>
      <c r="BC1286" s="10"/>
      <c r="BD1286" s="10"/>
      <c r="BE1286" s="10"/>
      <c r="BF1286" s="10"/>
      <c r="BG1286" s="10"/>
      <c r="BH1286" s="10"/>
      <c r="BI1286" s="10"/>
      <c r="BJ1286" s="10"/>
    </row>
    <row r="1287" spans="1:62" s="1" customFormat="1" ht="15.75">
      <c r="A1287" s="327"/>
      <c r="B1287" s="698"/>
      <c r="C1287" s="352"/>
      <c r="D1287" s="352"/>
      <c r="E1287" s="330"/>
      <c r="F1287" s="355"/>
      <c r="G1287" s="355"/>
      <c r="H1287" s="574"/>
      <c r="I1287" s="353"/>
      <c r="J1287" s="353"/>
      <c r="K1287" s="355"/>
      <c r="L1287" s="333"/>
      <c r="M1287" s="333"/>
      <c r="N1287" s="333"/>
      <c r="O1287" s="333"/>
      <c r="P1287" s="333"/>
      <c r="Q1287" s="356"/>
      <c r="R1287" s="334"/>
      <c r="S1287" s="335"/>
      <c r="T1287" s="10"/>
      <c r="U1287" s="10"/>
      <c r="V1287" s="10"/>
      <c r="W1287" s="10"/>
      <c r="X1287" s="10"/>
      <c r="Y1287" s="10"/>
      <c r="Z1287" s="10"/>
      <c r="AA1287" s="10"/>
      <c r="AB1287" s="10"/>
      <c r="AC1287" s="10"/>
      <c r="AD1287" s="10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10"/>
      <c r="AZ1287" s="10"/>
      <c r="BA1287" s="10"/>
      <c r="BB1287" s="10"/>
      <c r="BC1287" s="10"/>
      <c r="BD1287" s="10"/>
      <c r="BE1287" s="10"/>
      <c r="BF1287" s="10"/>
      <c r="BG1287" s="10"/>
      <c r="BH1287" s="10"/>
      <c r="BI1287" s="10"/>
      <c r="BJ1287" s="10"/>
    </row>
    <row r="1288" spans="1:62" s="1" customFormat="1" ht="15.75">
      <c r="A1288" s="327"/>
      <c r="B1288" s="698"/>
      <c r="C1288" s="352"/>
      <c r="D1288" s="352"/>
      <c r="E1288" s="330"/>
      <c r="F1288" s="355"/>
      <c r="G1288" s="355"/>
      <c r="H1288" s="574"/>
      <c r="I1288" s="353"/>
      <c r="J1288" s="353"/>
      <c r="K1288" s="355"/>
      <c r="L1288" s="333"/>
      <c r="M1288" s="333"/>
      <c r="N1288" s="333"/>
      <c r="O1288" s="333"/>
      <c r="P1288" s="333"/>
      <c r="Q1288" s="356"/>
      <c r="R1288" s="334"/>
      <c r="S1288" s="335"/>
      <c r="T1288" s="10"/>
      <c r="U1288" s="10"/>
      <c r="V1288" s="10"/>
      <c r="W1288" s="10"/>
      <c r="X1288" s="10"/>
      <c r="Y1288" s="10"/>
      <c r="Z1288" s="10"/>
      <c r="AA1288" s="10"/>
      <c r="AB1288" s="10"/>
      <c r="AC1288" s="10"/>
      <c r="AD1288" s="10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10"/>
      <c r="AZ1288" s="10"/>
      <c r="BA1288" s="10"/>
      <c r="BB1288" s="10"/>
      <c r="BC1288" s="10"/>
      <c r="BD1288" s="10"/>
      <c r="BE1288" s="10"/>
      <c r="BF1288" s="10"/>
      <c r="BG1288" s="10"/>
      <c r="BH1288" s="10"/>
      <c r="BI1288" s="10"/>
      <c r="BJ1288" s="10"/>
    </row>
    <row r="1289" spans="1:62" s="1" customFormat="1" ht="15.75">
      <c r="A1289" s="327"/>
      <c r="B1289" s="698"/>
      <c r="C1289" s="352"/>
      <c r="D1289" s="352"/>
      <c r="E1289" s="330"/>
      <c r="F1289" s="355"/>
      <c r="G1289" s="355"/>
      <c r="H1289" s="574"/>
      <c r="I1289" s="353"/>
      <c r="J1289" s="353"/>
      <c r="K1289" s="355"/>
      <c r="L1289" s="333"/>
      <c r="M1289" s="333"/>
      <c r="N1289" s="333"/>
      <c r="O1289" s="333"/>
      <c r="P1289" s="333"/>
      <c r="Q1289" s="356"/>
      <c r="R1289" s="334"/>
      <c r="S1289" s="335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10"/>
      <c r="AZ1289" s="10"/>
      <c r="BA1289" s="10"/>
      <c r="BB1289" s="10"/>
      <c r="BC1289" s="10"/>
      <c r="BD1289" s="10"/>
      <c r="BE1289" s="10"/>
      <c r="BF1289" s="10"/>
      <c r="BG1289" s="10"/>
      <c r="BH1289" s="10"/>
      <c r="BI1289" s="10"/>
      <c r="BJ1289" s="10"/>
    </row>
    <row r="1290" spans="1:62" s="1" customFormat="1" ht="15.75">
      <c r="A1290" s="327"/>
      <c r="B1290" s="698"/>
      <c r="C1290" s="352"/>
      <c r="D1290" s="352"/>
      <c r="E1290" s="330"/>
      <c r="F1290" s="355"/>
      <c r="G1290" s="355"/>
      <c r="H1290" s="574"/>
      <c r="I1290" s="353"/>
      <c r="J1290" s="353"/>
      <c r="K1290" s="355"/>
      <c r="L1290" s="333"/>
      <c r="M1290" s="333"/>
      <c r="N1290" s="333"/>
      <c r="O1290" s="333"/>
      <c r="P1290" s="333"/>
      <c r="Q1290" s="356"/>
      <c r="R1290" s="334"/>
      <c r="S1290" s="335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10"/>
      <c r="AZ1290" s="10"/>
      <c r="BA1290" s="10"/>
      <c r="BB1290" s="10"/>
      <c r="BC1290" s="10"/>
      <c r="BD1290" s="10"/>
      <c r="BE1290" s="10"/>
      <c r="BF1290" s="10"/>
      <c r="BG1290" s="10"/>
      <c r="BH1290" s="10"/>
      <c r="BI1290" s="10"/>
      <c r="BJ1290" s="10"/>
    </row>
    <row r="1291" spans="1:62" s="1" customFormat="1" ht="15.75">
      <c r="A1291" s="327"/>
      <c r="B1291" s="698"/>
      <c r="C1291" s="352"/>
      <c r="D1291" s="352"/>
      <c r="E1291" s="330"/>
      <c r="F1291" s="355"/>
      <c r="G1291" s="355"/>
      <c r="H1291" s="574"/>
      <c r="I1291" s="353"/>
      <c r="J1291" s="353"/>
      <c r="K1291" s="355"/>
      <c r="L1291" s="333"/>
      <c r="M1291" s="333"/>
      <c r="N1291" s="333"/>
      <c r="O1291" s="333"/>
      <c r="P1291" s="333"/>
      <c r="Q1291" s="356"/>
      <c r="R1291" s="334"/>
      <c r="S1291" s="335"/>
      <c r="T1291" s="10"/>
      <c r="U1291" s="10"/>
      <c r="V1291" s="10"/>
      <c r="W1291" s="10"/>
      <c r="X1291" s="10"/>
      <c r="Y1291" s="10"/>
      <c r="Z1291" s="10"/>
      <c r="AA1291" s="10"/>
      <c r="AB1291" s="10"/>
      <c r="AC1291" s="10"/>
      <c r="AD1291" s="10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10"/>
      <c r="AZ1291" s="10"/>
      <c r="BA1291" s="10"/>
      <c r="BB1291" s="10"/>
      <c r="BC1291" s="10"/>
      <c r="BD1291" s="10"/>
      <c r="BE1291" s="10"/>
      <c r="BF1291" s="10"/>
      <c r="BG1291" s="10"/>
      <c r="BH1291" s="10"/>
      <c r="BI1291" s="10"/>
      <c r="BJ1291" s="10"/>
    </row>
    <row r="1292" spans="1:62" s="1" customFormat="1" ht="15.75">
      <c r="A1292" s="327"/>
      <c r="B1292" s="698"/>
      <c r="C1292" s="352"/>
      <c r="D1292" s="352"/>
      <c r="E1292" s="330"/>
      <c r="F1292" s="355"/>
      <c r="G1292" s="355"/>
      <c r="H1292" s="574"/>
      <c r="I1292" s="353"/>
      <c r="J1292" s="353"/>
      <c r="K1292" s="355"/>
      <c r="L1292" s="333"/>
      <c r="M1292" s="333"/>
      <c r="N1292" s="333"/>
      <c r="O1292" s="333"/>
      <c r="P1292" s="333"/>
      <c r="Q1292" s="356"/>
      <c r="R1292" s="334"/>
      <c r="S1292" s="335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10"/>
      <c r="AZ1292" s="10"/>
      <c r="BA1292" s="10"/>
      <c r="BB1292" s="10"/>
      <c r="BC1292" s="10"/>
      <c r="BD1292" s="10"/>
      <c r="BE1292" s="10"/>
      <c r="BF1292" s="10"/>
      <c r="BG1292" s="10"/>
      <c r="BH1292" s="10"/>
      <c r="BI1292" s="10"/>
      <c r="BJ1292" s="10"/>
    </row>
    <row r="1293" spans="1:62" s="1" customFormat="1" ht="15.75">
      <c r="A1293" s="327"/>
      <c r="B1293" s="698"/>
      <c r="C1293" s="352"/>
      <c r="D1293" s="352"/>
      <c r="E1293" s="330"/>
      <c r="F1293" s="355"/>
      <c r="G1293" s="355"/>
      <c r="H1293" s="574"/>
      <c r="I1293" s="353"/>
      <c r="J1293" s="353"/>
      <c r="K1293" s="355"/>
      <c r="L1293" s="333"/>
      <c r="M1293" s="333"/>
      <c r="N1293" s="333"/>
      <c r="O1293" s="333"/>
      <c r="P1293" s="333"/>
      <c r="Q1293" s="356"/>
      <c r="R1293" s="334"/>
      <c r="S1293" s="335"/>
    </row>
    <row r="1294" spans="1:62" s="1" customFormat="1" ht="15.75">
      <c r="A1294" s="327"/>
      <c r="B1294" s="698"/>
      <c r="C1294" s="352"/>
      <c r="D1294" s="352"/>
      <c r="E1294" s="330"/>
      <c r="F1294" s="355"/>
      <c r="G1294" s="355"/>
      <c r="H1294" s="574"/>
      <c r="I1294" s="353"/>
      <c r="J1294" s="353"/>
      <c r="K1294" s="355"/>
      <c r="L1294" s="333"/>
      <c r="M1294" s="333"/>
      <c r="N1294" s="333"/>
      <c r="O1294" s="333"/>
      <c r="P1294" s="333"/>
      <c r="Q1294" s="356"/>
      <c r="R1294" s="334"/>
      <c r="S1294" s="335"/>
    </row>
    <row r="1295" spans="1:62" s="1" customFormat="1" ht="15.75">
      <c r="A1295" s="107"/>
      <c r="B1295" s="1336" t="s">
        <v>94</v>
      </c>
      <c r="C1295" s="1336"/>
      <c r="D1295" s="1336"/>
      <c r="E1295" s="1336"/>
      <c r="F1295" s="1336"/>
      <c r="G1295" s="1336"/>
      <c r="H1295" s="106">
        <f>H1296+H1297</f>
        <v>5185.7</v>
      </c>
      <c r="I1295" s="106">
        <f t="shared" ref="I1295:P1295" si="360">I1296+I1297</f>
        <v>4237.5</v>
      </c>
      <c r="J1295" s="106">
        <f t="shared" si="360"/>
        <v>4010.2000000000003</v>
      </c>
      <c r="K1295" s="106">
        <f t="shared" si="360"/>
        <v>172</v>
      </c>
      <c r="L1295" s="565">
        <f t="shared" si="360"/>
        <v>2634518</v>
      </c>
      <c r="M1295" s="565">
        <f t="shared" si="360"/>
        <v>0</v>
      </c>
      <c r="N1295" s="565">
        <f t="shared" si="360"/>
        <v>0</v>
      </c>
      <c r="O1295" s="565">
        <f t="shared" si="360"/>
        <v>2634518</v>
      </c>
      <c r="P1295" s="565">
        <f t="shared" si="360"/>
        <v>0</v>
      </c>
      <c r="Q1295" s="106" t="s">
        <v>40</v>
      </c>
      <c r="R1295" s="106" t="s">
        <v>40</v>
      </c>
      <c r="S1295" s="335">
        <v>43830</v>
      </c>
    </row>
    <row r="1296" spans="1:62" s="47" customFormat="1" ht="15.75">
      <c r="A1296" s="327"/>
      <c r="B1296" s="905" t="s">
        <v>976</v>
      </c>
      <c r="C1296" s="906"/>
      <c r="D1296" s="330"/>
      <c r="E1296" s="330" t="s">
        <v>734</v>
      </c>
      <c r="F1296" s="397">
        <v>9</v>
      </c>
      <c r="G1296" s="397">
        <v>1</v>
      </c>
      <c r="H1296" s="398">
        <v>4656.8</v>
      </c>
      <c r="I1296" s="399">
        <v>3745.2</v>
      </c>
      <c r="J1296" s="399">
        <v>3572.3</v>
      </c>
      <c r="K1296" s="400">
        <v>153</v>
      </c>
      <c r="L1296" s="333">
        <v>1960022</v>
      </c>
      <c r="M1296" s="333">
        <v>0</v>
      </c>
      <c r="N1296" s="333">
        <v>0</v>
      </c>
      <c r="O1296" s="333">
        <v>1960022</v>
      </c>
      <c r="P1296" s="333">
        <v>0</v>
      </c>
      <c r="Q1296" s="399">
        <f>L1296/I1296</f>
        <v>523.34241162020726</v>
      </c>
      <c r="R1296" s="334">
        <v>7920</v>
      </c>
      <c r="S1296" s="335">
        <v>43830</v>
      </c>
      <c r="T1296" s="48"/>
      <c r="U1296" s="48"/>
      <c r="V1296" s="48"/>
      <c r="W1296" s="48"/>
      <c r="X1296" s="48"/>
      <c r="Y1296" s="48"/>
      <c r="Z1296" s="48"/>
      <c r="AA1296" s="48"/>
      <c r="AB1296" s="48"/>
      <c r="AC1296" s="48"/>
      <c r="AD1296" s="48"/>
    </row>
    <row r="1297" spans="1:30" s="1" customFormat="1" ht="31.5">
      <c r="A1297" s="327"/>
      <c r="B1297" s="905" t="s">
        <v>977</v>
      </c>
      <c r="C1297" s="906"/>
      <c r="D1297" s="330"/>
      <c r="E1297" s="330" t="s">
        <v>974</v>
      </c>
      <c r="F1297" s="397">
        <v>2</v>
      </c>
      <c r="G1297" s="397">
        <v>1</v>
      </c>
      <c r="H1297" s="398">
        <v>528.9</v>
      </c>
      <c r="I1297" s="399">
        <v>492.3</v>
      </c>
      <c r="J1297" s="399">
        <v>437.9</v>
      </c>
      <c r="K1297" s="400">
        <v>19</v>
      </c>
      <c r="L1297" s="333">
        <v>674496</v>
      </c>
      <c r="M1297" s="333">
        <v>0</v>
      </c>
      <c r="N1297" s="333">
        <v>0</v>
      </c>
      <c r="O1297" s="333">
        <v>674496</v>
      </c>
      <c r="P1297" s="333">
        <v>0</v>
      </c>
      <c r="Q1297" s="399">
        <f>L1297/I1297</f>
        <v>1370.0914076782449</v>
      </c>
      <c r="R1297" s="334">
        <v>7920</v>
      </c>
      <c r="S1297" s="335">
        <v>43830</v>
      </c>
      <c r="T1297" s="49"/>
      <c r="U1297" s="49"/>
      <c r="V1297" s="49"/>
      <c r="W1297" s="49"/>
      <c r="X1297" s="49"/>
      <c r="Y1297" s="49"/>
      <c r="Z1297" s="49"/>
      <c r="AA1297" s="49"/>
      <c r="AB1297" s="49"/>
      <c r="AC1297" s="49"/>
      <c r="AD1297" s="49"/>
    </row>
    <row r="1298" spans="1:30" s="1" customFormat="1" ht="15.75">
      <c r="A1298" s="327"/>
      <c r="B1298" s="396"/>
      <c r="C1298" s="330"/>
      <c r="D1298" s="330"/>
      <c r="E1298" s="330"/>
      <c r="F1298" s="397"/>
      <c r="G1298" s="397"/>
      <c r="H1298" s="398"/>
      <c r="I1298" s="398"/>
      <c r="J1298" s="398"/>
      <c r="K1298" s="400"/>
      <c r="L1298" s="333"/>
      <c r="M1298" s="333"/>
      <c r="N1298" s="333"/>
      <c r="O1298" s="333"/>
      <c r="P1298" s="333"/>
      <c r="Q1298" s="399"/>
      <c r="R1298" s="334"/>
      <c r="S1298" s="335"/>
    </row>
    <row r="1299" spans="1:30" s="1" customFormat="1" ht="15.75">
      <c r="A1299" s="327"/>
      <c r="B1299" s="396"/>
      <c r="C1299" s="330"/>
      <c r="D1299" s="330"/>
      <c r="E1299" s="330"/>
      <c r="F1299" s="397"/>
      <c r="G1299" s="397"/>
      <c r="H1299" s="398"/>
      <c r="I1299" s="399"/>
      <c r="J1299" s="399"/>
      <c r="K1299" s="400"/>
      <c r="L1299" s="333"/>
      <c r="M1299" s="333"/>
      <c r="N1299" s="333"/>
      <c r="O1299" s="333"/>
      <c r="P1299" s="333"/>
      <c r="Q1299" s="399"/>
      <c r="R1299" s="334"/>
      <c r="S1299" s="335"/>
      <c r="T1299" s="10"/>
      <c r="U1299" s="10"/>
      <c r="V1299" s="10"/>
      <c r="W1299" s="10"/>
      <c r="X1299" s="10"/>
      <c r="Y1299" s="10"/>
      <c r="Z1299" s="10"/>
      <c r="AA1299" s="10"/>
      <c r="AB1299" s="10"/>
      <c r="AC1299" s="10"/>
      <c r="AD1299" s="10"/>
    </row>
    <row r="1300" spans="1:30" s="1" customFormat="1" ht="15.75">
      <c r="A1300" s="327"/>
      <c r="B1300" s="396"/>
      <c r="C1300" s="330"/>
      <c r="D1300" s="330"/>
      <c r="E1300" s="330"/>
      <c r="F1300" s="397"/>
      <c r="G1300" s="397"/>
      <c r="H1300" s="398"/>
      <c r="I1300" s="399"/>
      <c r="J1300" s="399"/>
      <c r="K1300" s="400"/>
      <c r="L1300" s="333"/>
      <c r="M1300" s="333"/>
      <c r="N1300" s="333"/>
      <c r="O1300" s="333"/>
      <c r="P1300" s="333"/>
      <c r="Q1300" s="399"/>
      <c r="R1300" s="334"/>
      <c r="S1300" s="335"/>
      <c r="T1300" s="49"/>
      <c r="U1300" s="49"/>
      <c r="V1300" s="49"/>
      <c r="W1300" s="49"/>
      <c r="X1300" s="49"/>
      <c r="Y1300" s="49"/>
      <c r="Z1300" s="49"/>
      <c r="AA1300" s="49"/>
      <c r="AB1300" s="49"/>
      <c r="AC1300" s="49"/>
      <c r="AD1300" s="49"/>
    </row>
    <row r="1301" spans="1:30" s="10" customFormat="1" ht="15.75">
      <c r="A1301" s="327"/>
      <c r="B1301" s="401"/>
      <c r="C1301" s="330"/>
      <c r="D1301" s="330"/>
      <c r="E1301" s="330"/>
      <c r="F1301" s="397"/>
      <c r="G1301" s="397"/>
      <c r="H1301" s="398"/>
      <c r="I1301" s="398"/>
      <c r="J1301" s="398"/>
      <c r="K1301" s="400"/>
      <c r="L1301" s="333"/>
      <c r="M1301" s="333"/>
      <c r="N1301" s="333"/>
      <c r="O1301" s="333"/>
      <c r="P1301" s="333"/>
      <c r="Q1301" s="399"/>
      <c r="R1301" s="334"/>
      <c r="S1301" s="335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</row>
    <row r="1302" spans="1:30" s="10" customFormat="1" ht="15.75">
      <c r="A1302" s="327"/>
      <c r="B1302" s="396"/>
      <c r="C1302" s="330"/>
      <c r="D1302" s="330"/>
      <c r="E1302" s="330"/>
      <c r="F1302" s="397"/>
      <c r="G1302" s="397"/>
      <c r="H1302" s="398"/>
      <c r="I1302" s="399"/>
      <c r="J1302" s="399"/>
      <c r="K1302" s="400"/>
      <c r="L1302" s="333"/>
      <c r="M1302" s="333"/>
      <c r="N1302" s="333"/>
      <c r="O1302" s="333"/>
      <c r="P1302" s="333"/>
      <c r="Q1302" s="399"/>
      <c r="R1302" s="334"/>
      <c r="S1302" s="335"/>
      <c r="T1302" s="49"/>
      <c r="U1302" s="49"/>
      <c r="V1302" s="49"/>
      <c r="W1302" s="49"/>
      <c r="X1302" s="49"/>
      <c r="Y1302" s="49"/>
      <c r="Z1302" s="49"/>
      <c r="AA1302" s="49"/>
      <c r="AB1302" s="49"/>
      <c r="AC1302" s="49"/>
      <c r="AD1302" s="49"/>
    </row>
    <row r="1303" spans="1:30" s="48" customFormat="1" ht="15.75">
      <c r="A1303" s="327"/>
      <c r="B1303" s="396"/>
      <c r="C1303" s="330"/>
      <c r="D1303" s="330"/>
      <c r="E1303" s="330"/>
      <c r="F1303" s="397"/>
      <c r="G1303" s="397"/>
      <c r="H1303" s="398"/>
      <c r="I1303" s="399"/>
      <c r="J1303" s="399"/>
      <c r="K1303" s="400"/>
      <c r="L1303" s="333"/>
      <c r="M1303" s="333"/>
      <c r="N1303" s="333"/>
      <c r="O1303" s="333"/>
      <c r="P1303" s="333"/>
      <c r="Q1303" s="399"/>
      <c r="R1303" s="334"/>
      <c r="S1303" s="335"/>
      <c r="T1303" s="49"/>
      <c r="U1303" s="49"/>
      <c r="V1303" s="49"/>
      <c r="W1303" s="49"/>
      <c r="X1303" s="49"/>
      <c r="Y1303" s="49"/>
      <c r="Z1303" s="49"/>
      <c r="AA1303" s="49"/>
      <c r="AB1303" s="49"/>
      <c r="AC1303" s="49"/>
      <c r="AD1303" s="49"/>
    </row>
    <row r="1304" spans="1:30" s="49" customFormat="1" ht="15.75">
      <c r="A1304" s="327"/>
      <c r="B1304" s="401"/>
      <c r="C1304" s="330"/>
      <c r="D1304" s="330"/>
      <c r="E1304" s="330"/>
      <c r="F1304" s="397"/>
      <c r="G1304" s="397"/>
      <c r="H1304" s="398"/>
      <c r="I1304" s="398"/>
      <c r="J1304" s="399"/>
      <c r="K1304" s="400"/>
      <c r="L1304" s="333"/>
      <c r="M1304" s="333"/>
      <c r="N1304" s="333"/>
      <c r="O1304" s="333"/>
      <c r="P1304" s="333"/>
      <c r="Q1304" s="399"/>
      <c r="R1304" s="334"/>
      <c r="S1304" s="335"/>
      <c r="T1304" s="47"/>
      <c r="U1304" s="47"/>
      <c r="V1304" s="47"/>
      <c r="W1304" s="47"/>
      <c r="X1304" s="47"/>
      <c r="Y1304" s="47"/>
      <c r="Z1304" s="47"/>
      <c r="AA1304" s="47"/>
      <c r="AB1304" s="47"/>
      <c r="AC1304" s="47"/>
      <c r="AD1304" s="47"/>
    </row>
    <row r="1305" spans="1:30" s="49" customFormat="1" ht="15.75">
      <c r="A1305" s="327"/>
      <c r="B1305" s="396"/>
      <c r="C1305" s="330"/>
      <c r="D1305" s="330"/>
      <c r="E1305" s="330"/>
      <c r="F1305" s="397"/>
      <c r="G1305" s="397"/>
      <c r="H1305" s="398"/>
      <c r="I1305" s="398"/>
      <c r="J1305" s="398"/>
      <c r="K1305" s="400"/>
      <c r="L1305" s="333"/>
      <c r="M1305" s="333"/>
      <c r="N1305" s="333"/>
      <c r="O1305" s="333"/>
      <c r="P1305" s="333"/>
      <c r="Q1305" s="399"/>
      <c r="R1305" s="334"/>
      <c r="S1305" s="335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s="49" customFormat="1" ht="15.75">
      <c r="A1306" s="327"/>
      <c r="B1306" s="396"/>
      <c r="C1306" s="330"/>
      <c r="D1306" s="330"/>
      <c r="E1306" s="330"/>
      <c r="F1306" s="397"/>
      <c r="G1306" s="397"/>
      <c r="H1306" s="398"/>
      <c r="I1306" s="399"/>
      <c r="J1306" s="399"/>
      <c r="K1306" s="400"/>
      <c r="L1306" s="333"/>
      <c r="M1306" s="333"/>
      <c r="N1306" s="333"/>
      <c r="O1306" s="333"/>
      <c r="P1306" s="333"/>
      <c r="Q1306" s="399"/>
      <c r="R1306" s="334"/>
      <c r="S1306" s="335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s="49" customFormat="1" ht="15.75">
      <c r="A1307" s="327"/>
      <c r="B1307" s="401"/>
      <c r="C1307" s="330"/>
      <c r="D1307" s="330"/>
      <c r="E1307" s="330"/>
      <c r="F1307" s="397"/>
      <c r="G1307" s="397"/>
      <c r="H1307" s="398"/>
      <c r="I1307" s="399"/>
      <c r="J1307" s="399"/>
      <c r="K1307" s="400"/>
      <c r="L1307" s="333"/>
      <c r="M1307" s="333"/>
      <c r="N1307" s="333"/>
      <c r="O1307" s="333"/>
      <c r="P1307" s="333"/>
      <c r="Q1307" s="399"/>
      <c r="R1307" s="334"/>
      <c r="S1307" s="335"/>
      <c r="T1307" s="10"/>
      <c r="U1307" s="10"/>
      <c r="V1307" s="10"/>
      <c r="W1307" s="10"/>
      <c r="X1307" s="10"/>
      <c r="Y1307" s="10"/>
      <c r="Z1307" s="10"/>
      <c r="AA1307" s="10"/>
      <c r="AB1307" s="10"/>
      <c r="AC1307" s="10"/>
      <c r="AD1307" s="10"/>
    </row>
    <row r="1308" spans="1:30" s="1" customFormat="1" ht="15.75">
      <c r="A1308" s="327"/>
      <c r="B1308" s="1338" t="s">
        <v>123</v>
      </c>
      <c r="C1308" s="1338"/>
      <c r="D1308" s="1338"/>
      <c r="E1308" s="1338"/>
      <c r="F1308" s="1338"/>
      <c r="G1308" s="1338"/>
      <c r="H1308" s="353">
        <f t="shared" ref="H1308:P1308" si="361">SUM(H1309:H1311)</f>
        <v>20881.099999999999</v>
      </c>
      <c r="I1308" s="353">
        <f t="shared" si="361"/>
        <v>12692.79</v>
      </c>
      <c r="J1308" s="353">
        <f t="shared" si="361"/>
        <v>9770.1</v>
      </c>
      <c r="K1308" s="353">
        <f t="shared" si="361"/>
        <v>629</v>
      </c>
      <c r="L1308" s="708">
        <f t="shared" si="361"/>
        <v>10007426</v>
      </c>
      <c r="M1308" s="708">
        <f t="shared" si="361"/>
        <v>0</v>
      </c>
      <c r="N1308" s="708">
        <f t="shared" si="361"/>
        <v>0</v>
      </c>
      <c r="O1308" s="708">
        <f t="shared" si="361"/>
        <v>10007426</v>
      </c>
      <c r="P1308" s="708">
        <f t="shared" si="361"/>
        <v>0</v>
      </c>
      <c r="Q1308" s="356" t="s">
        <v>40</v>
      </c>
      <c r="R1308" s="352" t="s">
        <v>40</v>
      </c>
      <c r="S1308" s="335">
        <v>43830</v>
      </c>
    </row>
    <row r="1309" spans="1:30" s="1" customFormat="1" ht="31.5">
      <c r="A1309" s="327">
        <f>A1307+1</f>
        <v>1</v>
      </c>
      <c r="B1309" s="877" t="s">
        <v>943</v>
      </c>
      <c r="C1309" s="367">
        <v>1964</v>
      </c>
      <c r="D1309" s="367"/>
      <c r="E1309" s="330" t="s">
        <v>218</v>
      </c>
      <c r="F1309" s="352">
        <v>5</v>
      </c>
      <c r="G1309" s="352">
        <v>5</v>
      </c>
      <c r="H1309" s="353">
        <v>6196.8</v>
      </c>
      <c r="I1309" s="352">
        <v>4027.51</v>
      </c>
      <c r="J1309" s="352">
        <v>3262.28</v>
      </c>
      <c r="K1309" s="370">
        <v>233</v>
      </c>
      <c r="L1309" s="333">
        <v>3237114</v>
      </c>
      <c r="M1309" s="333">
        <f>SUM(M1310:M1321)</f>
        <v>0</v>
      </c>
      <c r="N1309" s="333">
        <v>0</v>
      </c>
      <c r="O1309" s="333">
        <f>L1309</f>
        <v>3237114</v>
      </c>
      <c r="P1309" s="333">
        <v>0</v>
      </c>
      <c r="Q1309" s="356">
        <f t="shared" ref="Q1309:Q1321" si="362">L1309/I1309</f>
        <v>803.75070452959767</v>
      </c>
      <c r="R1309" s="334">
        <v>7920</v>
      </c>
      <c r="S1309" s="335">
        <v>43830</v>
      </c>
    </row>
    <row r="1310" spans="1:30" s="1" customFormat="1" ht="31.5">
      <c r="A1310" s="327">
        <f t="shared" ref="A1310:A1334" si="363">A1309+1</f>
        <v>2</v>
      </c>
      <c r="B1310" s="877" t="s">
        <v>741</v>
      </c>
      <c r="C1310" s="367">
        <v>1979</v>
      </c>
      <c r="D1310" s="367"/>
      <c r="E1310" s="330" t="s">
        <v>218</v>
      </c>
      <c r="F1310" s="352">
        <v>5</v>
      </c>
      <c r="G1310" s="352">
        <v>5</v>
      </c>
      <c r="H1310" s="353">
        <v>6648.4</v>
      </c>
      <c r="I1310" s="352">
        <v>3931</v>
      </c>
      <c r="J1310" s="352">
        <v>2464.7399999999998</v>
      </c>
      <c r="K1310" s="370">
        <v>182</v>
      </c>
      <c r="L1310" s="333">
        <v>3071501</v>
      </c>
      <c r="M1310" s="333">
        <f>SUM(M1311:M1322)</f>
        <v>0</v>
      </c>
      <c r="N1310" s="333">
        <v>0</v>
      </c>
      <c r="O1310" s="333">
        <f>L1310</f>
        <v>3071501</v>
      </c>
      <c r="P1310" s="333">
        <v>0</v>
      </c>
      <c r="Q1310" s="356">
        <f t="shared" si="362"/>
        <v>781.35359959297887</v>
      </c>
      <c r="R1310" s="334">
        <v>7920</v>
      </c>
      <c r="S1310" s="335">
        <v>43830</v>
      </c>
    </row>
    <row r="1311" spans="1:30" s="1" customFormat="1" ht="31.5">
      <c r="A1311" s="327">
        <v>3</v>
      </c>
      <c r="B1311" s="877" t="s">
        <v>742</v>
      </c>
      <c r="C1311" s="367">
        <v>1975</v>
      </c>
      <c r="D1311" s="352"/>
      <c r="E1311" s="330" t="s">
        <v>218</v>
      </c>
      <c r="F1311" s="352">
        <v>5</v>
      </c>
      <c r="G1311" s="352">
        <v>6</v>
      </c>
      <c r="H1311" s="353">
        <v>8035.9</v>
      </c>
      <c r="I1311" s="352">
        <v>4734.28</v>
      </c>
      <c r="J1311" s="352">
        <v>4043.08</v>
      </c>
      <c r="K1311" s="370">
        <v>214</v>
      </c>
      <c r="L1311" s="333">
        <v>3698811</v>
      </c>
      <c r="M1311" s="333">
        <f t="shared" ref="M1311" si="364">SUM(M1312:M1324)</f>
        <v>0</v>
      </c>
      <c r="N1311" s="333">
        <v>0</v>
      </c>
      <c r="O1311" s="333">
        <f>L1311</f>
        <v>3698811</v>
      </c>
      <c r="P1311" s="333">
        <v>0</v>
      </c>
      <c r="Q1311" s="356">
        <f t="shared" si="362"/>
        <v>781.28268712454701</v>
      </c>
      <c r="R1311" s="334">
        <v>7920</v>
      </c>
      <c r="S1311" s="335">
        <v>43830</v>
      </c>
    </row>
    <row r="1312" spans="1:30" s="1" customFormat="1" ht="15.75">
      <c r="A1312" s="327"/>
      <c r="B1312" s="877"/>
      <c r="C1312" s="367"/>
      <c r="D1312" s="352"/>
      <c r="E1312" s="330"/>
      <c r="F1312" s="352"/>
      <c r="G1312" s="352"/>
      <c r="H1312" s="353"/>
      <c r="I1312" s="352"/>
      <c r="J1312" s="352"/>
      <c r="K1312" s="370"/>
      <c r="L1312" s="333"/>
      <c r="M1312" s="333"/>
      <c r="N1312" s="333"/>
      <c r="O1312" s="333"/>
      <c r="P1312" s="333"/>
      <c r="Q1312" s="356"/>
      <c r="R1312" s="334"/>
      <c r="S1312" s="335">
        <v>43830</v>
      </c>
    </row>
    <row r="1313" spans="1:19" s="1" customFormat="1" ht="15.75">
      <c r="A1313" s="327"/>
      <c r="B1313" s="877"/>
      <c r="C1313" s="367"/>
      <c r="D1313" s="352"/>
      <c r="E1313" s="330"/>
      <c r="F1313" s="352"/>
      <c r="G1313" s="352"/>
      <c r="H1313" s="353"/>
      <c r="I1313" s="352"/>
      <c r="J1313" s="352"/>
      <c r="K1313" s="370"/>
      <c r="L1313" s="333"/>
      <c r="M1313" s="333"/>
      <c r="N1313" s="333"/>
      <c r="O1313" s="333"/>
      <c r="P1313" s="333"/>
      <c r="Q1313" s="356"/>
      <c r="R1313" s="334"/>
      <c r="S1313" s="335">
        <v>43830</v>
      </c>
    </row>
    <row r="1314" spans="1:19" s="1" customFormat="1" ht="15.75">
      <c r="A1314" s="327"/>
      <c r="B1314" s="877"/>
      <c r="C1314" s="646"/>
      <c r="D1314" s="352"/>
      <c r="E1314" s="330"/>
      <c r="F1314" s="352"/>
      <c r="G1314" s="352"/>
      <c r="H1314" s="353"/>
      <c r="I1314" s="352"/>
      <c r="J1314" s="352"/>
      <c r="K1314" s="370"/>
      <c r="L1314" s="333"/>
      <c r="M1314" s="333"/>
      <c r="N1314" s="333"/>
      <c r="O1314" s="333"/>
      <c r="P1314" s="333"/>
      <c r="Q1314" s="356"/>
      <c r="R1314" s="334"/>
      <c r="S1314" s="335">
        <v>43830</v>
      </c>
    </row>
    <row r="1315" spans="1:19" s="1" customFormat="1" ht="15.75">
      <c r="A1315" s="327"/>
      <c r="B1315" s="877"/>
      <c r="C1315" s="646"/>
      <c r="D1315" s="352"/>
      <c r="E1315" s="330"/>
      <c r="F1315" s="352"/>
      <c r="G1315" s="352"/>
      <c r="H1315" s="353"/>
      <c r="I1315" s="352"/>
      <c r="J1315" s="352"/>
      <c r="K1315" s="370"/>
      <c r="L1315" s="333"/>
      <c r="M1315" s="333"/>
      <c r="N1315" s="333"/>
      <c r="O1315" s="333"/>
      <c r="P1315" s="333"/>
      <c r="Q1315" s="356"/>
      <c r="R1315" s="334"/>
      <c r="S1315" s="335">
        <v>43830</v>
      </c>
    </row>
    <row r="1316" spans="1:19" s="1" customFormat="1" ht="15.75">
      <c r="A1316" s="327"/>
      <c r="B1316" s="877"/>
      <c r="C1316" s="367"/>
      <c r="D1316" s="352"/>
      <c r="E1316" s="330"/>
      <c r="F1316" s="352"/>
      <c r="G1316" s="352"/>
      <c r="H1316" s="353"/>
      <c r="I1316" s="352"/>
      <c r="J1316" s="352"/>
      <c r="K1316" s="370"/>
      <c r="L1316" s="333"/>
      <c r="M1316" s="333"/>
      <c r="N1316" s="333"/>
      <c r="O1316" s="333"/>
      <c r="P1316" s="333"/>
      <c r="Q1316" s="356"/>
      <c r="R1316" s="334"/>
      <c r="S1316" s="335">
        <v>43830</v>
      </c>
    </row>
    <row r="1317" spans="1:19" s="1" customFormat="1" ht="15.75">
      <c r="A1317" s="327"/>
      <c r="B1317" s="877"/>
      <c r="C1317" s="367"/>
      <c r="D1317" s="352"/>
      <c r="E1317" s="330"/>
      <c r="F1317" s="352"/>
      <c r="G1317" s="352"/>
      <c r="H1317" s="353"/>
      <c r="I1317" s="352"/>
      <c r="J1317" s="352"/>
      <c r="K1317" s="370"/>
      <c r="L1317" s="333"/>
      <c r="M1317" s="333"/>
      <c r="N1317" s="333"/>
      <c r="O1317" s="333"/>
      <c r="P1317" s="333"/>
      <c r="Q1317" s="356"/>
      <c r="R1317" s="334"/>
      <c r="S1317" s="335">
        <v>43830</v>
      </c>
    </row>
    <row r="1318" spans="1:19" s="1" customFormat="1" ht="15.75">
      <c r="A1318" s="327"/>
      <c r="B1318" s="877"/>
      <c r="C1318" s="367"/>
      <c r="D1318" s="352"/>
      <c r="E1318" s="330"/>
      <c r="F1318" s="352"/>
      <c r="G1318" s="352"/>
      <c r="H1318" s="353"/>
      <c r="I1318" s="352"/>
      <c r="J1318" s="352"/>
      <c r="K1318" s="370"/>
      <c r="L1318" s="333"/>
      <c r="M1318" s="333"/>
      <c r="N1318" s="333"/>
      <c r="O1318" s="333"/>
      <c r="P1318" s="333"/>
      <c r="Q1318" s="356"/>
      <c r="R1318" s="334"/>
      <c r="S1318" s="335">
        <v>43830</v>
      </c>
    </row>
    <row r="1319" spans="1:19" s="1" customFormat="1" ht="15.75">
      <c r="A1319" s="327"/>
      <c r="B1319" s="877"/>
      <c r="C1319" s="367"/>
      <c r="D1319" s="352"/>
      <c r="E1319" s="330"/>
      <c r="F1319" s="352"/>
      <c r="G1319" s="352"/>
      <c r="H1319" s="353"/>
      <c r="I1319" s="352"/>
      <c r="J1319" s="352"/>
      <c r="K1319" s="370"/>
      <c r="L1319" s="333"/>
      <c r="M1319" s="333"/>
      <c r="N1319" s="333"/>
      <c r="O1319" s="333"/>
      <c r="P1319" s="333"/>
      <c r="Q1319" s="356"/>
      <c r="R1319" s="334"/>
      <c r="S1319" s="335">
        <v>43830</v>
      </c>
    </row>
    <row r="1320" spans="1:19" s="1" customFormat="1" ht="28.15" customHeight="1">
      <c r="A1320" s="327"/>
      <c r="B1320" s="1338" t="s">
        <v>864</v>
      </c>
      <c r="C1320" s="1338"/>
      <c r="D1320" s="1338"/>
      <c r="E1320" s="1338"/>
      <c r="F1320" s="1338"/>
      <c r="G1320" s="1338"/>
      <c r="H1320" s="353">
        <f>H1321</f>
        <v>2514.6999999999998</v>
      </c>
      <c r="I1320" s="353">
        <f t="shared" ref="I1320:P1320" si="365">I1321</f>
        <v>1996.2</v>
      </c>
      <c r="J1320" s="353">
        <f t="shared" si="365"/>
        <v>1756.5</v>
      </c>
      <c r="K1320" s="353">
        <f t="shared" si="365"/>
        <v>82</v>
      </c>
      <c r="L1320" s="708">
        <f t="shared" si="365"/>
        <v>1112894</v>
      </c>
      <c r="M1320" s="708">
        <f t="shared" si="365"/>
        <v>0</v>
      </c>
      <c r="N1320" s="708">
        <f t="shared" si="365"/>
        <v>0</v>
      </c>
      <c r="O1320" s="708">
        <f t="shared" si="365"/>
        <v>1112894</v>
      </c>
      <c r="P1320" s="708">
        <f t="shared" si="365"/>
        <v>0</v>
      </c>
      <c r="Q1320" s="356" t="s">
        <v>40</v>
      </c>
      <c r="R1320" s="352" t="s">
        <v>40</v>
      </c>
      <c r="S1320" s="335">
        <v>43830</v>
      </c>
    </row>
    <row r="1321" spans="1:19" s="1" customFormat="1" ht="31.5">
      <c r="A1321" s="327"/>
      <c r="B1321" s="910" t="s">
        <v>869</v>
      </c>
      <c r="C1321" s="367">
        <v>1966</v>
      </c>
      <c r="D1321" s="352"/>
      <c r="E1321" s="330" t="s">
        <v>218</v>
      </c>
      <c r="F1321" s="352">
        <v>4</v>
      </c>
      <c r="G1321" s="352">
        <v>3</v>
      </c>
      <c r="H1321" s="353">
        <v>2514.6999999999998</v>
      </c>
      <c r="I1321" s="352">
        <v>1996.2</v>
      </c>
      <c r="J1321" s="352">
        <v>1756.5</v>
      </c>
      <c r="K1321" s="370">
        <v>82</v>
      </c>
      <c r="L1321" s="333">
        <v>1112894</v>
      </c>
      <c r="M1321" s="333">
        <v>0</v>
      </c>
      <c r="N1321" s="333">
        <v>0</v>
      </c>
      <c r="O1321" s="333">
        <v>1112894</v>
      </c>
      <c r="P1321" s="333">
        <v>0</v>
      </c>
      <c r="Q1321" s="356">
        <f t="shared" si="362"/>
        <v>557.50626189760544</v>
      </c>
      <c r="R1321" s="334">
        <v>7920</v>
      </c>
      <c r="S1321" s="335">
        <v>43830</v>
      </c>
    </row>
    <row r="1322" spans="1:19" s="16" customFormat="1" ht="23.45" customHeight="1">
      <c r="A1322" s="327"/>
      <c r="B1322" s="1338" t="s">
        <v>72</v>
      </c>
      <c r="C1322" s="1338"/>
      <c r="D1322" s="1338"/>
      <c r="E1322" s="1338"/>
      <c r="F1322" s="1338"/>
      <c r="G1322" s="1338"/>
      <c r="H1322" s="353">
        <f>H1323</f>
        <v>2066.4</v>
      </c>
      <c r="I1322" s="352">
        <f t="shared" ref="I1322:R1322" si="366">I1323</f>
        <v>1872.3</v>
      </c>
      <c r="J1322" s="352">
        <f t="shared" si="366"/>
        <v>1662.1</v>
      </c>
      <c r="K1322" s="355">
        <f t="shared" si="366"/>
        <v>80</v>
      </c>
      <c r="L1322" s="333">
        <f t="shared" si="366"/>
        <v>4547991</v>
      </c>
      <c r="M1322" s="333">
        <f t="shared" si="366"/>
        <v>0</v>
      </c>
      <c r="N1322" s="333">
        <f t="shared" si="366"/>
        <v>0</v>
      </c>
      <c r="O1322" s="333">
        <f t="shared" si="366"/>
        <v>4547991</v>
      </c>
      <c r="P1322" s="333">
        <f t="shared" si="366"/>
        <v>0</v>
      </c>
      <c r="Q1322" s="356" t="str">
        <f t="shared" si="366"/>
        <v>Х</v>
      </c>
      <c r="R1322" s="352" t="str">
        <f t="shared" si="366"/>
        <v>Х</v>
      </c>
      <c r="S1322" s="335">
        <v>43830</v>
      </c>
    </row>
    <row r="1323" spans="1:19" s="16" customFormat="1" ht="30.6" customHeight="1">
      <c r="A1323" s="327"/>
      <c r="B1323" s="1338" t="s">
        <v>95</v>
      </c>
      <c r="C1323" s="1338"/>
      <c r="D1323" s="1338"/>
      <c r="E1323" s="1338"/>
      <c r="F1323" s="1338"/>
      <c r="G1323" s="1338"/>
      <c r="H1323" s="353">
        <f>SUM(H1324:H1327)</f>
        <v>2066.4</v>
      </c>
      <c r="I1323" s="353">
        <f t="shared" ref="I1323:P1323" si="367">SUM(I1324:I1327)</f>
        <v>1872.3</v>
      </c>
      <c r="J1323" s="353">
        <f t="shared" si="367"/>
        <v>1662.1</v>
      </c>
      <c r="K1323" s="353">
        <f t="shared" si="367"/>
        <v>80</v>
      </c>
      <c r="L1323" s="680">
        <f t="shared" si="367"/>
        <v>4547991</v>
      </c>
      <c r="M1323" s="680">
        <f t="shared" si="367"/>
        <v>0</v>
      </c>
      <c r="N1323" s="680">
        <f t="shared" si="367"/>
        <v>0</v>
      </c>
      <c r="O1323" s="680">
        <f t="shared" si="367"/>
        <v>4547991</v>
      </c>
      <c r="P1323" s="680">
        <f t="shared" si="367"/>
        <v>0</v>
      </c>
      <c r="Q1323" s="356" t="s">
        <v>40</v>
      </c>
      <c r="R1323" s="367" t="s">
        <v>40</v>
      </c>
      <c r="S1323" s="335">
        <v>43830</v>
      </c>
    </row>
    <row r="1324" spans="1:19" s="1" customFormat="1" ht="31.5">
      <c r="A1324" s="327" t="e">
        <f>#REF!+1</f>
        <v>#REF!</v>
      </c>
      <c r="B1324" s="338" t="s">
        <v>625</v>
      </c>
      <c r="C1324" s="329">
        <v>1978</v>
      </c>
      <c r="D1324" s="329"/>
      <c r="E1324" s="330" t="s">
        <v>218</v>
      </c>
      <c r="F1324" s="329">
        <v>2</v>
      </c>
      <c r="G1324" s="329">
        <v>2</v>
      </c>
      <c r="H1324" s="331">
        <v>568.9</v>
      </c>
      <c r="I1324" s="329">
        <v>523</v>
      </c>
      <c r="J1324" s="358">
        <v>490.1</v>
      </c>
      <c r="K1324" s="332">
        <v>24</v>
      </c>
      <c r="L1324" s="333">
        <v>2106656</v>
      </c>
      <c r="M1324" s="333">
        <v>0</v>
      </c>
      <c r="N1324" s="333">
        <v>0</v>
      </c>
      <c r="O1324" s="333">
        <f>L1324</f>
        <v>2106656</v>
      </c>
      <c r="P1324" s="333">
        <v>0</v>
      </c>
      <c r="Q1324" s="334">
        <f t="shared" ref="Q1324:Q1327" si="368">L1324/I1324</f>
        <v>4028.0229445506693</v>
      </c>
      <c r="R1324" s="620">
        <v>7920</v>
      </c>
      <c r="S1324" s="335">
        <v>43830</v>
      </c>
    </row>
    <row r="1325" spans="1:19" s="1" customFormat="1" ht="21.6" customHeight="1">
      <c r="A1325" s="327" t="e">
        <f t="shared" si="363"/>
        <v>#REF!</v>
      </c>
      <c r="B1325" s="338" t="s">
        <v>626</v>
      </c>
      <c r="C1325" s="329">
        <v>1975</v>
      </c>
      <c r="D1325" s="329"/>
      <c r="E1325" s="330" t="s">
        <v>220</v>
      </c>
      <c r="F1325" s="329">
        <v>2</v>
      </c>
      <c r="G1325" s="329">
        <v>2</v>
      </c>
      <c r="H1325" s="331">
        <v>572.6</v>
      </c>
      <c r="I1325" s="329">
        <v>520.20000000000005</v>
      </c>
      <c r="J1325" s="358">
        <v>342.9</v>
      </c>
      <c r="K1325" s="332">
        <v>22</v>
      </c>
      <c r="L1325" s="333">
        <v>649678</v>
      </c>
      <c r="M1325" s="333">
        <v>0</v>
      </c>
      <c r="N1325" s="333">
        <v>0</v>
      </c>
      <c r="O1325" s="333">
        <f t="shared" ref="O1325:O1327" si="369">L1325</f>
        <v>649678</v>
      </c>
      <c r="P1325" s="333">
        <v>0</v>
      </c>
      <c r="Q1325" s="334">
        <f t="shared" si="368"/>
        <v>1248.9004229142636</v>
      </c>
      <c r="R1325" s="620">
        <v>7920</v>
      </c>
      <c r="S1325" s="335">
        <v>43830</v>
      </c>
    </row>
    <row r="1326" spans="1:19" s="1" customFormat="1" ht="31.5">
      <c r="A1326" s="327" t="e">
        <f t="shared" si="363"/>
        <v>#REF!</v>
      </c>
      <c r="B1326" s="338" t="s">
        <v>443</v>
      </c>
      <c r="C1326" s="329">
        <v>1967</v>
      </c>
      <c r="D1326" s="329"/>
      <c r="E1326" s="330" t="s">
        <v>218</v>
      </c>
      <c r="F1326" s="329">
        <v>2</v>
      </c>
      <c r="G1326" s="329">
        <v>2</v>
      </c>
      <c r="H1326" s="331">
        <v>529.5</v>
      </c>
      <c r="I1326" s="329">
        <v>471.3</v>
      </c>
      <c r="J1326" s="329">
        <v>471.3</v>
      </c>
      <c r="K1326" s="332">
        <v>21</v>
      </c>
      <c r="L1326" s="333">
        <v>1157557</v>
      </c>
      <c r="M1326" s="333">
        <v>0</v>
      </c>
      <c r="N1326" s="333">
        <v>0</v>
      </c>
      <c r="O1326" s="333">
        <f t="shared" si="369"/>
        <v>1157557</v>
      </c>
      <c r="P1326" s="333">
        <v>0</v>
      </c>
      <c r="Q1326" s="334">
        <f t="shared" si="368"/>
        <v>2456.0937831529809</v>
      </c>
      <c r="R1326" s="334">
        <v>7920</v>
      </c>
      <c r="S1326" s="335">
        <v>43830</v>
      </c>
    </row>
    <row r="1327" spans="1:19" s="1" customFormat="1" ht="31.5">
      <c r="A1327" s="327" t="e">
        <f t="shared" si="363"/>
        <v>#REF!</v>
      </c>
      <c r="B1327" s="338" t="s">
        <v>391</v>
      </c>
      <c r="C1327" s="329">
        <v>1969</v>
      </c>
      <c r="D1327" s="329"/>
      <c r="E1327" s="330" t="s">
        <v>218</v>
      </c>
      <c r="F1327" s="329">
        <v>2</v>
      </c>
      <c r="G1327" s="329">
        <v>2</v>
      </c>
      <c r="H1327" s="331">
        <v>395.4</v>
      </c>
      <c r="I1327" s="329">
        <v>357.8</v>
      </c>
      <c r="J1327" s="329">
        <v>357.8</v>
      </c>
      <c r="K1327" s="332">
        <v>13</v>
      </c>
      <c r="L1327" s="333">
        <v>634100</v>
      </c>
      <c r="M1327" s="333">
        <v>0</v>
      </c>
      <c r="N1327" s="333">
        <v>0</v>
      </c>
      <c r="O1327" s="333">
        <f t="shared" si="369"/>
        <v>634100</v>
      </c>
      <c r="P1327" s="333">
        <v>0</v>
      </c>
      <c r="Q1327" s="334">
        <f t="shared" si="368"/>
        <v>1772.219116825042</v>
      </c>
      <c r="R1327" s="334">
        <v>7920</v>
      </c>
      <c r="S1327" s="335">
        <v>43830</v>
      </c>
    </row>
    <row r="1328" spans="1:19" s="1" customFormat="1" ht="15.75">
      <c r="A1328" s="327"/>
      <c r="B1328" s="338"/>
      <c r="C1328" s="329"/>
      <c r="D1328" s="329"/>
      <c r="E1328" s="330"/>
      <c r="F1328" s="329"/>
      <c r="G1328" s="329"/>
      <c r="H1328" s="331"/>
      <c r="I1328" s="329"/>
      <c r="J1328" s="329"/>
      <c r="K1328" s="332"/>
      <c r="L1328" s="333"/>
      <c r="M1328" s="333"/>
      <c r="N1328" s="333"/>
      <c r="O1328" s="333"/>
      <c r="P1328" s="333"/>
      <c r="Q1328" s="334"/>
      <c r="R1328" s="334"/>
      <c r="S1328" s="335"/>
    </row>
    <row r="1329" spans="1:34" s="1" customFormat="1" ht="15.75">
      <c r="A1329" s="327"/>
      <c r="B1329" s="338"/>
      <c r="C1329" s="329"/>
      <c r="D1329" s="329"/>
      <c r="E1329" s="330"/>
      <c r="F1329" s="329"/>
      <c r="G1329" s="329"/>
      <c r="H1329" s="331"/>
      <c r="I1329" s="329"/>
      <c r="J1329" s="329"/>
      <c r="K1329" s="332"/>
      <c r="L1329" s="333"/>
      <c r="M1329" s="333"/>
      <c r="N1329" s="333"/>
      <c r="O1329" s="333"/>
      <c r="P1329" s="333"/>
      <c r="Q1329" s="334"/>
      <c r="R1329" s="334"/>
      <c r="S1329" s="335"/>
    </row>
    <row r="1330" spans="1:34" s="1" customFormat="1" ht="15.75">
      <c r="A1330" s="327"/>
      <c r="B1330" s="338"/>
      <c r="C1330" s="329"/>
      <c r="D1330" s="329"/>
      <c r="E1330" s="330"/>
      <c r="F1330" s="329"/>
      <c r="G1330" s="329"/>
      <c r="H1330" s="331"/>
      <c r="I1330" s="329"/>
      <c r="J1330" s="358"/>
      <c r="K1330" s="332"/>
      <c r="L1330" s="333"/>
      <c r="M1330" s="333"/>
      <c r="N1330" s="333"/>
      <c r="O1330" s="333"/>
      <c r="P1330" s="333"/>
      <c r="Q1330" s="334"/>
      <c r="R1330" s="334"/>
      <c r="S1330" s="335"/>
    </row>
    <row r="1331" spans="1:34" s="1" customFormat="1" ht="15.75" customHeight="1">
      <c r="A1331" s="107"/>
      <c r="B1331" s="1348" t="s">
        <v>41</v>
      </c>
      <c r="C1331" s="1348"/>
      <c r="D1331" s="1348"/>
      <c r="E1331" s="1348"/>
      <c r="F1331" s="1348"/>
      <c r="G1331" s="1348"/>
      <c r="H1331" s="111">
        <f>H1332</f>
        <v>11641.5</v>
      </c>
      <c r="I1331" s="111">
        <f t="shared" ref="I1331:P1331" si="370">I1332</f>
        <v>9960.2199999999993</v>
      </c>
      <c r="J1331" s="111">
        <f t="shared" si="370"/>
        <v>9539.32</v>
      </c>
      <c r="K1331" s="112">
        <f t="shared" si="370"/>
        <v>480</v>
      </c>
      <c r="L1331" s="113">
        <f t="shared" si="370"/>
        <v>12671361</v>
      </c>
      <c r="M1331" s="113">
        <f t="shared" si="370"/>
        <v>0</v>
      </c>
      <c r="N1331" s="113">
        <f t="shared" si="370"/>
        <v>0</v>
      </c>
      <c r="O1331" s="113">
        <f t="shared" si="370"/>
        <v>12671361</v>
      </c>
      <c r="P1331" s="113">
        <f t="shared" si="370"/>
        <v>0</v>
      </c>
      <c r="Q1331" s="114" t="s">
        <v>40</v>
      </c>
      <c r="R1331" s="126" t="s">
        <v>40</v>
      </c>
      <c r="S1331" s="335">
        <v>43830</v>
      </c>
    </row>
    <row r="1332" spans="1:34" s="1" customFormat="1" ht="24.6" customHeight="1">
      <c r="A1332" s="107"/>
      <c r="B1332" s="1349" t="s">
        <v>96</v>
      </c>
      <c r="C1332" s="1349"/>
      <c r="D1332" s="1348"/>
      <c r="E1332" s="1348"/>
      <c r="F1332" s="1349"/>
      <c r="G1332" s="1349"/>
      <c r="H1332" s="628">
        <f>SUM(H1333:H1336)</f>
        <v>11641.5</v>
      </c>
      <c r="I1332" s="628">
        <f t="shared" ref="I1332:P1332" si="371">SUM(I1333:I1336)</f>
        <v>9960.2199999999993</v>
      </c>
      <c r="J1332" s="628">
        <f t="shared" si="371"/>
        <v>9539.32</v>
      </c>
      <c r="K1332" s="628">
        <f t="shared" si="371"/>
        <v>480</v>
      </c>
      <c r="L1332" s="635">
        <f t="shared" si="371"/>
        <v>12671361</v>
      </c>
      <c r="M1332" s="635">
        <f t="shared" si="371"/>
        <v>0</v>
      </c>
      <c r="N1332" s="635">
        <f t="shared" si="371"/>
        <v>0</v>
      </c>
      <c r="O1332" s="635">
        <f t="shared" si="371"/>
        <v>12671361</v>
      </c>
      <c r="P1332" s="635">
        <f t="shared" si="371"/>
        <v>0</v>
      </c>
      <c r="Q1332" s="114" t="s">
        <v>40</v>
      </c>
      <c r="R1332" s="126" t="s">
        <v>40</v>
      </c>
      <c r="S1332" s="335">
        <v>43830</v>
      </c>
    </row>
    <row r="1333" spans="1:34" s="1" customFormat="1" ht="31.5">
      <c r="A1333" s="631">
        <f>A1330+1</f>
        <v>1</v>
      </c>
      <c r="B1333" s="780" t="s">
        <v>831</v>
      </c>
      <c r="C1333" s="781">
        <v>1976</v>
      </c>
      <c r="D1333" s="761"/>
      <c r="E1333" s="611" t="s">
        <v>834</v>
      </c>
      <c r="F1333" s="781">
        <v>5</v>
      </c>
      <c r="G1333" s="781">
        <v>6</v>
      </c>
      <c r="H1333" s="783">
        <v>4451</v>
      </c>
      <c r="I1333" s="783">
        <v>4064.82</v>
      </c>
      <c r="J1333" s="783">
        <f>I1333-53.9</f>
        <v>4010.92</v>
      </c>
      <c r="K1333" s="781">
        <v>153</v>
      </c>
      <c r="L1333" s="784">
        <v>4056611</v>
      </c>
      <c r="M1333" s="655">
        <v>0</v>
      </c>
      <c r="N1333" s="113">
        <v>0</v>
      </c>
      <c r="O1333" s="113">
        <f>L1333</f>
        <v>4056611</v>
      </c>
      <c r="P1333" s="113">
        <v>0</v>
      </c>
      <c r="Q1333" s="114">
        <f>L1333/I1333</f>
        <v>997.98047638025787</v>
      </c>
      <c r="R1333" s="114">
        <v>7920</v>
      </c>
      <c r="S1333" s="335">
        <v>43830</v>
      </c>
    </row>
    <row r="1334" spans="1:34" s="1" customFormat="1" ht="31.5">
      <c r="A1334" s="631">
        <f t="shared" si="363"/>
        <v>2</v>
      </c>
      <c r="B1334" s="780" t="s">
        <v>832</v>
      </c>
      <c r="C1334" s="781">
        <v>1989</v>
      </c>
      <c r="D1334" s="761"/>
      <c r="E1334" s="611" t="s">
        <v>834</v>
      </c>
      <c r="F1334" s="781">
        <v>5</v>
      </c>
      <c r="G1334" s="781">
        <v>4</v>
      </c>
      <c r="H1334" s="783">
        <v>2784</v>
      </c>
      <c r="I1334" s="783">
        <v>1565.5</v>
      </c>
      <c r="J1334" s="783">
        <f>I1334-245.6</f>
        <v>1319.9</v>
      </c>
      <c r="K1334" s="781">
        <v>141</v>
      </c>
      <c r="L1334" s="784">
        <v>2157151</v>
      </c>
      <c r="M1334" s="655">
        <v>0</v>
      </c>
      <c r="N1334" s="113">
        <v>0</v>
      </c>
      <c r="O1334" s="113">
        <f t="shared" ref="O1334:O1336" si="372">L1334</f>
        <v>2157151</v>
      </c>
      <c r="P1334" s="113">
        <v>0</v>
      </c>
      <c r="Q1334" s="114">
        <f>L1334/I1334</f>
        <v>1377.9310124560843</v>
      </c>
      <c r="R1334" s="114">
        <v>7920</v>
      </c>
      <c r="S1334" s="335">
        <v>43830</v>
      </c>
    </row>
    <row r="1335" spans="1:34" s="1" customFormat="1" ht="31.5">
      <c r="A1335" s="631">
        <f>A1334+1</f>
        <v>3</v>
      </c>
      <c r="B1335" s="780" t="s">
        <v>833</v>
      </c>
      <c r="C1335" s="781">
        <v>1988</v>
      </c>
      <c r="D1335" s="761"/>
      <c r="E1335" s="611" t="s">
        <v>218</v>
      </c>
      <c r="F1335" s="781">
        <v>5</v>
      </c>
      <c r="G1335" s="781">
        <v>1</v>
      </c>
      <c r="H1335" s="783">
        <v>2379.9</v>
      </c>
      <c r="I1335" s="783">
        <v>2357.3000000000002</v>
      </c>
      <c r="J1335" s="783">
        <f>I1335-35</f>
        <v>2322.3000000000002</v>
      </c>
      <c r="K1335" s="781">
        <v>101</v>
      </c>
      <c r="L1335" s="784">
        <v>1992941</v>
      </c>
      <c r="M1335" s="655">
        <v>0</v>
      </c>
      <c r="N1335" s="113">
        <v>0</v>
      </c>
      <c r="O1335" s="113">
        <f t="shared" si="372"/>
        <v>1992941</v>
      </c>
      <c r="P1335" s="113">
        <v>0</v>
      </c>
      <c r="Q1335" s="114">
        <f>L1335/I1335</f>
        <v>845.43375896152372</v>
      </c>
      <c r="R1335" s="114">
        <v>7920</v>
      </c>
      <c r="S1335" s="335">
        <v>43830</v>
      </c>
    </row>
    <row r="1336" spans="1:34" s="1" customFormat="1" ht="31.5">
      <c r="A1336" s="107"/>
      <c r="B1336" s="778" t="s">
        <v>948</v>
      </c>
      <c r="C1336" s="779">
        <v>1963</v>
      </c>
      <c r="D1336" s="108"/>
      <c r="E1336" s="109" t="s">
        <v>218</v>
      </c>
      <c r="F1336" s="779">
        <v>4</v>
      </c>
      <c r="G1336" s="779">
        <v>3</v>
      </c>
      <c r="H1336" s="885">
        <v>2026.6</v>
      </c>
      <c r="I1336" s="886">
        <v>1972.6</v>
      </c>
      <c r="J1336" s="887">
        <v>1886.2</v>
      </c>
      <c r="K1336" s="782">
        <v>85</v>
      </c>
      <c r="L1336" s="771">
        <v>4464658</v>
      </c>
      <c r="M1336" s="113">
        <v>0</v>
      </c>
      <c r="N1336" s="113">
        <v>0</v>
      </c>
      <c r="O1336" s="113">
        <f t="shared" si="372"/>
        <v>4464658</v>
      </c>
      <c r="P1336" s="113">
        <v>0</v>
      </c>
      <c r="Q1336" s="114">
        <f>L1336/I1336</f>
        <v>2263.3367129676571</v>
      </c>
      <c r="R1336" s="114">
        <v>7920</v>
      </c>
      <c r="S1336" s="335">
        <v>43830</v>
      </c>
    </row>
    <row r="1337" spans="1:34" s="1" customFormat="1" ht="15.75">
      <c r="A1337" s="107"/>
      <c r="B1337" s="301"/>
      <c r="C1337" s="108"/>
      <c r="D1337" s="108"/>
      <c r="E1337" s="109"/>
      <c r="F1337" s="108"/>
      <c r="G1337" s="108"/>
      <c r="H1337" s="111"/>
      <c r="I1337" s="108"/>
      <c r="J1337" s="122"/>
      <c r="K1337" s="112"/>
      <c r="L1337" s="113"/>
      <c r="M1337" s="113"/>
      <c r="N1337" s="113"/>
      <c r="O1337" s="113"/>
      <c r="P1337" s="113"/>
      <c r="Q1337" s="114"/>
      <c r="R1337" s="114"/>
      <c r="S1337" s="335"/>
    </row>
    <row r="1338" spans="1:34" s="1" customFormat="1" ht="15.75">
      <c r="A1338" s="107"/>
      <c r="B1338" s="1336" t="s">
        <v>68</v>
      </c>
      <c r="C1338" s="1336"/>
      <c r="D1338" s="1336"/>
      <c r="E1338" s="1336"/>
      <c r="F1338" s="1336"/>
      <c r="G1338" s="1336"/>
      <c r="H1338" s="128">
        <f>H1339</f>
        <v>0</v>
      </c>
      <c r="I1338" s="106">
        <f t="shared" ref="I1338:P1339" si="373">I1339</f>
        <v>0</v>
      </c>
      <c r="J1338" s="106">
        <f t="shared" si="373"/>
        <v>0</v>
      </c>
      <c r="K1338" s="119">
        <f t="shared" si="373"/>
        <v>0</v>
      </c>
      <c r="L1338" s="113">
        <f t="shared" si="373"/>
        <v>0</v>
      </c>
      <c r="M1338" s="113">
        <f t="shared" si="373"/>
        <v>0</v>
      </c>
      <c r="N1338" s="113">
        <f t="shared" si="373"/>
        <v>0</v>
      </c>
      <c r="O1338" s="113">
        <f t="shared" si="373"/>
        <v>0</v>
      </c>
      <c r="P1338" s="113">
        <f t="shared" si="373"/>
        <v>0</v>
      </c>
      <c r="Q1338" s="106" t="s">
        <v>40</v>
      </c>
      <c r="R1338" s="106" t="s">
        <v>40</v>
      </c>
      <c r="S1338" s="335">
        <v>43830</v>
      </c>
    </row>
    <row r="1339" spans="1:34" s="1" customFormat="1" ht="15.75" customHeight="1">
      <c r="A1339" s="107"/>
      <c r="B1339" s="1329" t="s">
        <v>97</v>
      </c>
      <c r="C1339" s="1329"/>
      <c r="D1339" s="1329"/>
      <c r="E1339" s="1329"/>
      <c r="F1339" s="1329"/>
      <c r="G1339" s="1329"/>
      <c r="H1339" s="128">
        <f>H1340</f>
        <v>0</v>
      </c>
      <c r="I1339" s="106">
        <f t="shared" si="373"/>
        <v>0</v>
      </c>
      <c r="J1339" s="106">
        <f t="shared" si="373"/>
        <v>0</v>
      </c>
      <c r="K1339" s="119">
        <f t="shared" si="373"/>
        <v>0</v>
      </c>
      <c r="L1339" s="113">
        <f t="shared" si="373"/>
        <v>0</v>
      </c>
      <c r="M1339" s="113">
        <f t="shared" si="373"/>
        <v>0</v>
      </c>
      <c r="N1339" s="113">
        <f t="shared" si="373"/>
        <v>0</v>
      </c>
      <c r="O1339" s="113">
        <f t="shared" si="373"/>
        <v>0</v>
      </c>
      <c r="P1339" s="113">
        <f t="shared" si="373"/>
        <v>0</v>
      </c>
      <c r="Q1339" s="106" t="s">
        <v>40</v>
      </c>
      <c r="R1339" s="106" t="s">
        <v>40</v>
      </c>
      <c r="S1339" s="335">
        <v>43830</v>
      </c>
    </row>
    <row r="1340" spans="1:34" s="1" customFormat="1" ht="15.75">
      <c r="A1340" s="327"/>
      <c r="B1340" s="365"/>
      <c r="C1340" s="352"/>
      <c r="D1340" s="352"/>
      <c r="E1340" s="330"/>
      <c r="F1340" s="352"/>
      <c r="G1340" s="352"/>
      <c r="H1340" s="353"/>
      <c r="I1340" s="356"/>
      <c r="J1340" s="356"/>
      <c r="K1340" s="355"/>
      <c r="L1340" s="333"/>
      <c r="M1340" s="333"/>
      <c r="N1340" s="333"/>
      <c r="O1340" s="333"/>
      <c r="P1340" s="333"/>
      <c r="Q1340" s="356"/>
      <c r="R1340" s="334"/>
      <c r="S1340" s="335"/>
    </row>
    <row r="1341" spans="1:34" s="16" customFormat="1" ht="15.75">
      <c r="A1341" s="107"/>
      <c r="B1341" s="1336" t="s">
        <v>43</v>
      </c>
      <c r="C1341" s="1336"/>
      <c r="D1341" s="1336"/>
      <c r="E1341" s="1336"/>
      <c r="F1341" s="1336"/>
      <c r="G1341" s="1336"/>
      <c r="H1341" s="106">
        <f>H1342+H1357</f>
        <v>23164.559999999998</v>
      </c>
      <c r="I1341" s="106">
        <f t="shared" ref="I1341:J1341" si="374">I1342+I1357</f>
        <v>21134.959999999999</v>
      </c>
      <c r="J1341" s="106">
        <f t="shared" si="374"/>
        <v>19251.09</v>
      </c>
      <c r="K1341" s="119">
        <f>K1342+K1357</f>
        <v>853</v>
      </c>
      <c r="L1341" s="113">
        <f t="shared" ref="L1341:P1341" si="375">L1342+L1357</f>
        <v>23032470</v>
      </c>
      <c r="M1341" s="113">
        <f t="shared" si="375"/>
        <v>0</v>
      </c>
      <c r="N1341" s="113">
        <f t="shared" si="375"/>
        <v>1400000</v>
      </c>
      <c r="O1341" s="113">
        <f t="shared" si="375"/>
        <v>21632470</v>
      </c>
      <c r="P1341" s="113">
        <f t="shared" si="375"/>
        <v>0</v>
      </c>
      <c r="Q1341" s="106" t="s">
        <v>40</v>
      </c>
      <c r="R1341" s="106" t="s">
        <v>40</v>
      </c>
      <c r="S1341" s="335">
        <v>43830</v>
      </c>
    </row>
    <row r="1342" spans="1:34" s="10" customFormat="1" ht="15.75" customHeight="1">
      <c r="A1342" s="107"/>
      <c r="B1342" s="1329" t="s">
        <v>125</v>
      </c>
      <c r="C1342" s="1329"/>
      <c r="D1342" s="1329"/>
      <c r="E1342" s="1329"/>
      <c r="F1342" s="1329"/>
      <c r="G1342" s="1329"/>
      <c r="H1342" s="128">
        <f t="shared" ref="H1342:M1342" si="376">SUM(H1343:H1356)</f>
        <v>20106.559999999998</v>
      </c>
      <c r="I1342" s="106">
        <f t="shared" si="376"/>
        <v>18426.259999999998</v>
      </c>
      <c r="J1342" s="106">
        <f t="shared" si="376"/>
        <v>16665.189999999999</v>
      </c>
      <c r="K1342" s="119">
        <f t="shared" si="376"/>
        <v>735</v>
      </c>
      <c r="L1342" s="113">
        <f t="shared" si="376"/>
        <v>20696312</v>
      </c>
      <c r="M1342" s="113">
        <f t="shared" si="376"/>
        <v>0</v>
      </c>
      <c r="N1342" s="113">
        <f t="shared" ref="N1342:O1342" si="377">SUM(N1343:N1356)</f>
        <v>0</v>
      </c>
      <c r="O1342" s="113">
        <f t="shared" si="377"/>
        <v>20696312</v>
      </c>
      <c r="P1342" s="113">
        <f>SUM(P1343:P1359)</f>
        <v>0</v>
      </c>
      <c r="Q1342" s="106" t="s">
        <v>40</v>
      </c>
      <c r="R1342" s="106" t="s">
        <v>40</v>
      </c>
      <c r="S1342" s="335">
        <v>43830</v>
      </c>
    </row>
    <row r="1343" spans="1:34" s="40" customFormat="1" ht="15.75">
      <c r="A1343" s="107">
        <f>A1340+1</f>
        <v>1</v>
      </c>
      <c r="B1343" s="130" t="s">
        <v>405</v>
      </c>
      <c r="C1343" s="131">
        <v>1979</v>
      </c>
      <c r="D1343" s="132"/>
      <c r="E1343" s="109" t="s">
        <v>219</v>
      </c>
      <c r="F1343" s="131">
        <v>5</v>
      </c>
      <c r="G1343" s="131">
        <v>6</v>
      </c>
      <c r="H1343" s="133">
        <v>4364.1000000000004</v>
      </c>
      <c r="I1343" s="131">
        <v>3933.3</v>
      </c>
      <c r="J1343" s="131">
        <v>3786.33</v>
      </c>
      <c r="K1343" s="123">
        <v>163</v>
      </c>
      <c r="L1343" s="113">
        <v>2301804</v>
      </c>
      <c r="M1343" s="113">
        <v>0</v>
      </c>
      <c r="N1343" s="113">
        <v>0</v>
      </c>
      <c r="O1343" s="113">
        <f t="shared" ref="O1343:O1356" si="378">L1343</f>
        <v>2301804</v>
      </c>
      <c r="P1343" s="113">
        <v>0</v>
      </c>
      <c r="Q1343" s="134">
        <f>L1343/I1343</f>
        <v>585.2093661810693</v>
      </c>
      <c r="R1343" s="114">
        <v>6774</v>
      </c>
      <c r="S1343" s="335">
        <v>43830</v>
      </c>
      <c r="T1343" s="41"/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F1343" s="41"/>
      <c r="AG1343" s="41"/>
      <c r="AH1343" s="41"/>
    </row>
    <row r="1344" spans="1:34" s="41" customFormat="1" ht="31.5">
      <c r="A1344" s="107">
        <f t="shared" ref="A1344:A1397" si="379">A1343+1</f>
        <v>2</v>
      </c>
      <c r="B1344" s="120" t="s">
        <v>393</v>
      </c>
      <c r="C1344" s="109">
        <v>1976</v>
      </c>
      <c r="D1344" s="109"/>
      <c r="E1344" s="109" t="s">
        <v>218</v>
      </c>
      <c r="F1344" s="135">
        <v>5</v>
      </c>
      <c r="G1344" s="109">
        <v>6</v>
      </c>
      <c r="H1344" s="136">
        <v>4869.8</v>
      </c>
      <c r="I1344" s="137">
        <v>4494.8</v>
      </c>
      <c r="J1344" s="137">
        <v>3910.1</v>
      </c>
      <c r="K1344" s="138">
        <v>161</v>
      </c>
      <c r="L1344" s="113">
        <v>1743478</v>
      </c>
      <c r="M1344" s="113">
        <v>0</v>
      </c>
      <c r="N1344" s="113">
        <v>0</v>
      </c>
      <c r="O1344" s="113">
        <f t="shared" si="378"/>
        <v>1743478</v>
      </c>
      <c r="P1344" s="113">
        <v>0</v>
      </c>
      <c r="Q1344" s="139">
        <f>L1344/I1344</f>
        <v>387.88778143632641</v>
      </c>
      <c r="R1344" s="102">
        <v>6774</v>
      </c>
      <c r="S1344" s="335">
        <v>43830</v>
      </c>
      <c r="T1344" s="40"/>
      <c r="U1344" s="40"/>
      <c r="V1344" s="40"/>
      <c r="W1344" s="40"/>
      <c r="X1344" s="40"/>
      <c r="Y1344" s="40"/>
      <c r="Z1344" s="40"/>
      <c r="AA1344" s="40"/>
      <c r="AB1344" s="40"/>
      <c r="AC1344" s="40"/>
      <c r="AD1344" s="40"/>
      <c r="AE1344" s="40"/>
      <c r="AF1344" s="40"/>
      <c r="AG1344" s="40"/>
      <c r="AH1344" s="40"/>
    </row>
    <row r="1345" spans="1:34" s="41" customFormat="1" ht="31.5">
      <c r="A1345" s="107">
        <f t="shared" si="379"/>
        <v>3</v>
      </c>
      <c r="B1345" s="140" t="s">
        <v>406</v>
      </c>
      <c r="C1345" s="132">
        <v>2005</v>
      </c>
      <c r="D1345" s="132"/>
      <c r="E1345" s="109" t="s">
        <v>218</v>
      </c>
      <c r="F1345" s="131">
        <v>2</v>
      </c>
      <c r="G1345" s="131">
        <v>2</v>
      </c>
      <c r="H1345" s="133">
        <v>2170.6999999999998</v>
      </c>
      <c r="I1345" s="125">
        <v>1890.5</v>
      </c>
      <c r="J1345" s="125">
        <v>1756.6</v>
      </c>
      <c r="K1345" s="123">
        <v>72</v>
      </c>
      <c r="L1345" s="113">
        <v>2485001</v>
      </c>
      <c r="M1345" s="113">
        <v>0</v>
      </c>
      <c r="N1345" s="113">
        <v>0</v>
      </c>
      <c r="O1345" s="113">
        <f t="shared" si="378"/>
        <v>2485001</v>
      </c>
      <c r="P1345" s="113">
        <v>0</v>
      </c>
      <c r="Q1345" s="126">
        <f>L1345/I1345</f>
        <v>1314.4676011637132</v>
      </c>
      <c r="R1345" s="114">
        <v>6774</v>
      </c>
      <c r="S1345" s="335">
        <v>43830</v>
      </c>
    </row>
    <row r="1346" spans="1:34" s="41" customFormat="1" ht="31.5">
      <c r="A1346" s="107">
        <f t="shared" si="379"/>
        <v>4</v>
      </c>
      <c r="B1346" s="130" t="s">
        <v>402</v>
      </c>
      <c r="C1346" s="131">
        <v>1961</v>
      </c>
      <c r="D1346" s="132"/>
      <c r="E1346" s="109" t="s">
        <v>218</v>
      </c>
      <c r="F1346" s="131">
        <v>2</v>
      </c>
      <c r="G1346" s="132">
        <v>3</v>
      </c>
      <c r="H1346" s="141">
        <v>662.8</v>
      </c>
      <c r="I1346" s="142">
        <v>612.6</v>
      </c>
      <c r="J1346" s="142">
        <v>517</v>
      </c>
      <c r="K1346" s="143">
        <v>32</v>
      </c>
      <c r="L1346" s="113">
        <v>1237591</v>
      </c>
      <c r="M1346" s="113">
        <v>0</v>
      </c>
      <c r="N1346" s="113">
        <v>0</v>
      </c>
      <c r="O1346" s="113">
        <f t="shared" si="378"/>
        <v>1237591</v>
      </c>
      <c r="P1346" s="113">
        <v>0</v>
      </c>
      <c r="Q1346" s="144">
        <f>L1346/I1346</f>
        <v>2020.2269017303297</v>
      </c>
      <c r="R1346" s="114">
        <v>6774</v>
      </c>
      <c r="S1346" s="335">
        <v>43830</v>
      </c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  <c r="AE1346" s="42"/>
      <c r="AF1346" s="42"/>
      <c r="AG1346" s="42"/>
      <c r="AH1346" s="42"/>
    </row>
    <row r="1347" spans="1:34" s="41" customFormat="1" ht="31.5">
      <c r="A1347" s="107">
        <f t="shared" si="379"/>
        <v>5</v>
      </c>
      <c r="B1347" s="145" t="s">
        <v>397</v>
      </c>
      <c r="C1347" s="131">
        <v>1953</v>
      </c>
      <c r="D1347" s="132"/>
      <c r="E1347" s="109" t="s">
        <v>218</v>
      </c>
      <c r="F1347" s="131">
        <v>2</v>
      </c>
      <c r="G1347" s="132">
        <v>2</v>
      </c>
      <c r="H1347" s="146">
        <v>470.96</v>
      </c>
      <c r="I1347" s="147">
        <v>417.36</v>
      </c>
      <c r="J1347" s="147">
        <v>356.76</v>
      </c>
      <c r="K1347" s="148">
        <v>10</v>
      </c>
      <c r="L1347" s="113">
        <v>1448078</v>
      </c>
      <c r="M1347" s="113">
        <v>0</v>
      </c>
      <c r="N1347" s="113">
        <v>0</v>
      </c>
      <c r="O1347" s="113">
        <f t="shared" si="378"/>
        <v>1448078</v>
      </c>
      <c r="P1347" s="113">
        <v>0</v>
      </c>
      <c r="Q1347" s="144">
        <f>L1347/I1347</f>
        <v>3469.6137626988689</v>
      </c>
      <c r="R1347" s="114">
        <v>6774</v>
      </c>
      <c r="S1347" s="335">
        <v>43830</v>
      </c>
    </row>
    <row r="1348" spans="1:34" s="41" customFormat="1" ht="31.5">
      <c r="A1348" s="107">
        <f t="shared" si="379"/>
        <v>6</v>
      </c>
      <c r="B1348" s="145" t="s">
        <v>398</v>
      </c>
      <c r="C1348" s="131">
        <v>1954</v>
      </c>
      <c r="D1348" s="132"/>
      <c r="E1348" s="109" t="s">
        <v>218</v>
      </c>
      <c r="F1348" s="131">
        <v>2</v>
      </c>
      <c r="G1348" s="132">
        <v>2</v>
      </c>
      <c r="H1348" s="141">
        <v>922.3</v>
      </c>
      <c r="I1348" s="142">
        <v>862.3</v>
      </c>
      <c r="J1348" s="142">
        <v>862.3</v>
      </c>
      <c r="K1348" s="123">
        <v>31</v>
      </c>
      <c r="L1348" s="113">
        <v>1963797</v>
      </c>
      <c r="M1348" s="113">
        <v>0</v>
      </c>
      <c r="N1348" s="113">
        <v>0</v>
      </c>
      <c r="O1348" s="113">
        <f t="shared" si="378"/>
        <v>1963797</v>
      </c>
      <c r="P1348" s="113">
        <v>0</v>
      </c>
      <c r="Q1348" s="144">
        <f xml:space="preserve"> L1348/I1348</f>
        <v>2277.3941783601995</v>
      </c>
      <c r="R1348" s="114">
        <v>6774</v>
      </c>
      <c r="S1348" s="335">
        <v>43830</v>
      </c>
    </row>
    <row r="1349" spans="1:34" s="42" customFormat="1" ht="31.5">
      <c r="A1349" s="107">
        <f t="shared" si="379"/>
        <v>7</v>
      </c>
      <c r="B1349" s="145" t="s">
        <v>399</v>
      </c>
      <c r="C1349" s="131">
        <v>1961</v>
      </c>
      <c r="D1349" s="132"/>
      <c r="E1349" s="109" t="s">
        <v>218</v>
      </c>
      <c r="F1349" s="131">
        <v>4</v>
      </c>
      <c r="G1349" s="132">
        <v>4</v>
      </c>
      <c r="H1349" s="133">
        <v>2386.6</v>
      </c>
      <c r="I1349" s="125">
        <v>2260.4</v>
      </c>
      <c r="J1349" s="125">
        <v>2024.9</v>
      </c>
      <c r="K1349" s="123">
        <v>66</v>
      </c>
      <c r="L1349" s="113">
        <v>2119530</v>
      </c>
      <c r="M1349" s="113">
        <v>0</v>
      </c>
      <c r="N1349" s="113">
        <v>0</v>
      </c>
      <c r="O1349" s="113">
        <f t="shared" si="378"/>
        <v>2119530</v>
      </c>
      <c r="P1349" s="113">
        <v>0</v>
      </c>
      <c r="Q1349" s="144">
        <f t="shared" ref="Q1349:Q1356" si="380">L1349/I1349</f>
        <v>937.67917182799499</v>
      </c>
      <c r="R1349" s="114">
        <v>6774</v>
      </c>
      <c r="S1349" s="335">
        <v>43830</v>
      </c>
    </row>
    <row r="1350" spans="1:34" s="42" customFormat="1" ht="31.5">
      <c r="A1350" s="107">
        <f t="shared" si="379"/>
        <v>8</v>
      </c>
      <c r="B1350" s="130" t="s">
        <v>403</v>
      </c>
      <c r="C1350" s="131">
        <v>1956</v>
      </c>
      <c r="D1350" s="132"/>
      <c r="E1350" s="109" t="s">
        <v>218</v>
      </c>
      <c r="F1350" s="131">
        <v>2</v>
      </c>
      <c r="G1350" s="132">
        <v>2</v>
      </c>
      <c r="H1350" s="149">
        <v>833.9</v>
      </c>
      <c r="I1350" s="142">
        <v>785.9</v>
      </c>
      <c r="J1350" s="142">
        <v>675</v>
      </c>
      <c r="K1350" s="143">
        <v>32</v>
      </c>
      <c r="L1350" s="113">
        <v>1098163</v>
      </c>
      <c r="M1350" s="113">
        <v>0</v>
      </c>
      <c r="N1350" s="113">
        <v>0</v>
      </c>
      <c r="O1350" s="113">
        <f t="shared" si="378"/>
        <v>1098163</v>
      </c>
      <c r="P1350" s="113">
        <v>0</v>
      </c>
      <c r="Q1350" s="144">
        <f t="shared" si="380"/>
        <v>1397.3317215930781</v>
      </c>
      <c r="R1350" s="114">
        <v>6774</v>
      </c>
      <c r="S1350" s="335">
        <v>43830</v>
      </c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</row>
    <row r="1351" spans="1:34" s="42" customFormat="1" ht="31.5">
      <c r="A1351" s="107">
        <f t="shared" si="379"/>
        <v>9</v>
      </c>
      <c r="B1351" s="130" t="s">
        <v>404</v>
      </c>
      <c r="C1351" s="131">
        <v>1959</v>
      </c>
      <c r="D1351" s="132"/>
      <c r="E1351" s="109" t="s">
        <v>218</v>
      </c>
      <c r="F1351" s="131">
        <v>2</v>
      </c>
      <c r="G1351" s="132">
        <v>3</v>
      </c>
      <c r="H1351" s="150">
        <v>640.5</v>
      </c>
      <c r="I1351" s="147">
        <v>621.79999999999995</v>
      </c>
      <c r="J1351" s="147">
        <v>490.9</v>
      </c>
      <c r="K1351" s="143">
        <v>35</v>
      </c>
      <c r="L1351" s="113">
        <v>1241309</v>
      </c>
      <c r="M1351" s="113">
        <v>0</v>
      </c>
      <c r="N1351" s="113">
        <v>0</v>
      </c>
      <c r="O1351" s="113">
        <f t="shared" si="378"/>
        <v>1241309</v>
      </c>
      <c r="P1351" s="113">
        <v>0</v>
      </c>
      <c r="Q1351" s="144">
        <f t="shared" si="380"/>
        <v>1996.3155355419751</v>
      </c>
      <c r="R1351" s="114">
        <v>6774</v>
      </c>
      <c r="S1351" s="335">
        <v>43830</v>
      </c>
      <c r="T1351" s="41"/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F1351" s="41"/>
      <c r="AG1351" s="41"/>
      <c r="AH1351" s="41"/>
    </row>
    <row r="1352" spans="1:34" s="42" customFormat="1" ht="31.5">
      <c r="A1352" s="107">
        <f t="shared" si="379"/>
        <v>10</v>
      </c>
      <c r="B1352" s="130" t="s">
        <v>400</v>
      </c>
      <c r="C1352" s="131">
        <v>1960</v>
      </c>
      <c r="D1352" s="132"/>
      <c r="E1352" s="109" t="s">
        <v>218</v>
      </c>
      <c r="F1352" s="131">
        <v>2</v>
      </c>
      <c r="G1352" s="132">
        <v>2</v>
      </c>
      <c r="H1352" s="141">
        <v>504.1</v>
      </c>
      <c r="I1352" s="142">
        <v>445.3</v>
      </c>
      <c r="J1352" s="142">
        <v>373.3</v>
      </c>
      <c r="K1352" s="143">
        <v>24</v>
      </c>
      <c r="L1352" s="113">
        <v>1041360</v>
      </c>
      <c r="M1352" s="113">
        <v>0</v>
      </c>
      <c r="N1352" s="113">
        <v>0</v>
      </c>
      <c r="O1352" s="113">
        <f t="shared" si="378"/>
        <v>1041360</v>
      </c>
      <c r="P1352" s="113">
        <v>0</v>
      </c>
      <c r="Q1352" s="144">
        <f t="shared" si="380"/>
        <v>2338.5582753200088</v>
      </c>
      <c r="R1352" s="114">
        <v>6774</v>
      </c>
      <c r="S1352" s="335">
        <v>43830</v>
      </c>
    </row>
    <row r="1353" spans="1:34" s="44" customFormat="1" ht="31.5">
      <c r="A1353" s="107">
        <f>A1352+1</f>
        <v>11</v>
      </c>
      <c r="B1353" s="130" t="s">
        <v>401</v>
      </c>
      <c r="C1353" s="131">
        <v>1961</v>
      </c>
      <c r="D1353" s="132"/>
      <c r="E1353" s="109" t="s">
        <v>218</v>
      </c>
      <c r="F1353" s="131">
        <v>2</v>
      </c>
      <c r="G1353" s="132">
        <v>2</v>
      </c>
      <c r="H1353" s="141">
        <v>506.2</v>
      </c>
      <c r="I1353" s="142">
        <v>447.4</v>
      </c>
      <c r="J1353" s="142">
        <f>I1353</f>
        <v>447.4</v>
      </c>
      <c r="K1353" s="143">
        <v>18</v>
      </c>
      <c r="L1353" s="113">
        <v>1138866</v>
      </c>
      <c r="M1353" s="113">
        <v>0</v>
      </c>
      <c r="N1353" s="113">
        <v>0</v>
      </c>
      <c r="O1353" s="113">
        <f t="shared" si="378"/>
        <v>1138866</v>
      </c>
      <c r="P1353" s="113">
        <v>0</v>
      </c>
      <c r="Q1353" s="144">
        <f t="shared" si="380"/>
        <v>2545.5207867679928</v>
      </c>
      <c r="R1353" s="114">
        <v>6774</v>
      </c>
      <c r="S1353" s="335">
        <v>43830</v>
      </c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  <c r="AE1353" s="42"/>
      <c r="AF1353" s="42"/>
      <c r="AG1353" s="42"/>
      <c r="AH1353" s="42"/>
    </row>
    <row r="1354" spans="1:34" s="41" customFormat="1" ht="31.5">
      <c r="A1354" s="107">
        <f>A1353+1</f>
        <v>12</v>
      </c>
      <c r="B1354" s="145" t="s">
        <v>394</v>
      </c>
      <c r="C1354" s="131">
        <v>1966</v>
      </c>
      <c r="D1354" s="132"/>
      <c r="E1354" s="109" t="s">
        <v>218</v>
      </c>
      <c r="F1354" s="131">
        <v>2</v>
      </c>
      <c r="G1354" s="132">
        <v>2</v>
      </c>
      <c r="H1354" s="141">
        <v>482.5</v>
      </c>
      <c r="I1354" s="142">
        <v>454.1</v>
      </c>
      <c r="J1354" s="142">
        <v>370.7</v>
      </c>
      <c r="K1354" s="123">
        <v>31</v>
      </c>
      <c r="L1354" s="113">
        <v>848546</v>
      </c>
      <c r="M1354" s="113">
        <v>0</v>
      </c>
      <c r="N1354" s="113">
        <v>0</v>
      </c>
      <c r="O1354" s="113">
        <f t="shared" si="378"/>
        <v>848546</v>
      </c>
      <c r="P1354" s="113">
        <v>0</v>
      </c>
      <c r="Q1354" s="144">
        <f t="shared" si="380"/>
        <v>1868.6324598106144</v>
      </c>
      <c r="R1354" s="114">
        <v>6774</v>
      </c>
      <c r="S1354" s="335">
        <v>43830</v>
      </c>
    </row>
    <row r="1355" spans="1:34" s="41" customFormat="1" ht="31.5">
      <c r="A1355" s="107">
        <f>A1354+1</f>
        <v>13</v>
      </c>
      <c r="B1355" s="145" t="s">
        <v>395</v>
      </c>
      <c r="C1355" s="131">
        <v>1969</v>
      </c>
      <c r="D1355" s="132"/>
      <c r="E1355" s="109" t="s">
        <v>218</v>
      </c>
      <c r="F1355" s="131">
        <v>2</v>
      </c>
      <c r="G1355" s="132">
        <v>2</v>
      </c>
      <c r="H1355" s="141">
        <v>502.6</v>
      </c>
      <c r="I1355" s="151">
        <v>471</v>
      </c>
      <c r="J1355" s="142">
        <v>423.8</v>
      </c>
      <c r="K1355" s="123">
        <v>21</v>
      </c>
      <c r="L1355" s="113">
        <v>848706</v>
      </c>
      <c r="M1355" s="113">
        <v>0</v>
      </c>
      <c r="N1355" s="113">
        <v>0</v>
      </c>
      <c r="O1355" s="113">
        <f t="shared" si="378"/>
        <v>848706</v>
      </c>
      <c r="P1355" s="113">
        <v>0</v>
      </c>
      <c r="Q1355" s="144">
        <f t="shared" si="380"/>
        <v>1801.9235668789809</v>
      </c>
      <c r="R1355" s="114">
        <v>6774</v>
      </c>
      <c r="S1355" s="335">
        <v>43830</v>
      </c>
    </row>
    <row r="1356" spans="1:34" s="41" customFormat="1" ht="31.5">
      <c r="A1356" s="107">
        <f>A1355+1</f>
        <v>14</v>
      </c>
      <c r="B1356" s="145" t="s">
        <v>396</v>
      </c>
      <c r="C1356" s="131">
        <v>1973</v>
      </c>
      <c r="D1356" s="132"/>
      <c r="E1356" s="109" t="s">
        <v>218</v>
      </c>
      <c r="F1356" s="131">
        <v>2</v>
      </c>
      <c r="G1356" s="132">
        <v>2</v>
      </c>
      <c r="H1356" s="141">
        <v>789.5</v>
      </c>
      <c r="I1356" s="142">
        <v>729.5</v>
      </c>
      <c r="J1356" s="142">
        <v>670.1</v>
      </c>
      <c r="K1356" s="123">
        <v>39</v>
      </c>
      <c r="L1356" s="113">
        <v>1180083</v>
      </c>
      <c r="M1356" s="113">
        <v>0</v>
      </c>
      <c r="N1356" s="113">
        <v>0</v>
      </c>
      <c r="O1356" s="113">
        <f t="shared" si="378"/>
        <v>1180083</v>
      </c>
      <c r="P1356" s="113">
        <v>0</v>
      </c>
      <c r="Q1356" s="144">
        <f t="shared" si="380"/>
        <v>1617.6600411240577</v>
      </c>
      <c r="R1356" s="114">
        <v>6774</v>
      </c>
      <c r="S1356" s="335">
        <v>43830</v>
      </c>
    </row>
    <row r="1357" spans="1:34" s="42" customFormat="1" ht="15.75" customHeight="1">
      <c r="A1357" s="107"/>
      <c r="B1357" s="1329" t="s">
        <v>210</v>
      </c>
      <c r="C1357" s="1329"/>
      <c r="D1357" s="1329"/>
      <c r="E1357" s="1329"/>
      <c r="F1357" s="1329"/>
      <c r="G1357" s="1329"/>
      <c r="H1357" s="106">
        <f>H1358+H1359</f>
        <v>3058</v>
      </c>
      <c r="I1357" s="106">
        <f t="shared" ref="I1357:P1357" si="381">I1358+I1359</f>
        <v>2708.7</v>
      </c>
      <c r="J1357" s="106">
        <f t="shared" si="381"/>
        <v>2585.9</v>
      </c>
      <c r="K1357" s="119">
        <f t="shared" si="381"/>
        <v>118</v>
      </c>
      <c r="L1357" s="113">
        <f t="shared" si="381"/>
        <v>2336158</v>
      </c>
      <c r="M1357" s="113">
        <f t="shared" si="381"/>
        <v>0</v>
      </c>
      <c r="N1357" s="113">
        <f t="shared" si="381"/>
        <v>1400000</v>
      </c>
      <c r="O1357" s="113">
        <f t="shared" si="381"/>
        <v>936158</v>
      </c>
      <c r="P1357" s="113">
        <f t="shared" si="381"/>
        <v>0</v>
      </c>
      <c r="Q1357" s="106" t="s">
        <v>40</v>
      </c>
      <c r="R1357" s="106" t="s">
        <v>40</v>
      </c>
      <c r="S1357" s="335">
        <v>43830</v>
      </c>
    </row>
    <row r="1358" spans="1:34" s="42" customFormat="1" ht="16.5" customHeight="1">
      <c r="A1358" s="107">
        <f>A1356+1</f>
        <v>15</v>
      </c>
      <c r="B1358" s="140" t="s">
        <v>407</v>
      </c>
      <c r="C1358" s="132">
        <v>1986</v>
      </c>
      <c r="D1358" s="132"/>
      <c r="E1358" s="109" t="s">
        <v>222</v>
      </c>
      <c r="F1358" s="131">
        <v>3</v>
      </c>
      <c r="G1358" s="132">
        <v>3</v>
      </c>
      <c r="H1358" s="152">
        <v>1529</v>
      </c>
      <c r="I1358" s="153">
        <v>1345.2</v>
      </c>
      <c r="J1358" s="153">
        <v>1345.2</v>
      </c>
      <c r="K1358" s="143">
        <v>60</v>
      </c>
      <c r="L1358" s="113">
        <f>O1358+N1358</f>
        <v>1168079</v>
      </c>
      <c r="M1358" s="113">
        <v>0</v>
      </c>
      <c r="N1358" s="113">
        <v>700000</v>
      </c>
      <c r="O1358" s="113">
        <v>468079</v>
      </c>
      <c r="P1358" s="113">
        <v>0</v>
      </c>
      <c r="Q1358" s="144">
        <f>L1358/I1358</f>
        <v>868.33110318168303</v>
      </c>
      <c r="R1358" s="114">
        <v>6774</v>
      </c>
      <c r="S1358" s="335">
        <v>43830</v>
      </c>
    </row>
    <row r="1359" spans="1:34" s="42" customFormat="1" ht="18" customHeight="1">
      <c r="A1359" s="107">
        <f>A1358+1</f>
        <v>16</v>
      </c>
      <c r="B1359" s="140" t="s">
        <v>408</v>
      </c>
      <c r="C1359" s="132">
        <v>1986</v>
      </c>
      <c r="D1359" s="132"/>
      <c r="E1359" s="109" t="s">
        <v>222</v>
      </c>
      <c r="F1359" s="131">
        <v>3</v>
      </c>
      <c r="G1359" s="132">
        <v>3</v>
      </c>
      <c r="H1359" s="152">
        <v>1529</v>
      </c>
      <c r="I1359" s="153">
        <v>1363.5</v>
      </c>
      <c r="J1359" s="153">
        <v>1240.7</v>
      </c>
      <c r="K1359" s="143">
        <v>58</v>
      </c>
      <c r="L1359" s="113">
        <f>O1359+N1359</f>
        <v>1168079</v>
      </c>
      <c r="M1359" s="113">
        <v>0</v>
      </c>
      <c r="N1359" s="113">
        <v>700000</v>
      </c>
      <c r="O1359" s="113">
        <v>468079</v>
      </c>
      <c r="P1359" s="113">
        <v>0</v>
      </c>
      <c r="Q1359" s="144">
        <f>L1359/I1359</f>
        <v>856.67693436010268</v>
      </c>
      <c r="R1359" s="114">
        <v>6774</v>
      </c>
      <c r="S1359" s="335">
        <v>43830</v>
      </c>
    </row>
    <row r="1360" spans="1:34" s="1" customFormat="1" ht="15.75">
      <c r="A1360" s="107"/>
      <c r="B1360" s="1336" t="s">
        <v>44</v>
      </c>
      <c r="C1360" s="1336"/>
      <c r="D1360" s="1336"/>
      <c r="E1360" s="1336"/>
      <c r="F1360" s="1336"/>
      <c r="G1360" s="1336"/>
      <c r="H1360" s="128">
        <f>H1361</f>
        <v>518.5</v>
      </c>
      <c r="I1360" s="106">
        <f t="shared" ref="I1360:P1361" si="382">I1361</f>
        <v>518.5</v>
      </c>
      <c r="J1360" s="106">
        <f t="shared" si="382"/>
        <v>298.10000000000002</v>
      </c>
      <c r="K1360" s="119">
        <f t="shared" si="382"/>
        <v>27</v>
      </c>
      <c r="L1360" s="113">
        <f>L1361</f>
        <v>906976</v>
      </c>
      <c r="M1360" s="113">
        <f t="shared" si="382"/>
        <v>0</v>
      </c>
      <c r="N1360" s="113">
        <f t="shared" si="382"/>
        <v>0</v>
      </c>
      <c r="O1360" s="113">
        <f t="shared" si="382"/>
        <v>906976</v>
      </c>
      <c r="P1360" s="113">
        <f t="shared" si="382"/>
        <v>0</v>
      </c>
      <c r="Q1360" s="106" t="s">
        <v>40</v>
      </c>
      <c r="R1360" s="114" t="s">
        <v>40</v>
      </c>
      <c r="S1360" s="335">
        <v>43830</v>
      </c>
    </row>
    <row r="1361" spans="1:19" s="1" customFormat="1" ht="15.75" customHeight="1">
      <c r="A1361" s="107"/>
      <c r="B1361" s="1329" t="s">
        <v>435</v>
      </c>
      <c r="C1361" s="1329"/>
      <c r="D1361" s="1329"/>
      <c r="E1361" s="1329"/>
      <c r="F1361" s="1329"/>
      <c r="G1361" s="1329"/>
      <c r="H1361" s="128">
        <f>H1362</f>
        <v>518.5</v>
      </c>
      <c r="I1361" s="128">
        <f t="shared" si="382"/>
        <v>518.5</v>
      </c>
      <c r="J1361" s="128">
        <f t="shared" si="382"/>
        <v>298.10000000000002</v>
      </c>
      <c r="K1361" s="128">
        <f t="shared" si="382"/>
        <v>27</v>
      </c>
      <c r="L1361" s="565">
        <f t="shared" si="382"/>
        <v>906976</v>
      </c>
      <c r="M1361" s="565">
        <f t="shared" si="382"/>
        <v>0</v>
      </c>
      <c r="N1361" s="565">
        <f t="shared" si="382"/>
        <v>0</v>
      </c>
      <c r="O1361" s="565">
        <f t="shared" si="382"/>
        <v>906976</v>
      </c>
      <c r="P1361" s="565">
        <f t="shared" si="382"/>
        <v>0</v>
      </c>
      <c r="Q1361" s="106" t="s">
        <v>40</v>
      </c>
      <c r="R1361" s="106" t="s">
        <v>40</v>
      </c>
      <c r="S1361" s="335">
        <v>43830</v>
      </c>
    </row>
    <row r="1362" spans="1:19" s="1" customFormat="1" ht="31.5">
      <c r="A1362" s="327"/>
      <c r="B1362" s="338" t="s">
        <v>768</v>
      </c>
      <c r="C1362" s="327">
        <v>1967</v>
      </c>
      <c r="D1362" s="329"/>
      <c r="E1362" s="330" t="s">
        <v>218</v>
      </c>
      <c r="F1362" s="329">
        <v>2</v>
      </c>
      <c r="G1362" s="329">
        <v>2</v>
      </c>
      <c r="H1362" s="331">
        <v>518.5</v>
      </c>
      <c r="I1362" s="329">
        <v>518.5</v>
      </c>
      <c r="J1362" s="329">
        <v>298.10000000000002</v>
      </c>
      <c r="K1362" s="332">
        <v>27</v>
      </c>
      <c r="L1362" s="333">
        <v>906976</v>
      </c>
      <c r="M1362" s="333">
        <v>0</v>
      </c>
      <c r="N1362" s="333">
        <v>0</v>
      </c>
      <c r="O1362" s="333">
        <v>906976</v>
      </c>
      <c r="P1362" s="333">
        <v>0</v>
      </c>
      <c r="Q1362" s="664">
        <f>L1362/I1362</f>
        <v>1749.2304725168756</v>
      </c>
      <c r="R1362" s="334">
        <v>7920</v>
      </c>
      <c r="S1362" s="335">
        <v>43830</v>
      </c>
    </row>
    <row r="1363" spans="1:19" s="1" customFormat="1" ht="15.75">
      <c r="A1363" s="327"/>
      <c r="B1363" s="338"/>
      <c r="C1363" s="329"/>
      <c r="D1363" s="329"/>
      <c r="E1363" s="330"/>
      <c r="F1363" s="329"/>
      <c r="G1363" s="329"/>
      <c r="H1363" s="331"/>
      <c r="I1363" s="329"/>
      <c r="J1363" s="329"/>
      <c r="K1363" s="332"/>
      <c r="L1363" s="333"/>
      <c r="M1363" s="333"/>
      <c r="N1363" s="333"/>
      <c r="O1363" s="333"/>
      <c r="P1363" s="333"/>
      <c r="Q1363" s="334"/>
      <c r="R1363" s="334"/>
      <c r="S1363" s="335">
        <v>43830</v>
      </c>
    </row>
    <row r="1364" spans="1:19" s="1" customFormat="1" ht="21.6" customHeight="1">
      <c r="A1364" s="107"/>
      <c r="B1364" s="1336" t="s">
        <v>45</v>
      </c>
      <c r="C1364" s="1336"/>
      <c r="D1364" s="1336"/>
      <c r="E1364" s="1336"/>
      <c r="F1364" s="1336"/>
      <c r="G1364" s="1336"/>
      <c r="H1364" s="128">
        <f>H1365+H1367+H1369+H1372+H1373+H1375+H1377</f>
        <v>11088.41</v>
      </c>
      <c r="I1364" s="128">
        <f t="shared" ref="I1364:P1364" si="383">I1365+I1367+I1369+I1372+I1373+I1375+I1377</f>
        <v>9212.02</v>
      </c>
      <c r="J1364" s="128">
        <f t="shared" si="383"/>
        <v>7783.04</v>
      </c>
      <c r="K1364" s="128">
        <f t="shared" si="383"/>
        <v>381</v>
      </c>
      <c r="L1364" s="565">
        <f t="shared" si="383"/>
        <v>11109566</v>
      </c>
      <c r="M1364" s="565">
        <f t="shared" si="383"/>
        <v>0</v>
      </c>
      <c r="N1364" s="565">
        <f t="shared" si="383"/>
        <v>0</v>
      </c>
      <c r="O1364" s="565">
        <f t="shared" si="383"/>
        <v>11109566</v>
      </c>
      <c r="P1364" s="565">
        <f t="shared" si="383"/>
        <v>0</v>
      </c>
      <c r="Q1364" s="106" t="s">
        <v>40</v>
      </c>
      <c r="R1364" s="114" t="s">
        <v>40</v>
      </c>
      <c r="S1364" s="335">
        <v>43830</v>
      </c>
    </row>
    <row r="1365" spans="1:19" s="1" customFormat="1" ht="15.75">
      <c r="A1365" s="327"/>
      <c r="B1365" s="1338" t="s">
        <v>98</v>
      </c>
      <c r="C1365" s="1338"/>
      <c r="D1365" s="1338"/>
      <c r="E1365" s="1338"/>
      <c r="F1365" s="1338"/>
      <c r="G1365" s="1338"/>
      <c r="H1365" s="353">
        <f>H1366</f>
        <v>3642.1</v>
      </c>
      <c r="I1365" s="353">
        <f t="shared" ref="I1365:P1365" si="384">I1366</f>
        <v>3274.61</v>
      </c>
      <c r="J1365" s="353">
        <f t="shared" si="384"/>
        <v>3121.61</v>
      </c>
      <c r="K1365" s="353">
        <f t="shared" si="384"/>
        <v>158</v>
      </c>
      <c r="L1365" s="708">
        <f t="shared" si="384"/>
        <v>2377747</v>
      </c>
      <c r="M1365" s="708">
        <f t="shared" si="384"/>
        <v>0</v>
      </c>
      <c r="N1365" s="708">
        <f t="shared" si="384"/>
        <v>0</v>
      </c>
      <c r="O1365" s="708">
        <f t="shared" si="384"/>
        <v>2377747</v>
      </c>
      <c r="P1365" s="708">
        <f t="shared" si="384"/>
        <v>0</v>
      </c>
      <c r="Q1365" s="356" t="s">
        <v>40</v>
      </c>
      <c r="R1365" s="356" t="s">
        <v>40</v>
      </c>
      <c r="S1365" s="335">
        <v>43830</v>
      </c>
    </row>
    <row r="1366" spans="1:19" s="1" customFormat="1" ht="31.5">
      <c r="A1366" s="327">
        <f>A1363+1</f>
        <v>1</v>
      </c>
      <c r="B1366" s="576" t="s">
        <v>798</v>
      </c>
      <c r="C1366" s="327">
        <v>1970</v>
      </c>
      <c r="D1366" s="329"/>
      <c r="E1366" s="330" t="s">
        <v>218</v>
      </c>
      <c r="F1366" s="577">
        <v>5</v>
      </c>
      <c r="G1366" s="577">
        <v>4</v>
      </c>
      <c r="H1366" s="574">
        <v>3642.1</v>
      </c>
      <c r="I1366" s="578">
        <v>3274.61</v>
      </c>
      <c r="J1366" s="579">
        <v>3121.61</v>
      </c>
      <c r="K1366" s="580">
        <v>158</v>
      </c>
      <c r="L1366" s="333">
        <v>2377747</v>
      </c>
      <c r="M1366" s="333">
        <v>0</v>
      </c>
      <c r="N1366" s="333">
        <v>0</v>
      </c>
      <c r="O1366" s="333">
        <v>2377747</v>
      </c>
      <c r="P1366" s="333">
        <f>SUM(P1372:P1372)</f>
        <v>0</v>
      </c>
      <c r="Q1366" s="334">
        <f>L1366/I1366</f>
        <v>726.11608710655617</v>
      </c>
      <c r="R1366" s="334">
        <v>7920</v>
      </c>
      <c r="S1366" s="335">
        <v>43830</v>
      </c>
    </row>
    <row r="1367" spans="1:19" s="1" customFormat="1" ht="18" customHeight="1">
      <c r="A1367" s="327"/>
      <c r="B1367" s="1338" t="s">
        <v>688</v>
      </c>
      <c r="C1367" s="1338"/>
      <c r="D1367" s="1338"/>
      <c r="E1367" s="1338"/>
      <c r="F1367" s="1338"/>
      <c r="G1367" s="1338"/>
      <c r="H1367" s="574">
        <f>H1368</f>
        <v>489.41</v>
      </c>
      <c r="I1367" s="574">
        <f t="shared" ref="I1367:P1367" si="385">I1368</f>
        <v>489.41</v>
      </c>
      <c r="J1367" s="574">
        <f t="shared" si="385"/>
        <v>317</v>
      </c>
      <c r="K1367" s="574">
        <f t="shared" si="385"/>
        <v>20</v>
      </c>
      <c r="L1367" s="575">
        <f t="shared" si="385"/>
        <v>901450</v>
      </c>
      <c r="M1367" s="575">
        <f t="shared" si="385"/>
        <v>0</v>
      </c>
      <c r="N1367" s="575">
        <f t="shared" si="385"/>
        <v>0</v>
      </c>
      <c r="O1367" s="575">
        <f t="shared" si="385"/>
        <v>901450</v>
      </c>
      <c r="P1367" s="575">
        <f t="shared" si="385"/>
        <v>0</v>
      </c>
      <c r="Q1367" s="356" t="s">
        <v>40</v>
      </c>
      <c r="R1367" s="334" t="s">
        <v>40</v>
      </c>
      <c r="S1367" s="335">
        <v>43830</v>
      </c>
    </row>
    <row r="1368" spans="1:19" s="1" customFormat="1" ht="37.15" customHeight="1">
      <c r="A1368" s="327"/>
      <c r="B1368" s="576" t="s">
        <v>691</v>
      </c>
      <c r="C1368" s="327">
        <v>1960</v>
      </c>
      <c r="D1368" s="329"/>
      <c r="E1368" s="330" t="s">
        <v>218</v>
      </c>
      <c r="F1368" s="577">
        <v>2</v>
      </c>
      <c r="G1368" s="577">
        <v>3</v>
      </c>
      <c r="H1368" s="574">
        <v>489.41</v>
      </c>
      <c r="I1368" s="578">
        <v>489.41</v>
      </c>
      <c r="J1368" s="579">
        <v>317</v>
      </c>
      <c r="K1368" s="580">
        <v>20</v>
      </c>
      <c r="L1368" s="333">
        <v>901450</v>
      </c>
      <c r="M1368" s="333">
        <v>0</v>
      </c>
      <c r="N1368" s="333">
        <v>0</v>
      </c>
      <c r="O1368" s="333">
        <v>901450</v>
      </c>
      <c r="P1368" s="333">
        <v>0</v>
      </c>
      <c r="Q1368" s="334">
        <f t="shared" ref="Q1368" si="386">L1368/I1368</f>
        <v>1841.911689585419</v>
      </c>
      <c r="R1368" s="334">
        <v>7920</v>
      </c>
      <c r="S1368" s="335">
        <v>43830</v>
      </c>
    </row>
    <row r="1369" spans="1:19" s="1" customFormat="1" ht="15.75">
      <c r="A1369" s="327"/>
      <c r="B1369" s="1338" t="s">
        <v>99</v>
      </c>
      <c r="C1369" s="1338"/>
      <c r="D1369" s="1338"/>
      <c r="E1369" s="1338"/>
      <c r="F1369" s="1338"/>
      <c r="G1369" s="1338"/>
      <c r="H1369" s="353">
        <f>SUM(H1370:H1371)</f>
        <v>1025.3</v>
      </c>
      <c r="I1369" s="356">
        <f t="shared" ref="I1369:P1369" si="387">SUM(I1370:I1371)</f>
        <v>941.9</v>
      </c>
      <c r="J1369" s="356">
        <f t="shared" si="387"/>
        <v>830.5</v>
      </c>
      <c r="K1369" s="355">
        <f t="shared" si="387"/>
        <v>34</v>
      </c>
      <c r="L1369" s="333">
        <f t="shared" si="387"/>
        <v>1696092</v>
      </c>
      <c r="M1369" s="333">
        <f t="shared" si="387"/>
        <v>0</v>
      </c>
      <c r="N1369" s="333">
        <f t="shared" si="387"/>
        <v>0</v>
      </c>
      <c r="O1369" s="333">
        <f t="shared" si="387"/>
        <v>1696092</v>
      </c>
      <c r="P1369" s="333">
        <f t="shared" si="387"/>
        <v>0</v>
      </c>
      <c r="Q1369" s="356" t="s">
        <v>40</v>
      </c>
      <c r="R1369" s="356" t="s">
        <v>40</v>
      </c>
      <c r="S1369" s="335">
        <v>43830</v>
      </c>
    </row>
    <row r="1370" spans="1:19" s="20" customFormat="1" ht="31.5">
      <c r="A1370" s="327" t="e">
        <f>#REF!+1</f>
        <v>#REF!</v>
      </c>
      <c r="B1370" s="705" t="s">
        <v>801</v>
      </c>
      <c r="C1370" s="367">
        <v>1967</v>
      </c>
      <c r="D1370" s="367"/>
      <c r="E1370" s="330" t="s">
        <v>218</v>
      </c>
      <c r="F1370" s="367">
        <v>2</v>
      </c>
      <c r="G1370" s="367">
        <v>2</v>
      </c>
      <c r="H1370" s="368">
        <v>523.9</v>
      </c>
      <c r="I1370" s="713">
        <v>470.7</v>
      </c>
      <c r="J1370" s="713">
        <v>433.4</v>
      </c>
      <c r="K1370" s="370">
        <v>13</v>
      </c>
      <c r="L1370" s="333">
        <v>851963</v>
      </c>
      <c r="M1370" s="333">
        <v>0</v>
      </c>
      <c r="N1370" s="333">
        <v>0</v>
      </c>
      <c r="O1370" s="333">
        <f>L1370</f>
        <v>851963</v>
      </c>
      <c r="P1370" s="333">
        <v>0</v>
      </c>
      <c r="Q1370" s="371">
        <f>L1370/I1370</f>
        <v>1809.9915020182707</v>
      </c>
      <c r="R1370" s="334">
        <v>7920</v>
      </c>
      <c r="S1370" s="335">
        <v>43830</v>
      </c>
    </row>
    <row r="1371" spans="1:19" s="20" customFormat="1" ht="31.5">
      <c r="A1371" s="327" t="e">
        <f t="shared" si="379"/>
        <v>#REF!</v>
      </c>
      <c r="B1371" s="705" t="s">
        <v>802</v>
      </c>
      <c r="C1371" s="367">
        <v>1967</v>
      </c>
      <c r="D1371" s="367"/>
      <c r="E1371" s="330" t="s">
        <v>218</v>
      </c>
      <c r="F1371" s="367">
        <v>2</v>
      </c>
      <c r="G1371" s="367">
        <v>2</v>
      </c>
      <c r="H1371" s="368">
        <v>501.4</v>
      </c>
      <c r="I1371" s="713">
        <v>471.2</v>
      </c>
      <c r="J1371" s="713">
        <v>397.1</v>
      </c>
      <c r="K1371" s="370">
        <v>21</v>
      </c>
      <c r="L1371" s="333">
        <v>844129</v>
      </c>
      <c r="M1371" s="333">
        <v>0</v>
      </c>
      <c r="N1371" s="333">
        <v>0</v>
      </c>
      <c r="O1371" s="333">
        <f>L1371</f>
        <v>844129</v>
      </c>
      <c r="P1371" s="333">
        <v>0</v>
      </c>
      <c r="Q1371" s="371">
        <f>L1371/I1371</f>
        <v>1791.445246179966</v>
      </c>
      <c r="R1371" s="334">
        <v>7920</v>
      </c>
      <c r="S1371" s="335">
        <v>43830</v>
      </c>
    </row>
    <row r="1372" spans="1:19" s="1" customFormat="1" ht="24.6" customHeight="1">
      <c r="A1372" s="327"/>
      <c r="B1372" s="1347" t="s">
        <v>100</v>
      </c>
      <c r="C1372" s="1347"/>
      <c r="D1372" s="1347"/>
      <c r="E1372" s="1347"/>
      <c r="F1372" s="1347"/>
      <c r="G1372" s="1347"/>
      <c r="H1372" s="574">
        <v>0</v>
      </c>
      <c r="I1372" s="398">
        <v>0</v>
      </c>
      <c r="J1372" s="398">
        <v>0</v>
      </c>
      <c r="K1372" s="597">
        <v>0</v>
      </c>
      <c r="L1372" s="333">
        <v>0</v>
      </c>
      <c r="M1372" s="333">
        <v>0</v>
      </c>
      <c r="N1372" s="333">
        <v>0</v>
      </c>
      <c r="O1372" s="333">
        <v>0</v>
      </c>
      <c r="P1372" s="333">
        <v>0</v>
      </c>
      <c r="Q1372" s="334" t="s">
        <v>40</v>
      </c>
      <c r="R1372" s="334" t="s">
        <v>40</v>
      </c>
      <c r="S1372" s="335">
        <v>43830</v>
      </c>
    </row>
    <row r="1373" spans="1:19" s="1" customFormat="1" ht="15.75" customHeight="1">
      <c r="A1373" s="327"/>
      <c r="B1373" s="1330" t="s">
        <v>101</v>
      </c>
      <c r="C1373" s="1330"/>
      <c r="D1373" s="1330"/>
      <c r="E1373" s="1330"/>
      <c r="F1373" s="1330"/>
      <c r="G1373" s="1330"/>
      <c r="H1373" s="353">
        <f>H1374</f>
        <v>1472.1</v>
      </c>
      <c r="I1373" s="353">
        <f t="shared" ref="I1373:P1373" si="388">I1374</f>
        <v>872.9</v>
      </c>
      <c r="J1373" s="353">
        <f t="shared" si="388"/>
        <v>872.9</v>
      </c>
      <c r="K1373" s="353">
        <f t="shared" si="388"/>
        <v>29</v>
      </c>
      <c r="L1373" s="708">
        <f t="shared" si="388"/>
        <v>1648047</v>
      </c>
      <c r="M1373" s="708">
        <f t="shared" si="388"/>
        <v>0</v>
      </c>
      <c r="N1373" s="708">
        <f t="shared" si="388"/>
        <v>0</v>
      </c>
      <c r="O1373" s="708">
        <f t="shared" si="388"/>
        <v>1648047</v>
      </c>
      <c r="P1373" s="708">
        <f t="shared" si="388"/>
        <v>0</v>
      </c>
      <c r="Q1373" s="356" t="s">
        <v>40</v>
      </c>
      <c r="R1373" s="356" t="s">
        <v>40</v>
      </c>
      <c r="S1373" s="335">
        <v>43830</v>
      </c>
    </row>
    <row r="1374" spans="1:19" s="20" customFormat="1" ht="31.5">
      <c r="A1374" s="327" t="e">
        <f>#REF!+1</f>
        <v>#REF!</v>
      </c>
      <c r="B1374" s="872" t="s">
        <v>923</v>
      </c>
      <c r="C1374" s="367">
        <v>1984</v>
      </c>
      <c r="D1374" s="367"/>
      <c r="E1374" s="330" t="s">
        <v>218</v>
      </c>
      <c r="F1374" s="367">
        <v>2</v>
      </c>
      <c r="G1374" s="367">
        <v>3</v>
      </c>
      <c r="H1374" s="368">
        <v>1472.1</v>
      </c>
      <c r="I1374" s="371">
        <v>872.9</v>
      </c>
      <c r="J1374" s="371">
        <v>872.9</v>
      </c>
      <c r="K1374" s="370">
        <v>29</v>
      </c>
      <c r="L1374" s="333">
        <v>1648047</v>
      </c>
      <c r="M1374" s="333">
        <v>0</v>
      </c>
      <c r="N1374" s="333">
        <v>0</v>
      </c>
      <c r="O1374" s="333">
        <f>L1374</f>
        <v>1648047</v>
      </c>
      <c r="P1374" s="333">
        <v>0</v>
      </c>
      <c r="Q1374" s="371">
        <f>L1374/I1374</f>
        <v>1888.0135181578646</v>
      </c>
      <c r="R1374" s="334">
        <v>7920</v>
      </c>
      <c r="S1374" s="335">
        <v>43830</v>
      </c>
    </row>
    <row r="1375" spans="1:19" s="20" customFormat="1" ht="15.75" customHeight="1">
      <c r="A1375" s="327"/>
      <c r="B1375" s="1330" t="s">
        <v>126</v>
      </c>
      <c r="C1375" s="1330"/>
      <c r="D1375" s="1330"/>
      <c r="E1375" s="1330"/>
      <c r="F1375" s="1330"/>
      <c r="G1375" s="1330"/>
      <c r="H1375" s="368">
        <f>H1376</f>
        <v>874.2</v>
      </c>
      <c r="I1375" s="367">
        <f t="shared" ref="I1375:P1375" si="389">I1376</f>
        <v>874.2</v>
      </c>
      <c r="J1375" s="367">
        <f t="shared" si="389"/>
        <v>778.53</v>
      </c>
      <c r="K1375" s="370">
        <f t="shared" si="389"/>
        <v>33</v>
      </c>
      <c r="L1375" s="333">
        <f t="shared" si="389"/>
        <v>2577836</v>
      </c>
      <c r="M1375" s="333">
        <f t="shared" si="389"/>
        <v>0</v>
      </c>
      <c r="N1375" s="333">
        <f t="shared" si="389"/>
        <v>0</v>
      </c>
      <c r="O1375" s="333">
        <f t="shared" si="389"/>
        <v>2577836</v>
      </c>
      <c r="P1375" s="333">
        <f t="shared" si="389"/>
        <v>0</v>
      </c>
      <c r="Q1375" s="371" t="s">
        <v>40</v>
      </c>
      <c r="R1375" s="367" t="s">
        <v>40</v>
      </c>
      <c r="S1375" s="335">
        <v>43830</v>
      </c>
    </row>
    <row r="1376" spans="1:19" s="1" customFormat="1" ht="31.5">
      <c r="A1376" s="327" t="e">
        <f>#REF!+1</f>
        <v>#REF!</v>
      </c>
      <c r="B1376" s="621" t="s">
        <v>811</v>
      </c>
      <c r="C1376" s="327">
        <v>1984</v>
      </c>
      <c r="D1376" s="327"/>
      <c r="E1376" s="330" t="s">
        <v>218</v>
      </c>
      <c r="F1376" s="327">
        <v>2</v>
      </c>
      <c r="G1376" s="327">
        <v>3</v>
      </c>
      <c r="H1376" s="758">
        <v>874.2</v>
      </c>
      <c r="I1376" s="327">
        <v>874.2</v>
      </c>
      <c r="J1376" s="327">
        <v>778.53</v>
      </c>
      <c r="K1376" s="580">
        <v>33</v>
      </c>
      <c r="L1376" s="333">
        <v>2577836</v>
      </c>
      <c r="M1376" s="333">
        <v>0</v>
      </c>
      <c r="N1376" s="333">
        <v>0</v>
      </c>
      <c r="O1376" s="333">
        <v>2577836</v>
      </c>
      <c r="P1376" s="333">
        <v>0</v>
      </c>
      <c r="Q1376" s="371">
        <f>L1376/I1376</f>
        <v>2948.7943262411345</v>
      </c>
      <c r="R1376" s="334">
        <v>7920</v>
      </c>
      <c r="S1376" s="335">
        <v>43830</v>
      </c>
    </row>
    <row r="1377" spans="1:19" s="1" customFormat="1" ht="28.15" customHeight="1">
      <c r="A1377" s="327"/>
      <c r="B1377" s="1330" t="s">
        <v>861</v>
      </c>
      <c r="C1377" s="1330"/>
      <c r="D1377" s="1330"/>
      <c r="E1377" s="1330"/>
      <c r="F1377" s="1330"/>
      <c r="G1377" s="1330"/>
      <c r="H1377" s="758">
        <f>H1378</f>
        <v>3585.3</v>
      </c>
      <c r="I1377" s="758">
        <f t="shared" ref="I1377:P1377" si="390">I1378</f>
        <v>2759</v>
      </c>
      <c r="J1377" s="758">
        <f t="shared" si="390"/>
        <v>1862.5</v>
      </c>
      <c r="K1377" s="758">
        <f t="shared" si="390"/>
        <v>107</v>
      </c>
      <c r="L1377" s="873">
        <f t="shared" si="390"/>
        <v>1908394</v>
      </c>
      <c r="M1377" s="873">
        <f t="shared" si="390"/>
        <v>0</v>
      </c>
      <c r="N1377" s="873">
        <f t="shared" si="390"/>
        <v>0</v>
      </c>
      <c r="O1377" s="873">
        <f t="shared" si="390"/>
        <v>1908394</v>
      </c>
      <c r="P1377" s="873">
        <f t="shared" si="390"/>
        <v>0</v>
      </c>
      <c r="Q1377" s="356" t="s">
        <v>40</v>
      </c>
      <c r="R1377" s="334" t="s">
        <v>40</v>
      </c>
      <c r="S1377" s="335">
        <v>43830</v>
      </c>
    </row>
    <row r="1378" spans="1:19" s="1" customFormat="1" ht="30.6" customHeight="1">
      <c r="A1378" s="327"/>
      <c r="B1378" s="621" t="s">
        <v>862</v>
      </c>
      <c r="C1378" s="327">
        <v>1973</v>
      </c>
      <c r="D1378" s="327"/>
      <c r="E1378" s="330" t="s">
        <v>860</v>
      </c>
      <c r="F1378" s="327">
        <v>5</v>
      </c>
      <c r="G1378" s="327">
        <v>4</v>
      </c>
      <c r="H1378" s="758">
        <v>3585.3</v>
      </c>
      <c r="I1378" s="327">
        <v>2759</v>
      </c>
      <c r="J1378" s="327">
        <v>1862.5</v>
      </c>
      <c r="K1378" s="580">
        <v>107</v>
      </c>
      <c r="L1378" s="333">
        <v>1908394</v>
      </c>
      <c r="M1378" s="333">
        <v>0</v>
      </c>
      <c r="N1378" s="333">
        <v>0</v>
      </c>
      <c r="O1378" s="333">
        <v>1908394</v>
      </c>
      <c r="P1378" s="333">
        <v>0</v>
      </c>
      <c r="Q1378" s="371">
        <f t="shared" ref="Q1378" si="391">L1378/I1378</f>
        <v>691.69771656397245</v>
      </c>
      <c r="R1378" s="334">
        <v>7920</v>
      </c>
      <c r="S1378" s="335">
        <v>43830</v>
      </c>
    </row>
    <row r="1379" spans="1:19" s="1" customFormat="1" ht="15.75">
      <c r="A1379" s="107"/>
      <c r="B1379" s="1336" t="s">
        <v>46</v>
      </c>
      <c r="C1379" s="1336"/>
      <c r="D1379" s="1336"/>
      <c r="E1379" s="1336"/>
      <c r="F1379" s="1336"/>
      <c r="G1379" s="1336"/>
      <c r="H1379" s="128">
        <f>H1380</f>
        <v>466.2</v>
      </c>
      <c r="I1379" s="106">
        <f t="shared" ref="I1379:P1379" si="392">I1380</f>
        <v>417</v>
      </c>
      <c r="J1379" s="106">
        <f t="shared" si="392"/>
        <v>370.8</v>
      </c>
      <c r="K1379" s="119">
        <f t="shared" si="392"/>
        <v>17</v>
      </c>
      <c r="L1379" s="113">
        <f t="shared" si="392"/>
        <v>684446</v>
      </c>
      <c r="M1379" s="113">
        <f t="shared" si="392"/>
        <v>0</v>
      </c>
      <c r="N1379" s="113">
        <f t="shared" si="392"/>
        <v>0</v>
      </c>
      <c r="O1379" s="113">
        <f t="shared" si="392"/>
        <v>684446</v>
      </c>
      <c r="P1379" s="113">
        <f t="shared" si="392"/>
        <v>0</v>
      </c>
      <c r="Q1379" s="106" t="s">
        <v>40</v>
      </c>
      <c r="R1379" s="106" t="s">
        <v>40</v>
      </c>
      <c r="S1379" s="335">
        <v>43830</v>
      </c>
    </row>
    <row r="1380" spans="1:19" s="1" customFormat="1" ht="15.75">
      <c r="A1380" s="107"/>
      <c r="B1380" s="1336" t="s">
        <v>102</v>
      </c>
      <c r="C1380" s="1336"/>
      <c r="D1380" s="1336"/>
      <c r="E1380" s="1336"/>
      <c r="F1380" s="1336"/>
      <c r="G1380" s="1336"/>
      <c r="H1380" s="128">
        <f>H1381+H1382</f>
        <v>466.2</v>
      </c>
      <c r="I1380" s="106">
        <f t="shared" ref="I1380:N1380" si="393">I1381+I1382</f>
        <v>417</v>
      </c>
      <c r="J1380" s="106">
        <f t="shared" si="393"/>
        <v>370.8</v>
      </c>
      <c r="K1380" s="119">
        <f t="shared" si="393"/>
        <v>17</v>
      </c>
      <c r="L1380" s="113">
        <f t="shared" si="393"/>
        <v>684446</v>
      </c>
      <c r="M1380" s="113">
        <f t="shared" si="393"/>
        <v>0</v>
      </c>
      <c r="N1380" s="113">
        <f t="shared" si="393"/>
        <v>0</v>
      </c>
      <c r="O1380" s="113">
        <f>O1381+O1382</f>
        <v>684446</v>
      </c>
      <c r="P1380" s="113">
        <f t="shared" ref="P1380" si="394">P1381+P1382</f>
        <v>0</v>
      </c>
      <c r="Q1380" s="106" t="s">
        <v>40</v>
      </c>
      <c r="R1380" s="106" t="s">
        <v>40</v>
      </c>
      <c r="S1380" s="335">
        <v>43830</v>
      </c>
    </row>
    <row r="1381" spans="1:19" s="1" customFormat="1" ht="15.75">
      <c r="A1381" s="327" t="e">
        <f>A1376+1</f>
        <v>#REF!</v>
      </c>
      <c r="B1381" s="328" t="s">
        <v>409</v>
      </c>
      <c r="C1381" s="329">
        <v>1959</v>
      </c>
      <c r="D1381" s="357"/>
      <c r="E1381" s="330" t="s">
        <v>222</v>
      </c>
      <c r="F1381" s="329">
        <v>2</v>
      </c>
      <c r="G1381" s="329">
        <v>2</v>
      </c>
      <c r="H1381" s="331">
        <v>466.2</v>
      </c>
      <c r="I1381" s="358">
        <v>417</v>
      </c>
      <c r="J1381" s="329">
        <v>370.8</v>
      </c>
      <c r="K1381" s="332">
        <v>17</v>
      </c>
      <c r="L1381" s="333">
        <v>684446</v>
      </c>
      <c r="M1381" s="333">
        <v>0</v>
      </c>
      <c r="N1381" s="333">
        <v>0</v>
      </c>
      <c r="O1381" s="333">
        <v>684446</v>
      </c>
      <c r="P1381" s="333">
        <v>0</v>
      </c>
      <c r="Q1381" s="334">
        <f>L1381/I1381</f>
        <v>1641.3573141486811</v>
      </c>
      <c r="R1381" s="334">
        <v>7920</v>
      </c>
      <c r="S1381" s="335">
        <v>43830</v>
      </c>
    </row>
    <row r="1382" spans="1:19" s="1" customFormat="1" ht="15.75">
      <c r="A1382" s="107"/>
      <c r="B1382" s="301"/>
      <c r="C1382" s="108"/>
      <c r="D1382" s="156"/>
      <c r="E1382" s="109"/>
      <c r="F1382" s="108"/>
      <c r="G1382" s="108"/>
      <c r="H1382" s="111"/>
      <c r="I1382" s="108"/>
      <c r="J1382" s="108"/>
      <c r="K1382" s="112"/>
      <c r="L1382" s="113"/>
      <c r="M1382" s="113"/>
      <c r="N1382" s="113"/>
      <c r="O1382" s="113"/>
      <c r="P1382" s="113"/>
      <c r="Q1382" s="114"/>
      <c r="R1382" s="114"/>
      <c r="S1382" s="335"/>
    </row>
    <row r="1383" spans="1:19" s="1" customFormat="1" ht="15.75">
      <c r="A1383" s="107"/>
      <c r="B1383" s="1336" t="s">
        <v>47</v>
      </c>
      <c r="C1383" s="1336"/>
      <c r="D1383" s="1336"/>
      <c r="E1383" s="1336"/>
      <c r="F1383" s="1336"/>
      <c r="G1383" s="1336"/>
      <c r="H1383" s="128">
        <f>H1384</f>
        <v>930</v>
      </c>
      <c r="I1383" s="106">
        <f t="shared" ref="I1383:P1384" si="395">I1384</f>
        <v>829.5</v>
      </c>
      <c r="J1383" s="106">
        <f t="shared" si="395"/>
        <v>829.5</v>
      </c>
      <c r="K1383" s="119">
        <f t="shared" si="395"/>
        <v>45</v>
      </c>
      <c r="L1383" s="113">
        <f t="shared" si="395"/>
        <v>2602688</v>
      </c>
      <c r="M1383" s="113">
        <f>M1384</f>
        <v>0</v>
      </c>
      <c r="N1383" s="113">
        <f t="shared" si="395"/>
        <v>0</v>
      </c>
      <c r="O1383" s="113">
        <f t="shared" si="395"/>
        <v>2602688</v>
      </c>
      <c r="P1383" s="113">
        <f t="shared" si="395"/>
        <v>0</v>
      </c>
      <c r="Q1383" s="106" t="s">
        <v>40</v>
      </c>
      <c r="R1383" s="114" t="s">
        <v>40</v>
      </c>
      <c r="S1383" s="335">
        <v>43830</v>
      </c>
    </row>
    <row r="1384" spans="1:19" s="1" customFormat="1" ht="22.9" customHeight="1">
      <c r="A1384" s="327"/>
      <c r="B1384" s="1338" t="s">
        <v>103</v>
      </c>
      <c r="C1384" s="1338"/>
      <c r="D1384" s="1338"/>
      <c r="E1384" s="1338"/>
      <c r="F1384" s="1338"/>
      <c r="G1384" s="1338"/>
      <c r="H1384" s="353">
        <f>H1385</f>
        <v>930</v>
      </c>
      <c r="I1384" s="353">
        <f t="shared" si="395"/>
        <v>829.5</v>
      </c>
      <c r="J1384" s="353">
        <f t="shared" si="395"/>
        <v>829.5</v>
      </c>
      <c r="K1384" s="353">
        <f t="shared" si="395"/>
        <v>45</v>
      </c>
      <c r="L1384" s="708">
        <f t="shared" si="395"/>
        <v>2602688</v>
      </c>
      <c r="M1384" s="708">
        <f t="shared" si="395"/>
        <v>0</v>
      </c>
      <c r="N1384" s="708">
        <f t="shared" si="395"/>
        <v>0</v>
      </c>
      <c r="O1384" s="708">
        <f t="shared" si="395"/>
        <v>2602688</v>
      </c>
      <c r="P1384" s="708">
        <f t="shared" si="395"/>
        <v>0</v>
      </c>
      <c r="Q1384" s="356" t="s">
        <v>40</v>
      </c>
      <c r="R1384" s="356" t="s">
        <v>40</v>
      </c>
      <c r="S1384" s="335">
        <v>43830</v>
      </c>
    </row>
    <row r="1385" spans="1:19" s="1" customFormat="1" ht="31.5">
      <c r="A1385" s="327">
        <f>A1382+1</f>
        <v>1</v>
      </c>
      <c r="B1385" s="937" t="s">
        <v>880</v>
      </c>
      <c r="C1385" s="555" t="s">
        <v>881</v>
      </c>
      <c r="D1385" s="555"/>
      <c r="E1385" s="330" t="s">
        <v>218</v>
      </c>
      <c r="F1385" s="329">
        <v>2</v>
      </c>
      <c r="G1385" s="329">
        <v>3</v>
      </c>
      <c r="H1385" s="574">
        <v>930</v>
      </c>
      <c r="I1385" s="398">
        <v>829.5</v>
      </c>
      <c r="J1385" s="398">
        <v>829.5</v>
      </c>
      <c r="K1385" s="332">
        <v>45</v>
      </c>
      <c r="L1385" s="333">
        <v>2602688</v>
      </c>
      <c r="M1385" s="333">
        <v>0</v>
      </c>
      <c r="N1385" s="333">
        <v>0</v>
      </c>
      <c r="O1385" s="708">
        <v>2602688</v>
      </c>
      <c r="P1385" s="333">
        <v>0</v>
      </c>
      <c r="Q1385" s="398">
        <f>L1385/I1385</f>
        <v>3137.658830620856</v>
      </c>
      <c r="R1385" s="334">
        <v>7920</v>
      </c>
      <c r="S1385" s="335">
        <v>43830</v>
      </c>
    </row>
    <row r="1386" spans="1:19" s="1" customFormat="1" ht="15.75">
      <c r="A1386" s="107"/>
      <c r="B1386" s="1336" t="s">
        <v>48</v>
      </c>
      <c r="C1386" s="1336"/>
      <c r="D1386" s="1336"/>
      <c r="E1386" s="1336"/>
      <c r="F1386" s="1336"/>
      <c r="G1386" s="1336"/>
      <c r="H1386" s="128">
        <f t="shared" ref="H1386:P1386" si="396">H1387+H1389</f>
        <v>2141.5</v>
      </c>
      <c r="I1386" s="106">
        <f t="shared" si="396"/>
        <v>1540.6000000000001</v>
      </c>
      <c r="J1386" s="106">
        <f t="shared" si="396"/>
        <v>1540.6000000000001</v>
      </c>
      <c r="K1386" s="119">
        <f t="shared" si="396"/>
        <v>43</v>
      </c>
      <c r="L1386" s="113">
        <f t="shared" si="396"/>
        <v>2656416</v>
      </c>
      <c r="M1386" s="113">
        <f t="shared" si="396"/>
        <v>0</v>
      </c>
      <c r="N1386" s="113">
        <f t="shared" si="396"/>
        <v>414501.02</v>
      </c>
      <c r="O1386" s="113">
        <f t="shared" si="396"/>
        <v>2241914.98</v>
      </c>
      <c r="P1386" s="113">
        <f t="shared" si="396"/>
        <v>0</v>
      </c>
      <c r="Q1386" s="106" t="s">
        <v>40</v>
      </c>
      <c r="R1386" s="114" t="s">
        <v>40</v>
      </c>
      <c r="S1386" s="335">
        <v>43830</v>
      </c>
    </row>
    <row r="1387" spans="1:19" s="1" customFormat="1" ht="15.75">
      <c r="A1387" s="327"/>
      <c r="B1387" s="1338" t="s">
        <v>107</v>
      </c>
      <c r="C1387" s="1338"/>
      <c r="D1387" s="1338"/>
      <c r="E1387" s="1338"/>
      <c r="F1387" s="1338"/>
      <c r="G1387" s="1338"/>
      <c r="H1387" s="353">
        <f>H1388</f>
        <v>1876</v>
      </c>
      <c r="I1387" s="353">
        <f t="shared" ref="I1387:P1387" si="397">I1388</f>
        <v>1297.7</v>
      </c>
      <c r="J1387" s="353">
        <f t="shared" si="397"/>
        <v>1297.7</v>
      </c>
      <c r="K1387" s="353">
        <f t="shared" si="397"/>
        <v>41</v>
      </c>
      <c r="L1387" s="353">
        <f t="shared" si="397"/>
        <v>2102577</v>
      </c>
      <c r="M1387" s="353">
        <f t="shared" si="397"/>
        <v>0</v>
      </c>
      <c r="N1387" s="356">
        <f t="shared" si="397"/>
        <v>0</v>
      </c>
      <c r="O1387" s="353">
        <f t="shared" si="397"/>
        <v>2102577</v>
      </c>
      <c r="P1387" s="680">
        <f t="shared" si="397"/>
        <v>0</v>
      </c>
      <c r="Q1387" s="356" t="s">
        <v>40</v>
      </c>
      <c r="R1387" s="356" t="s">
        <v>40</v>
      </c>
      <c r="S1387" s="335">
        <v>43830</v>
      </c>
    </row>
    <row r="1388" spans="1:19" s="1" customFormat="1" ht="31.5">
      <c r="A1388" s="327" t="e">
        <f>#REF!+1</f>
        <v>#REF!</v>
      </c>
      <c r="B1388" s="576" t="s">
        <v>774</v>
      </c>
      <c r="C1388" s="676">
        <v>1986</v>
      </c>
      <c r="D1388" s="676"/>
      <c r="E1388" s="330" t="s">
        <v>218</v>
      </c>
      <c r="F1388" s="676">
        <v>3</v>
      </c>
      <c r="G1388" s="676">
        <v>2</v>
      </c>
      <c r="H1388" s="677">
        <v>1876</v>
      </c>
      <c r="I1388" s="678">
        <v>1297.7</v>
      </c>
      <c r="J1388" s="678">
        <v>1297.7</v>
      </c>
      <c r="K1388" s="679">
        <v>41</v>
      </c>
      <c r="L1388" s="333">
        <v>2102577</v>
      </c>
      <c r="M1388" s="333">
        <v>0</v>
      </c>
      <c r="N1388" s="333">
        <v>0</v>
      </c>
      <c r="O1388" s="333">
        <f>L1388</f>
        <v>2102577</v>
      </c>
      <c r="P1388" s="333">
        <v>0</v>
      </c>
      <c r="Q1388" s="356">
        <f>L1388/I1388</f>
        <v>1620.2334900208059</v>
      </c>
      <c r="R1388" s="334">
        <v>7920</v>
      </c>
      <c r="S1388" s="335">
        <v>43830</v>
      </c>
    </row>
    <row r="1389" spans="1:19" s="1" customFormat="1" ht="15.75" customHeight="1">
      <c r="A1389" s="107"/>
      <c r="B1389" s="1329" t="s">
        <v>104</v>
      </c>
      <c r="C1389" s="1329"/>
      <c r="D1389" s="1329"/>
      <c r="E1389" s="1329"/>
      <c r="F1389" s="1329"/>
      <c r="G1389" s="1329"/>
      <c r="H1389" s="128">
        <f>H1390</f>
        <v>265.5</v>
      </c>
      <c r="I1389" s="106">
        <f t="shared" ref="I1389:P1389" si="398">I1390</f>
        <v>242.9</v>
      </c>
      <c r="J1389" s="106">
        <f t="shared" si="398"/>
        <v>242.9</v>
      </c>
      <c r="K1389" s="119">
        <f t="shared" si="398"/>
        <v>2</v>
      </c>
      <c r="L1389" s="113">
        <f t="shared" si="398"/>
        <v>553839</v>
      </c>
      <c r="M1389" s="113">
        <f t="shared" si="398"/>
        <v>0</v>
      </c>
      <c r="N1389" s="113">
        <f t="shared" si="398"/>
        <v>414501.02</v>
      </c>
      <c r="O1389" s="113">
        <f t="shared" si="398"/>
        <v>139337.98000000001</v>
      </c>
      <c r="P1389" s="113">
        <f t="shared" si="398"/>
        <v>0</v>
      </c>
      <c r="Q1389" s="106" t="s">
        <v>40</v>
      </c>
      <c r="R1389" s="114" t="s">
        <v>40</v>
      </c>
      <c r="S1389" s="335">
        <v>43830</v>
      </c>
    </row>
    <row r="1390" spans="1:19" s="1" customFormat="1" ht="31.5">
      <c r="A1390" s="107" t="e">
        <f>#REF!+1</f>
        <v>#REF!</v>
      </c>
      <c r="B1390" s="301" t="s">
        <v>458</v>
      </c>
      <c r="C1390" s="110">
        <v>1953</v>
      </c>
      <c r="D1390" s="108"/>
      <c r="E1390" s="109" t="s">
        <v>218</v>
      </c>
      <c r="F1390" s="108">
        <v>2</v>
      </c>
      <c r="G1390" s="108">
        <v>1</v>
      </c>
      <c r="H1390" s="111">
        <v>265.5</v>
      </c>
      <c r="I1390" s="108">
        <v>242.9</v>
      </c>
      <c r="J1390" s="108">
        <v>242.9</v>
      </c>
      <c r="K1390" s="112">
        <v>2</v>
      </c>
      <c r="L1390" s="113">
        <f>N1390+O1390</f>
        <v>553839</v>
      </c>
      <c r="M1390" s="113">
        <v>0</v>
      </c>
      <c r="N1390" s="113">
        <v>414501.02</v>
      </c>
      <c r="O1390" s="113">
        <v>139337.98000000001</v>
      </c>
      <c r="P1390" s="113">
        <v>0</v>
      </c>
      <c r="Q1390" s="114">
        <f>L1390/I1390</f>
        <v>2280.1111568546726</v>
      </c>
      <c r="R1390" s="114">
        <v>6774</v>
      </c>
      <c r="S1390" s="335">
        <v>43830</v>
      </c>
    </row>
    <row r="1391" spans="1:19" s="1" customFormat="1" ht="15.75">
      <c r="A1391" s="107"/>
      <c r="B1391" s="1336" t="s">
        <v>49</v>
      </c>
      <c r="C1391" s="1336"/>
      <c r="D1391" s="1336"/>
      <c r="E1391" s="1336"/>
      <c r="F1391" s="1336"/>
      <c r="G1391" s="1336"/>
      <c r="H1391" s="128">
        <f>H1392+H1395+H1398+H1400</f>
        <v>5557.7</v>
      </c>
      <c r="I1391" s="128">
        <f t="shared" ref="I1391:P1391" si="399">I1392+I1395+I1398+I1400</f>
        <v>5067.3</v>
      </c>
      <c r="J1391" s="128">
        <f t="shared" si="399"/>
        <v>4765</v>
      </c>
      <c r="K1391" s="162">
        <f t="shared" si="399"/>
        <v>274</v>
      </c>
      <c r="L1391" s="113">
        <f t="shared" si="399"/>
        <v>7081131</v>
      </c>
      <c r="M1391" s="113">
        <f t="shared" si="399"/>
        <v>0</v>
      </c>
      <c r="N1391" s="113">
        <f t="shared" si="399"/>
        <v>59804</v>
      </c>
      <c r="O1391" s="113">
        <f t="shared" si="399"/>
        <v>7021327</v>
      </c>
      <c r="P1391" s="113">
        <f t="shared" si="399"/>
        <v>0</v>
      </c>
      <c r="Q1391" s="106" t="s">
        <v>40</v>
      </c>
      <c r="R1391" s="114" t="s">
        <v>40</v>
      </c>
      <c r="S1391" s="335">
        <v>43830</v>
      </c>
    </row>
    <row r="1392" spans="1:19" s="1" customFormat="1" ht="15.75">
      <c r="A1392" s="107"/>
      <c r="B1392" s="1336" t="s">
        <v>105</v>
      </c>
      <c r="C1392" s="1336"/>
      <c r="D1392" s="1336"/>
      <c r="E1392" s="1336"/>
      <c r="F1392" s="1336"/>
      <c r="G1392" s="1336"/>
      <c r="H1392" s="128">
        <f>H1393+H1394</f>
        <v>637.1</v>
      </c>
      <c r="I1392" s="162">
        <f t="shared" ref="I1392:J1392" si="400">I1393+I1394</f>
        <v>415.1</v>
      </c>
      <c r="J1392" s="162">
        <f t="shared" si="400"/>
        <v>415.1</v>
      </c>
      <c r="K1392" s="119">
        <f>K1393+K1394</f>
        <v>24</v>
      </c>
      <c r="L1392" s="113">
        <f t="shared" ref="L1392:P1392" si="401">L1393+L1394</f>
        <v>1551685</v>
      </c>
      <c r="M1392" s="113">
        <f t="shared" si="401"/>
        <v>0</v>
      </c>
      <c r="N1392" s="113">
        <f t="shared" si="401"/>
        <v>0</v>
      </c>
      <c r="O1392" s="113">
        <f t="shared" si="401"/>
        <v>1551685</v>
      </c>
      <c r="P1392" s="113">
        <f t="shared" si="401"/>
        <v>0</v>
      </c>
      <c r="Q1392" s="106" t="s">
        <v>40</v>
      </c>
      <c r="R1392" s="106" t="s">
        <v>40</v>
      </c>
      <c r="S1392" s="335">
        <v>43830</v>
      </c>
    </row>
    <row r="1393" spans="1:34" s="1" customFormat="1" ht="31.5">
      <c r="A1393" s="327" t="e">
        <f>A1390+1</f>
        <v>#REF!</v>
      </c>
      <c r="B1393" s="351" t="s">
        <v>483</v>
      </c>
      <c r="C1393" s="352">
        <v>1965</v>
      </c>
      <c r="D1393" s="352"/>
      <c r="E1393" s="330" t="s">
        <v>218</v>
      </c>
      <c r="F1393" s="352">
        <v>2</v>
      </c>
      <c r="G1393" s="352">
        <v>2</v>
      </c>
      <c r="H1393" s="353">
        <v>637.1</v>
      </c>
      <c r="I1393" s="354">
        <v>415.1</v>
      </c>
      <c r="J1393" s="354">
        <v>415.1</v>
      </c>
      <c r="K1393" s="355">
        <v>24</v>
      </c>
      <c r="L1393" s="333">
        <v>1551685</v>
      </c>
      <c r="M1393" s="333">
        <v>0</v>
      </c>
      <c r="N1393" s="333">
        <v>0</v>
      </c>
      <c r="O1393" s="333">
        <f>L1393</f>
        <v>1551685</v>
      </c>
      <c r="P1393" s="333">
        <v>0</v>
      </c>
      <c r="Q1393" s="356">
        <f>L1393/I1393</f>
        <v>3738.0992531920019</v>
      </c>
      <c r="R1393" s="334">
        <v>7920</v>
      </c>
      <c r="S1393" s="335">
        <v>43830</v>
      </c>
    </row>
    <row r="1394" spans="1:34" s="1" customFormat="1" ht="15.75">
      <c r="A1394" s="107"/>
      <c r="B1394" s="307"/>
      <c r="C1394" s="118"/>
      <c r="D1394" s="118"/>
      <c r="E1394" s="109"/>
      <c r="F1394" s="118"/>
      <c r="G1394" s="118"/>
      <c r="H1394" s="128"/>
      <c r="I1394" s="106"/>
      <c r="J1394" s="118"/>
      <c r="K1394" s="119"/>
      <c r="L1394" s="113"/>
      <c r="M1394" s="113"/>
      <c r="N1394" s="113"/>
      <c r="O1394" s="113"/>
      <c r="P1394" s="113"/>
      <c r="Q1394" s="106"/>
      <c r="R1394" s="114"/>
      <c r="S1394" s="335"/>
    </row>
    <row r="1395" spans="1:34" s="1" customFormat="1" ht="15.75" customHeight="1">
      <c r="A1395" s="107"/>
      <c r="B1395" s="1329" t="s">
        <v>188</v>
      </c>
      <c r="C1395" s="1329"/>
      <c r="D1395" s="1329"/>
      <c r="E1395" s="1329"/>
      <c r="F1395" s="1329"/>
      <c r="G1395" s="1329"/>
      <c r="H1395" s="128">
        <f>H1396+H1397</f>
        <v>1595.1</v>
      </c>
      <c r="I1395" s="128">
        <f t="shared" ref="I1395:J1395" si="402">I1396+I1397</f>
        <v>1431.3</v>
      </c>
      <c r="J1395" s="128">
        <f t="shared" si="402"/>
        <v>1431.3</v>
      </c>
      <c r="K1395" s="162">
        <f>K1396+K1397</f>
        <v>87</v>
      </c>
      <c r="L1395" s="113">
        <f t="shared" ref="L1395:P1395" si="403">L1396+L1397</f>
        <v>1905804</v>
      </c>
      <c r="M1395" s="113">
        <f t="shared" si="403"/>
        <v>0</v>
      </c>
      <c r="N1395" s="113">
        <f t="shared" si="403"/>
        <v>59804</v>
      </c>
      <c r="O1395" s="113">
        <f t="shared" si="403"/>
        <v>1846000</v>
      </c>
      <c r="P1395" s="113">
        <f t="shared" si="403"/>
        <v>0</v>
      </c>
      <c r="Q1395" s="106" t="s">
        <v>40</v>
      </c>
      <c r="R1395" s="114" t="s">
        <v>40</v>
      </c>
      <c r="S1395" s="335">
        <v>43830</v>
      </c>
    </row>
    <row r="1396" spans="1:34" s="1" customFormat="1" ht="15.75">
      <c r="A1396" s="107">
        <f>A1394+1</f>
        <v>1</v>
      </c>
      <c r="B1396" s="300" t="s">
        <v>410</v>
      </c>
      <c r="C1396" s="302">
        <v>1968</v>
      </c>
      <c r="D1396" s="118"/>
      <c r="E1396" s="109" t="s">
        <v>219</v>
      </c>
      <c r="F1396" s="118">
        <v>2</v>
      </c>
      <c r="G1396" s="118">
        <v>3</v>
      </c>
      <c r="H1396" s="128">
        <v>798.1</v>
      </c>
      <c r="I1396" s="106">
        <v>714.4</v>
      </c>
      <c r="J1396" s="118">
        <v>714.4</v>
      </c>
      <c r="K1396" s="119">
        <v>42</v>
      </c>
      <c r="L1396" s="113">
        <v>958459</v>
      </c>
      <c r="M1396" s="113">
        <v>0</v>
      </c>
      <c r="N1396" s="113">
        <v>35459</v>
      </c>
      <c r="O1396" s="113">
        <v>923000</v>
      </c>
      <c r="P1396" s="113">
        <v>0</v>
      </c>
      <c r="Q1396" s="106">
        <f>L1396/I1396</f>
        <v>1341.6279395296754</v>
      </c>
      <c r="R1396" s="114">
        <v>6774</v>
      </c>
      <c r="S1396" s="335">
        <v>43830</v>
      </c>
    </row>
    <row r="1397" spans="1:34" s="1" customFormat="1" ht="15.75">
      <c r="A1397" s="107">
        <f t="shared" si="379"/>
        <v>2</v>
      </c>
      <c r="B1397" s="307" t="s">
        <v>411</v>
      </c>
      <c r="C1397" s="118">
        <v>1970</v>
      </c>
      <c r="D1397" s="118"/>
      <c r="E1397" s="109" t="s">
        <v>219</v>
      </c>
      <c r="F1397" s="118">
        <v>2</v>
      </c>
      <c r="G1397" s="118">
        <v>3</v>
      </c>
      <c r="H1397" s="128">
        <v>797</v>
      </c>
      <c r="I1397" s="106">
        <v>716.9</v>
      </c>
      <c r="J1397" s="118">
        <v>716.9</v>
      </c>
      <c r="K1397" s="119">
        <v>45</v>
      </c>
      <c r="L1397" s="113">
        <v>947345</v>
      </c>
      <c r="M1397" s="113">
        <v>0</v>
      </c>
      <c r="N1397" s="113">
        <v>24345</v>
      </c>
      <c r="O1397" s="113">
        <v>923000</v>
      </c>
      <c r="P1397" s="113">
        <v>0</v>
      </c>
      <c r="Q1397" s="106">
        <f>L1397/I1397</f>
        <v>1321.4465057888131</v>
      </c>
      <c r="R1397" s="114">
        <v>6774</v>
      </c>
      <c r="S1397" s="335">
        <v>43830</v>
      </c>
    </row>
    <row r="1398" spans="1:34" s="1" customFormat="1" ht="15.75">
      <c r="A1398" s="107"/>
      <c r="B1398" s="1336" t="s">
        <v>189</v>
      </c>
      <c r="C1398" s="1336"/>
      <c r="D1398" s="1336"/>
      <c r="E1398" s="1336"/>
      <c r="F1398" s="1336"/>
      <c r="G1398" s="1336"/>
      <c r="H1398" s="128">
        <f>H1399</f>
        <v>506.9</v>
      </c>
      <c r="I1398" s="128">
        <f t="shared" ref="I1398:P1398" si="404">I1399</f>
        <v>402.3</v>
      </c>
      <c r="J1398" s="128">
        <f t="shared" si="404"/>
        <v>402.3</v>
      </c>
      <c r="K1398" s="162">
        <f t="shared" si="404"/>
        <v>7</v>
      </c>
      <c r="L1398" s="113">
        <f t="shared" si="404"/>
        <v>820660</v>
      </c>
      <c r="M1398" s="113">
        <f t="shared" si="404"/>
        <v>0</v>
      </c>
      <c r="N1398" s="113">
        <f t="shared" si="404"/>
        <v>0</v>
      </c>
      <c r="O1398" s="113">
        <f t="shared" si="404"/>
        <v>820660</v>
      </c>
      <c r="P1398" s="113">
        <f t="shared" si="404"/>
        <v>0</v>
      </c>
      <c r="Q1398" s="106" t="s">
        <v>40</v>
      </c>
      <c r="R1398" s="114" t="s">
        <v>40</v>
      </c>
      <c r="S1398" s="335">
        <v>43830</v>
      </c>
    </row>
    <row r="1399" spans="1:34" s="1" customFormat="1" ht="31.5">
      <c r="A1399" s="107">
        <f>A1397+1</f>
        <v>3</v>
      </c>
      <c r="B1399" s="307" t="s">
        <v>412</v>
      </c>
      <c r="C1399" s="118">
        <v>1958</v>
      </c>
      <c r="D1399" s="118"/>
      <c r="E1399" s="109" t="s">
        <v>218</v>
      </c>
      <c r="F1399" s="118">
        <v>2</v>
      </c>
      <c r="G1399" s="118">
        <v>1</v>
      </c>
      <c r="H1399" s="128">
        <v>506.9</v>
      </c>
      <c r="I1399" s="106">
        <v>402.3</v>
      </c>
      <c r="J1399" s="118">
        <v>402.3</v>
      </c>
      <c r="K1399" s="119">
        <v>7</v>
      </c>
      <c r="L1399" s="113">
        <v>820660</v>
      </c>
      <c r="M1399" s="113">
        <v>0</v>
      </c>
      <c r="N1399" s="113">
        <v>0</v>
      </c>
      <c r="O1399" s="113">
        <f>L1399</f>
        <v>820660</v>
      </c>
      <c r="P1399" s="113">
        <v>0</v>
      </c>
      <c r="Q1399" s="106">
        <f>L1399/I1399</f>
        <v>2039.9204573701218</v>
      </c>
      <c r="R1399" s="114">
        <v>6774</v>
      </c>
      <c r="S1399" s="335">
        <v>43830</v>
      </c>
    </row>
    <row r="1400" spans="1:34" s="1" customFormat="1" ht="15.75">
      <c r="A1400" s="107"/>
      <c r="B1400" s="1336" t="s">
        <v>131</v>
      </c>
      <c r="C1400" s="1336"/>
      <c r="D1400" s="1336"/>
      <c r="E1400" s="1336"/>
      <c r="F1400" s="1336"/>
      <c r="G1400" s="1336"/>
      <c r="H1400" s="128">
        <f>H1401</f>
        <v>2818.6</v>
      </c>
      <c r="I1400" s="128">
        <f t="shared" ref="I1400:P1400" si="405">I1401</f>
        <v>2818.6</v>
      </c>
      <c r="J1400" s="128">
        <f t="shared" si="405"/>
        <v>2516.3000000000002</v>
      </c>
      <c r="K1400" s="128">
        <f t="shared" si="405"/>
        <v>156</v>
      </c>
      <c r="L1400" s="565">
        <f t="shared" si="405"/>
        <v>2802982</v>
      </c>
      <c r="M1400" s="565">
        <f t="shared" si="405"/>
        <v>0</v>
      </c>
      <c r="N1400" s="565">
        <f t="shared" si="405"/>
        <v>0</v>
      </c>
      <c r="O1400" s="565">
        <f t="shared" si="405"/>
        <v>2802982</v>
      </c>
      <c r="P1400" s="565">
        <f t="shared" si="405"/>
        <v>0</v>
      </c>
      <c r="Q1400" s="106" t="s">
        <v>40</v>
      </c>
      <c r="R1400" s="114" t="s">
        <v>40</v>
      </c>
      <c r="S1400" s="335">
        <v>43830</v>
      </c>
    </row>
    <row r="1401" spans="1:34" s="61" customFormat="1">
      <c r="A1401" s="107">
        <f>A1399+1</f>
        <v>4</v>
      </c>
      <c r="B1401" s="163" t="s">
        <v>662</v>
      </c>
      <c r="C1401" s="131">
        <v>1991</v>
      </c>
      <c r="D1401" s="131"/>
      <c r="E1401" s="109" t="s">
        <v>219</v>
      </c>
      <c r="F1401" s="131">
        <v>5</v>
      </c>
      <c r="G1401" s="131">
        <v>4</v>
      </c>
      <c r="H1401" s="131">
        <v>2818.6</v>
      </c>
      <c r="I1401" s="131">
        <v>2818.6</v>
      </c>
      <c r="J1401" s="131">
        <v>2516.3000000000002</v>
      </c>
      <c r="K1401" s="131">
        <v>156</v>
      </c>
      <c r="L1401" s="113">
        <v>2802982</v>
      </c>
      <c r="M1401" s="113">
        <v>0</v>
      </c>
      <c r="N1401" s="113">
        <v>0</v>
      </c>
      <c r="O1401" s="113">
        <v>2802982</v>
      </c>
      <c r="P1401" s="113">
        <v>0</v>
      </c>
      <c r="Q1401" s="124">
        <f>L1401/I1401</f>
        <v>994.45895125239485</v>
      </c>
      <c r="R1401" s="114">
        <v>7920</v>
      </c>
      <c r="S1401" s="335">
        <v>43830</v>
      </c>
    </row>
    <row r="1402" spans="1:34" s="61" customFormat="1">
      <c r="A1402" s="107"/>
      <c r="B1402" s="145"/>
      <c r="C1402" s="164"/>
      <c r="D1402" s="131"/>
      <c r="E1402" s="109"/>
      <c r="F1402" s="131"/>
      <c r="G1402" s="131"/>
      <c r="H1402" s="131"/>
      <c r="I1402" s="131"/>
      <c r="J1402" s="131"/>
      <c r="K1402" s="131"/>
      <c r="L1402" s="113"/>
      <c r="M1402" s="113"/>
      <c r="N1402" s="113"/>
      <c r="O1402" s="113"/>
      <c r="P1402" s="113"/>
      <c r="Q1402" s="124"/>
      <c r="R1402" s="114"/>
      <c r="S1402" s="335"/>
    </row>
    <row r="1403" spans="1:34" s="1" customFormat="1" ht="15.75">
      <c r="A1403" s="107"/>
      <c r="B1403" s="1336" t="s">
        <v>50</v>
      </c>
      <c r="C1403" s="1336"/>
      <c r="D1403" s="1336"/>
      <c r="E1403" s="1336"/>
      <c r="F1403" s="1336"/>
      <c r="G1403" s="1336"/>
      <c r="H1403" s="106">
        <f>H1404</f>
        <v>7969.19</v>
      </c>
      <c r="I1403" s="106">
        <f t="shared" ref="I1403:P1403" si="406">I1404</f>
        <v>7333.2000000000007</v>
      </c>
      <c r="J1403" s="106">
        <f t="shared" si="406"/>
        <v>6468</v>
      </c>
      <c r="K1403" s="119">
        <f t="shared" si="406"/>
        <v>301</v>
      </c>
      <c r="L1403" s="113">
        <f t="shared" si="406"/>
        <v>13218958</v>
      </c>
      <c r="M1403" s="113">
        <f t="shared" si="406"/>
        <v>0</v>
      </c>
      <c r="N1403" s="113">
        <f t="shared" si="406"/>
        <v>0</v>
      </c>
      <c r="O1403" s="113">
        <f t="shared" si="406"/>
        <v>13218958</v>
      </c>
      <c r="P1403" s="113">
        <f t="shared" si="406"/>
        <v>0</v>
      </c>
      <c r="Q1403" s="106" t="s">
        <v>40</v>
      </c>
      <c r="R1403" s="114" t="s">
        <v>40</v>
      </c>
      <c r="S1403" s="335">
        <v>43830</v>
      </c>
    </row>
    <row r="1404" spans="1:34" s="18" customFormat="1" ht="29.45" customHeight="1">
      <c r="A1404" s="107"/>
      <c r="B1404" s="1336" t="s">
        <v>106</v>
      </c>
      <c r="C1404" s="1336"/>
      <c r="D1404" s="1336"/>
      <c r="E1404" s="1336"/>
      <c r="F1404" s="1336"/>
      <c r="G1404" s="1336"/>
      <c r="H1404" s="409">
        <f t="shared" ref="H1404:P1404" si="407">SUM(H1405:H1413)</f>
        <v>7969.19</v>
      </c>
      <c r="I1404" s="409">
        <f t="shared" si="407"/>
        <v>7333.2000000000007</v>
      </c>
      <c r="J1404" s="409">
        <f t="shared" si="407"/>
        <v>6468</v>
      </c>
      <c r="K1404" s="657">
        <f t="shared" si="407"/>
        <v>301</v>
      </c>
      <c r="L1404" s="113">
        <f t="shared" si="407"/>
        <v>13218958</v>
      </c>
      <c r="M1404" s="113">
        <f t="shared" si="407"/>
        <v>0</v>
      </c>
      <c r="N1404" s="113">
        <f t="shared" si="407"/>
        <v>0</v>
      </c>
      <c r="O1404" s="113">
        <f t="shared" si="407"/>
        <v>13218958</v>
      </c>
      <c r="P1404" s="113">
        <f t="shared" si="407"/>
        <v>0</v>
      </c>
      <c r="Q1404" s="106" t="s">
        <v>40</v>
      </c>
      <c r="R1404" s="114" t="s">
        <v>40</v>
      </c>
      <c r="S1404" s="335">
        <v>43830</v>
      </c>
    </row>
    <row r="1405" spans="1:34" s="66" customFormat="1" ht="31.5">
      <c r="A1405" s="107">
        <f>A1402+1</f>
        <v>1</v>
      </c>
      <c r="B1405" s="165" t="s">
        <v>852</v>
      </c>
      <c r="C1405" s="166">
        <v>1971</v>
      </c>
      <c r="D1405" s="167"/>
      <c r="E1405" s="109" t="s">
        <v>218</v>
      </c>
      <c r="F1405" s="167">
        <v>2</v>
      </c>
      <c r="G1405" s="793">
        <v>2</v>
      </c>
      <c r="H1405" s="795">
        <v>447.2</v>
      </c>
      <c r="I1405" s="794">
        <v>397.2</v>
      </c>
      <c r="J1405" s="794">
        <v>297.2</v>
      </c>
      <c r="K1405" s="794">
        <v>25</v>
      </c>
      <c r="L1405" s="655">
        <v>1024592</v>
      </c>
      <c r="M1405" s="113">
        <f>SUM(M1406:M1413)</f>
        <v>0</v>
      </c>
      <c r="N1405" s="113">
        <f>SUM(N1406:N1413)</f>
        <v>0</v>
      </c>
      <c r="O1405" s="113">
        <f t="shared" ref="O1405:O1413" si="408">L1405</f>
        <v>1024592</v>
      </c>
      <c r="P1405" s="113">
        <f>SUM(P1406:P1413)</f>
        <v>0</v>
      </c>
      <c r="Q1405" s="168">
        <f t="shared" ref="Q1405:Q1413" si="409">L1405/I1405</f>
        <v>2579.5367573011076</v>
      </c>
      <c r="R1405" s="114">
        <v>7920</v>
      </c>
      <c r="S1405" s="335">
        <v>43830</v>
      </c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s="50"/>
      <c r="AE1405" s="50"/>
      <c r="AF1405" s="50"/>
      <c r="AG1405" s="50"/>
      <c r="AH1405" s="50"/>
    </row>
    <row r="1406" spans="1:34" s="50" customFormat="1" ht="31.5">
      <c r="A1406" s="107">
        <f>A1405+1</f>
        <v>2</v>
      </c>
      <c r="B1406" s="165" t="s">
        <v>853</v>
      </c>
      <c r="C1406" s="166">
        <v>1977</v>
      </c>
      <c r="D1406" s="167"/>
      <c r="E1406" s="109" t="s">
        <v>218</v>
      </c>
      <c r="F1406" s="167">
        <v>3</v>
      </c>
      <c r="G1406" s="793">
        <v>2</v>
      </c>
      <c r="H1406" s="795">
        <v>1046.69</v>
      </c>
      <c r="I1406" s="794">
        <v>987.6</v>
      </c>
      <c r="J1406" s="794">
        <v>684.2</v>
      </c>
      <c r="K1406" s="794">
        <v>49</v>
      </c>
      <c r="L1406" s="655">
        <v>1366296</v>
      </c>
      <c r="M1406" s="113">
        <f>SUM(M1407:M1415)</f>
        <v>0</v>
      </c>
      <c r="N1406" s="113">
        <f>SUM(N1407:N1415)</f>
        <v>0</v>
      </c>
      <c r="O1406" s="113">
        <f t="shared" si="408"/>
        <v>1366296</v>
      </c>
      <c r="P1406" s="113">
        <f>SUM(P1407:P1415)</f>
        <v>0</v>
      </c>
      <c r="Q1406" s="168">
        <f t="shared" si="409"/>
        <v>1383.4507897934386</v>
      </c>
      <c r="R1406" s="114">
        <v>7920</v>
      </c>
      <c r="S1406" s="335">
        <v>43830</v>
      </c>
    </row>
    <row r="1407" spans="1:34" s="50" customFormat="1" ht="31.5">
      <c r="A1407" s="107">
        <f t="shared" ref="A1407:A1444" si="410">A1406+1</f>
        <v>3</v>
      </c>
      <c r="B1407" s="165" t="s">
        <v>854</v>
      </c>
      <c r="C1407" s="166">
        <v>1973</v>
      </c>
      <c r="D1407" s="167"/>
      <c r="E1407" s="109" t="s">
        <v>218</v>
      </c>
      <c r="F1407" s="167">
        <v>2</v>
      </c>
      <c r="G1407" s="793">
        <v>2</v>
      </c>
      <c r="H1407" s="795">
        <v>585</v>
      </c>
      <c r="I1407" s="794">
        <v>536.6</v>
      </c>
      <c r="J1407" s="794">
        <v>536.6</v>
      </c>
      <c r="K1407" s="794">
        <v>21</v>
      </c>
      <c r="L1407" s="655">
        <v>1544253</v>
      </c>
      <c r="M1407" s="113">
        <f>SUM(M1408:M1414)</f>
        <v>0</v>
      </c>
      <c r="N1407" s="113">
        <f>SUM(N1408:N1414)</f>
        <v>0</v>
      </c>
      <c r="O1407" s="113">
        <f t="shared" si="408"/>
        <v>1544253</v>
      </c>
      <c r="P1407" s="113">
        <f>SUM(P1408:P1414)</f>
        <v>0</v>
      </c>
      <c r="Q1407" s="168">
        <f t="shared" si="409"/>
        <v>2877.8475587029443</v>
      </c>
      <c r="R1407" s="114">
        <v>7920</v>
      </c>
      <c r="S1407" s="335">
        <v>43830</v>
      </c>
    </row>
    <row r="1408" spans="1:34" s="50" customFormat="1" ht="31.5">
      <c r="A1408" s="107">
        <f t="shared" si="410"/>
        <v>4</v>
      </c>
      <c r="B1408" s="165" t="s">
        <v>855</v>
      </c>
      <c r="C1408" s="166">
        <v>1967</v>
      </c>
      <c r="D1408" s="167"/>
      <c r="E1408" s="109" t="s">
        <v>218</v>
      </c>
      <c r="F1408" s="167">
        <v>2</v>
      </c>
      <c r="G1408" s="793">
        <v>2</v>
      </c>
      <c r="H1408" s="795">
        <v>391.2</v>
      </c>
      <c r="I1408" s="794">
        <v>347.2</v>
      </c>
      <c r="J1408" s="794">
        <v>171</v>
      </c>
      <c r="K1408" s="794">
        <v>26</v>
      </c>
      <c r="L1408" s="655">
        <v>1119066</v>
      </c>
      <c r="M1408" s="113">
        <f>SUM(M1409:M1413)</f>
        <v>0</v>
      </c>
      <c r="N1408" s="113">
        <f>SUM(N1409:N1413)</f>
        <v>0</v>
      </c>
      <c r="O1408" s="113">
        <f t="shared" si="408"/>
        <v>1119066</v>
      </c>
      <c r="P1408" s="113">
        <f>SUM(P1409:P1413)</f>
        <v>0</v>
      </c>
      <c r="Q1408" s="168">
        <f t="shared" si="409"/>
        <v>3223.1163594470049</v>
      </c>
      <c r="R1408" s="114">
        <v>7920</v>
      </c>
      <c r="S1408" s="335">
        <v>43830</v>
      </c>
    </row>
    <row r="1409" spans="1:19" s="50" customFormat="1" ht="31.5">
      <c r="A1409" s="107">
        <f t="shared" si="410"/>
        <v>5</v>
      </c>
      <c r="B1409" s="165" t="s">
        <v>856</v>
      </c>
      <c r="C1409" s="166">
        <v>1968</v>
      </c>
      <c r="D1409" s="167"/>
      <c r="E1409" s="109" t="s">
        <v>218</v>
      </c>
      <c r="F1409" s="167">
        <v>2</v>
      </c>
      <c r="G1409" s="793">
        <v>2</v>
      </c>
      <c r="H1409" s="795">
        <v>799.4</v>
      </c>
      <c r="I1409" s="794">
        <v>739.4</v>
      </c>
      <c r="J1409" s="794">
        <v>739.4</v>
      </c>
      <c r="K1409" s="794">
        <v>12</v>
      </c>
      <c r="L1409" s="655">
        <v>2060671</v>
      </c>
      <c r="M1409" s="113">
        <f>SUM(M1411:M1416)</f>
        <v>0</v>
      </c>
      <c r="N1409" s="113">
        <f>SUM(N1411:N1416)</f>
        <v>0</v>
      </c>
      <c r="O1409" s="113">
        <f t="shared" si="408"/>
        <v>2060671</v>
      </c>
      <c r="P1409" s="113">
        <f>SUM(P1411:P1416)</f>
        <v>0</v>
      </c>
      <c r="Q1409" s="168">
        <f t="shared" si="409"/>
        <v>2786.9502299161481</v>
      </c>
      <c r="R1409" s="114">
        <v>7920</v>
      </c>
      <c r="S1409" s="335">
        <v>43830</v>
      </c>
    </row>
    <row r="1410" spans="1:19" s="50" customFormat="1" ht="33.6" customHeight="1">
      <c r="A1410" s="107">
        <f t="shared" si="410"/>
        <v>6</v>
      </c>
      <c r="B1410" s="165" t="s">
        <v>850</v>
      </c>
      <c r="C1410" s="166">
        <v>1962</v>
      </c>
      <c r="D1410" s="167"/>
      <c r="E1410" s="109" t="s">
        <v>218</v>
      </c>
      <c r="F1410" s="167">
        <v>2</v>
      </c>
      <c r="G1410" s="793">
        <v>2</v>
      </c>
      <c r="H1410" s="795">
        <v>296.2</v>
      </c>
      <c r="I1410" s="794">
        <v>274.8</v>
      </c>
      <c r="J1410" s="794">
        <v>184.1</v>
      </c>
      <c r="K1410" s="794">
        <v>22</v>
      </c>
      <c r="L1410" s="655">
        <v>1226134</v>
      </c>
      <c r="M1410" s="113">
        <f>SUM(M1411:M1417)</f>
        <v>0</v>
      </c>
      <c r="N1410" s="113">
        <f>SUM(N1411:N1417)</f>
        <v>0</v>
      </c>
      <c r="O1410" s="113">
        <f t="shared" si="408"/>
        <v>1226134</v>
      </c>
      <c r="P1410" s="113">
        <f>SUM(P1411:P1417)</f>
        <v>0</v>
      </c>
      <c r="Q1410" s="168">
        <f t="shared" si="409"/>
        <v>4461.9141193595342</v>
      </c>
      <c r="R1410" s="114">
        <v>7920</v>
      </c>
      <c r="S1410" s="335">
        <v>43830</v>
      </c>
    </row>
    <row r="1411" spans="1:19" s="50" customFormat="1" ht="23.45" customHeight="1">
      <c r="A1411" s="107">
        <f>A1410+1</f>
        <v>7</v>
      </c>
      <c r="B1411" s="165" t="s">
        <v>978</v>
      </c>
      <c r="C1411" s="166">
        <v>1973</v>
      </c>
      <c r="D1411" s="167"/>
      <c r="E1411" s="109" t="s">
        <v>661</v>
      </c>
      <c r="F1411" s="167">
        <v>2</v>
      </c>
      <c r="G1411" s="793">
        <v>2</v>
      </c>
      <c r="H1411" s="795">
        <v>578.1</v>
      </c>
      <c r="I1411" s="794">
        <v>532.1</v>
      </c>
      <c r="J1411" s="794">
        <v>431</v>
      </c>
      <c r="K1411" s="794">
        <v>26</v>
      </c>
      <c r="L1411" s="655">
        <v>1002285</v>
      </c>
      <c r="M1411" s="113">
        <v>0</v>
      </c>
      <c r="N1411" s="113">
        <v>0</v>
      </c>
      <c r="O1411" s="113">
        <f t="shared" si="408"/>
        <v>1002285</v>
      </c>
      <c r="P1411" s="113">
        <v>0</v>
      </c>
      <c r="Q1411" s="168">
        <f t="shared" si="409"/>
        <v>1883.6402931779739</v>
      </c>
      <c r="R1411" s="114">
        <v>7920</v>
      </c>
      <c r="S1411" s="335">
        <v>43830</v>
      </c>
    </row>
    <row r="1412" spans="1:19" s="50" customFormat="1" ht="31.5">
      <c r="A1412" s="107">
        <f>A1411+1</f>
        <v>8</v>
      </c>
      <c r="B1412" s="165" t="s">
        <v>979</v>
      </c>
      <c r="C1412" s="166">
        <v>1960</v>
      </c>
      <c r="D1412" s="167"/>
      <c r="E1412" s="109" t="s">
        <v>218</v>
      </c>
      <c r="F1412" s="167">
        <v>1</v>
      </c>
      <c r="G1412" s="793">
        <v>2</v>
      </c>
      <c r="H1412" s="795">
        <v>246.9</v>
      </c>
      <c r="I1412" s="794">
        <v>225.4</v>
      </c>
      <c r="J1412" s="794">
        <v>225.4</v>
      </c>
      <c r="K1412" s="794">
        <v>16</v>
      </c>
      <c r="L1412" s="655">
        <v>1296378</v>
      </c>
      <c r="M1412" s="113">
        <f>SUM(M1413:M1418)</f>
        <v>0</v>
      </c>
      <c r="N1412" s="113">
        <f>SUM(N1413:N1418)</f>
        <v>0</v>
      </c>
      <c r="O1412" s="113">
        <f t="shared" si="408"/>
        <v>1296378</v>
      </c>
      <c r="P1412" s="113">
        <f>SUM(P1413:P1418)</f>
        <v>0</v>
      </c>
      <c r="Q1412" s="168">
        <f t="shared" si="409"/>
        <v>5751.4551907719606</v>
      </c>
      <c r="R1412" s="114">
        <v>7920</v>
      </c>
      <c r="S1412" s="335">
        <v>43830</v>
      </c>
    </row>
    <row r="1413" spans="1:19" s="50" customFormat="1" ht="31.5">
      <c r="A1413" s="107">
        <v>9</v>
      </c>
      <c r="B1413" s="165" t="s">
        <v>857</v>
      </c>
      <c r="C1413" s="166">
        <v>1980</v>
      </c>
      <c r="D1413" s="167"/>
      <c r="E1413" s="109" t="s">
        <v>218</v>
      </c>
      <c r="F1413" s="167">
        <v>5</v>
      </c>
      <c r="G1413" s="793">
        <v>4</v>
      </c>
      <c r="H1413" s="795">
        <v>3578.5</v>
      </c>
      <c r="I1413" s="794">
        <v>3292.9</v>
      </c>
      <c r="J1413" s="794">
        <v>3199.1</v>
      </c>
      <c r="K1413" s="794">
        <v>104</v>
      </c>
      <c r="L1413" s="655">
        <v>2579283</v>
      </c>
      <c r="M1413" s="113">
        <f>SUM(M1414:M1418)</f>
        <v>0</v>
      </c>
      <c r="N1413" s="113">
        <f>SUM(N1414:N1418)</f>
        <v>0</v>
      </c>
      <c r="O1413" s="113">
        <f t="shared" si="408"/>
        <v>2579283</v>
      </c>
      <c r="P1413" s="113">
        <f>SUM(P1414:P1418)</f>
        <v>0</v>
      </c>
      <c r="Q1413" s="168">
        <f t="shared" si="409"/>
        <v>783.28616113456224</v>
      </c>
      <c r="R1413" s="114">
        <v>7920</v>
      </c>
      <c r="S1413" s="335">
        <v>43830</v>
      </c>
    </row>
    <row r="1414" spans="1:19" s="1" customFormat="1" ht="15.75">
      <c r="A1414" s="107"/>
      <c r="B1414" s="1336" t="s">
        <v>51</v>
      </c>
      <c r="C1414" s="1336"/>
      <c r="D1414" s="1336"/>
      <c r="E1414" s="1336"/>
      <c r="F1414" s="1336"/>
      <c r="G1414" s="1336"/>
      <c r="H1414" s="765">
        <f>H1415</f>
        <v>8727.8000000000011</v>
      </c>
      <c r="I1414" s="791">
        <f t="shared" ref="I1414:P1414" si="411">I1415</f>
        <v>8727.8000000000011</v>
      </c>
      <c r="J1414" s="791">
        <f t="shared" si="411"/>
        <v>7641.2</v>
      </c>
      <c r="K1414" s="777">
        <f t="shared" si="411"/>
        <v>328</v>
      </c>
      <c r="L1414" s="113">
        <f t="shared" si="411"/>
        <v>10822736</v>
      </c>
      <c r="M1414" s="113">
        <f t="shared" si="411"/>
        <v>0</v>
      </c>
      <c r="N1414" s="113">
        <f t="shared" si="411"/>
        <v>0</v>
      </c>
      <c r="O1414" s="113">
        <f t="shared" si="411"/>
        <v>10822736</v>
      </c>
      <c r="P1414" s="113">
        <f t="shared" si="411"/>
        <v>0</v>
      </c>
      <c r="Q1414" s="106" t="s">
        <v>40</v>
      </c>
      <c r="R1414" s="106" t="s">
        <v>40</v>
      </c>
      <c r="S1414" s="335">
        <v>43830</v>
      </c>
    </row>
    <row r="1415" spans="1:19" s="1" customFormat="1" ht="21.6" customHeight="1">
      <c r="A1415" s="107"/>
      <c r="B1415" s="1336" t="s">
        <v>108</v>
      </c>
      <c r="C1415" s="1336"/>
      <c r="D1415" s="1336"/>
      <c r="E1415" s="1336"/>
      <c r="F1415" s="1343"/>
      <c r="G1415" s="1343"/>
      <c r="H1415" s="613">
        <f t="shared" ref="H1415:P1415" si="412">SUM(H1416:H1422)</f>
        <v>8727.8000000000011</v>
      </c>
      <c r="I1415" s="952">
        <f t="shared" si="412"/>
        <v>8727.8000000000011</v>
      </c>
      <c r="J1415" s="952">
        <f t="shared" si="412"/>
        <v>7641.2</v>
      </c>
      <c r="K1415" s="657">
        <f t="shared" si="412"/>
        <v>328</v>
      </c>
      <c r="L1415" s="113">
        <f t="shared" si="412"/>
        <v>10822736</v>
      </c>
      <c r="M1415" s="113">
        <f t="shared" si="412"/>
        <v>0</v>
      </c>
      <c r="N1415" s="113">
        <f t="shared" si="412"/>
        <v>0</v>
      </c>
      <c r="O1415" s="113">
        <f t="shared" si="412"/>
        <v>10822736</v>
      </c>
      <c r="P1415" s="113">
        <f t="shared" si="412"/>
        <v>0</v>
      </c>
      <c r="Q1415" s="106" t="s">
        <v>40</v>
      </c>
      <c r="R1415" s="106" t="s">
        <v>40</v>
      </c>
      <c r="S1415" s="335">
        <v>43830</v>
      </c>
    </row>
    <row r="1416" spans="1:19" s="51" customFormat="1" ht="31.5">
      <c r="A1416" s="107">
        <f>A1413+1</f>
        <v>10</v>
      </c>
      <c r="B1416" s="945" t="s">
        <v>1014</v>
      </c>
      <c r="C1416" s="118">
        <v>1969</v>
      </c>
      <c r="D1416" s="118"/>
      <c r="E1416" s="611" t="s">
        <v>218</v>
      </c>
      <c r="F1416" s="958">
        <v>2</v>
      </c>
      <c r="G1416" s="958">
        <v>2</v>
      </c>
      <c r="H1416" s="959">
        <v>502.9</v>
      </c>
      <c r="I1416" s="960">
        <v>502.9</v>
      </c>
      <c r="J1416" s="959">
        <v>344.2</v>
      </c>
      <c r="K1416" s="958">
        <v>23</v>
      </c>
      <c r="L1416" s="655">
        <f>O1416</f>
        <v>1488075</v>
      </c>
      <c r="M1416" s="113">
        <v>0</v>
      </c>
      <c r="N1416" s="113">
        <v>0</v>
      </c>
      <c r="O1416" s="113">
        <v>1488075</v>
      </c>
      <c r="P1416" s="113">
        <v>0</v>
      </c>
      <c r="Q1416" s="170">
        <f t="shared" ref="Q1416:Q1425" si="413">L1416/I1416</f>
        <v>2958.9878703519589</v>
      </c>
      <c r="R1416" s="114">
        <v>7920</v>
      </c>
      <c r="S1416" s="335">
        <v>43830</v>
      </c>
    </row>
    <row r="1417" spans="1:19" s="51" customFormat="1" ht="31.5">
      <c r="A1417" s="107">
        <f t="shared" si="410"/>
        <v>11</v>
      </c>
      <c r="B1417" s="945" t="s">
        <v>486</v>
      </c>
      <c r="C1417" s="118">
        <v>1969</v>
      </c>
      <c r="D1417" s="118"/>
      <c r="E1417" s="611" t="s">
        <v>218</v>
      </c>
      <c r="F1417" s="958">
        <v>2</v>
      </c>
      <c r="G1417" s="958">
        <v>2</v>
      </c>
      <c r="H1417" s="959">
        <v>502</v>
      </c>
      <c r="I1417" s="960">
        <v>502</v>
      </c>
      <c r="J1417" s="959">
        <v>340.9</v>
      </c>
      <c r="K1417" s="958">
        <v>15</v>
      </c>
      <c r="L1417" s="655">
        <f t="shared" ref="L1417:L1422" si="414">O1417</f>
        <v>1488068</v>
      </c>
      <c r="M1417" s="113">
        <v>0</v>
      </c>
      <c r="N1417" s="113">
        <v>0</v>
      </c>
      <c r="O1417" s="113">
        <v>1488068</v>
      </c>
      <c r="P1417" s="113">
        <v>0</v>
      </c>
      <c r="Q1417" s="170">
        <f t="shared" si="413"/>
        <v>2964.2788844621514</v>
      </c>
      <c r="R1417" s="114">
        <v>7920</v>
      </c>
      <c r="S1417" s="335">
        <v>43830</v>
      </c>
    </row>
    <row r="1418" spans="1:19" s="51" customFormat="1" ht="31.5">
      <c r="A1418" s="107">
        <f t="shared" si="410"/>
        <v>12</v>
      </c>
      <c r="B1418" s="945" t="s">
        <v>1015</v>
      </c>
      <c r="C1418" s="118">
        <v>1964</v>
      </c>
      <c r="D1418" s="118"/>
      <c r="E1418" s="611" t="s">
        <v>218</v>
      </c>
      <c r="F1418" s="958">
        <v>2</v>
      </c>
      <c r="G1418" s="958">
        <v>1</v>
      </c>
      <c r="H1418" s="959">
        <v>303.89999999999998</v>
      </c>
      <c r="I1418" s="960">
        <v>303.89999999999998</v>
      </c>
      <c r="J1418" s="959">
        <v>209.5</v>
      </c>
      <c r="K1418" s="958">
        <v>9</v>
      </c>
      <c r="L1418" s="655">
        <f t="shared" si="414"/>
        <v>931593</v>
      </c>
      <c r="M1418" s="113">
        <v>0</v>
      </c>
      <c r="N1418" s="113">
        <v>0</v>
      </c>
      <c r="O1418" s="113">
        <v>931593</v>
      </c>
      <c r="P1418" s="113">
        <v>0</v>
      </c>
      <c r="Q1418" s="170">
        <f t="shared" si="413"/>
        <v>3065.4590325765057</v>
      </c>
      <c r="R1418" s="114">
        <v>7920</v>
      </c>
      <c r="S1418" s="335">
        <v>43830</v>
      </c>
    </row>
    <row r="1419" spans="1:19" s="1" customFormat="1" ht="31.5">
      <c r="A1419" s="107">
        <f t="shared" si="410"/>
        <v>13</v>
      </c>
      <c r="B1419" s="171" t="s">
        <v>1016</v>
      </c>
      <c r="C1419" s="172" t="s">
        <v>190</v>
      </c>
      <c r="D1419" s="171"/>
      <c r="E1419" s="611" t="s">
        <v>218</v>
      </c>
      <c r="F1419" s="958">
        <v>1</v>
      </c>
      <c r="G1419" s="958">
        <v>2</v>
      </c>
      <c r="H1419" s="959">
        <v>113.3</v>
      </c>
      <c r="I1419" s="960">
        <v>113.3</v>
      </c>
      <c r="J1419" s="959">
        <v>89.2</v>
      </c>
      <c r="K1419" s="958">
        <v>6</v>
      </c>
      <c r="L1419" s="655">
        <f t="shared" si="414"/>
        <v>741660</v>
      </c>
      <c r="M1419" s="113">
        <v>0</v>
      </c>
      <c r="N1419" s="113">
        <v>0</v>
      </c>
      <c r="O1419" s="113">
        <v>741660</v>
      </c>
      <c r="P1419" s="113">
        <v>0</v>
      </c>
      <c r="Q1419" s="170">
        <f t="shared" si="413"/>
        <v>6545.9841129744045</v>
      </c>
      <c r="R1419" s="114">
        <v>7920</v>
      </c>
      <c r="S1419" s="335">
        <v>43830</v>
      </c>
    </row>
    <row r="1420" spans="1:19" s="1" customFormat="1" ht="31.5">
      <c r="A1420" s="107">
        <f t="shared" si="410"/>
        <v>14</v>
      </c>
      <c r="B1420" s="945" t="s">
        <v>1017</v>
      </c>
      <c r="C1420" s="118">
        <v>1972</v>
      </c>
      <c r="D1420" s="118"/>
      <c r="E1420" s="611" t="s">
        <v>218</v>
      </c>
      <c r="F1420" s="958">
        <v>3</v>
      </c>
      <c r="G1420" s="958">
        <v>2</v>
      </c>
      <c r="H1420" s="959">
        <v>979.7</v>
      </c>
      <c r="I1420" s="960">
        <v>979.7</v>
      </c>
      <c r="J1420" s="959">
        <v>648</v>
      </c>
      <c r="K1420" s="958">
        <v>42</v>
      </c>
      <c r="L1420" s="655">
        <f t="shared" si="414"/>
        <v>1854480</v>
      </c>
      <c r="M1420" s="113">
        <v>0</v>
      </c>
      <c r="N1420" s="113">
        <v>0</v>
      </c>
      <c r="O1420" s="113">
        <v>1854480</v>
      </c>
      <c r="P1420" s="113">
        <v>0</v>
      </c>
      <c r="Q1420" s="170">
        <f t="shared" si="413"/>
        <v>1892.9059916300907</v>
      </c>
      <c r="R1420" s="114">
        <v>7920</v>
      </c>
      <c r="S1420" s="335">
        <v>43830</v>
      </c>
    </row>
    <row r="1421" spans="1:19" s="23" customFormat="1" ht="31.5">
      <c r="A1421" s="107">
        <f t="shared" si="410"/>
        <v>15</v>
      </c>
      <c r="B1421" s="567" t="s">
        <v>1018</v>
      </c>
      <c r="C1421" s="118">
        <v>1972</v>
      </c>
      <c r="D1421" s="118"/>
      <c r="E1421" s="611" t="s">
        <v>218</v>
      </c>
      <c r="F1421" s="958">
        <v>5</v>
      </c>
      <c r="G1421" s="958">
        <v>4</v>
      </c>
      <c r="H1421" s="959">
        <v>3178.4</v>
      </c>
      <c r="I1421" s="960">
        <v>3178.4</v>
      </c>
      <c r="J1421" s="959">
        <v>3099.9</v>
      </c>
      <c r="K1421" s="958">
        <v>121</v>
      </c>
      <c r="L1421" s="655">
        <f t="shared" si="414"/>
        <v>2161845</v>
      </c>
      <c r="M1421" s="113">
        <v>0</v>
      </c>
      <c r="N1421" s="113">
        <v>0</v>
      </c>
      <c r="O1421" s="113">
        <v>2161845</v>
      </c>
      <c r="P1421" s="113">
        <v>0</v>
      </c>
      <c r="Q1421" s="170">
        <f t="shared" si="413"/>
        <v>680.16769443745284</v>
      </c>
      <c r="R1421" s="114">
        <v>7920</v>
      </c>
      <c r="S1421" s="335">
        <v>43830</v>
      </c>
    </row>
    <row r="1422" spans="1:19" s="1" customFormat="1" ht="31.5">
      <c r="A1422" s="107">
        <f t="shared" si="410"/>
        <v>16</v>
      </c>
      <c r="B1422" s="945" t="s">
        <v>1019</v>
      </c>
      <c r="C1422" s="118">
        <v>1977</v>
      </c>
      <c r="D1422" s="118"/>
      <c r="E1422" s="611" t="s">
        <v>218</v>
      </c>
      <c r="F1422" s="958">
        <v>5</v>
      </c>
      <c r="G1422" s="958">
        <v>4</v>
      </c>
      <c r="H1422" s="959">
        <v>3147.6</v>
      </c>
      <c r="I1422" s="960">
        <v>3147.6</v>
      </c>
      <c r="J1422" s="959">
        <v>2909.5</v>
      </c>
      <c r="K1422" s="958">
        <v>112</v>
      </c>
      <c r="L1422" s="655">
        <f t="shared" si="414"/>
        <v>2157015</v>
      </c>
      <c r="M1422" s="113">
        <v>0</v>
      </c>
      <c r="N1422" s="113">
        <v>0</v>
      </c>
      <c r="O1422" s="113">
        <v>2157015</v>
      </c>
      <c r="P1422" s="113">
        <v>0</v>
      </c>
      <c r="Q1422" s="170">
        <f t="shared" si="413"/>
        <v>685.28879146016016</v>
      </c>
      <c r="R1422" s="114">
        <v>7920</v>
      </c>
      <c r="S1422" s="335">
        <v>43830</v>
      </c>
    </row>
    <row r="1423" spans="1:19" s="1" customFormat="1" ht="21.6" customHeight="1">
      <c r="A1423" s="327"/>
      <c r="B1423" s="1338" t="s">
        <v>882</v>
      </c>
      <c r="C1423" s="1338"/>
      <c r="D1423" s="1338"/>
      <c r="E1423" s="1338"/>
      <c r="F1423" s="1346"/>
      <c r="G1423" s="1346"/>
      <c r="H1423" s="976">
        <f>H1424+H1425</f>
        <v>1097.9000000000001</v>
      </c>
      <c r="I1423" s="976">
        <f t="shared" ref="I1423:P1423" si="415">I1424+I1425</f>
        <v>1097.9000000000001</v>
      </c>
      <c r="J1423" s="976">
        <f t="shared" si="415"/>
        <v>848</v>
      </c>
      <c r="K1423" s="977">
        <f t="shared" si="415"/>
        <v>43</v>
      </c>
      <c r="L1423" s="978">
        <f t="shared" si="415"/>
        <v>1917878</v>
      </c>
      <c r="M1423" s="978">
        <f t="shared" si="415"/>
        <v>0</v>
      </c>
      <c r="N1423" s="978">
        <f t="shared" si="415"/>
        <v>0</v>
      </c>
      <c r="O1423" s="978">
        <f t="shared" si="415"/>
        <v>1917878</v>
      </c>
      <c r="P1423" s="978">
        <f t="shared" si="415"/>
        <v>0</v>
      </c>
      <c r="Q1423" s="356" t="s">
        <v>40</v>
      </c>
      <c r="R1423" s="356" t="s">
        <v>40</v>
      </c>
      <c r="S1423" s="335">
        <v>43830</v>
      </c>
    </row>
    <row r="1424" spans="1:19" s="1" customFormat="1" ht="37.15" customHeight="1">
      <c r="A1424" s="327"/>
      <c r="B1424" s="979" t="s">
        <v>886</v>
      </c>
      <c r="C1424" s="980">
        <v>1968</v>
      </c>
      <c r="D1424" s="979"/>
      <c r="E1424" s="330" t="s">
        <v>218</v>
      </c>
      <c r="F1424" s="980">
        <v>2</v>
      </c>
      <c r="G1424" s="980">
        <v>2</v>
      </c>
      <c r="H1424" s="981">
        <v>581.4</v>
      </c>
      <c r="I1424" s="981">
        <v>581.4</v>
      </c>
      <c r="J1424" s="980">
        <v>532</v>
      </c>
      <c r="K1424" s="982">
        <v>21</v>
      </c>
      <c r="L1424" s="333">
        <v>1625233</v>
      </c>
      <c r="M1424" s="333">
        <v>0</v>
      </c>
      <c r="N1424" s="333">
        <v>0</v>
      </c>
      <c r="O1424" s="333">
        <v>1625233</v>
      </c>
      <c r="P1424" s="333">
        <v>0</v>
      </c>
      <c r="Q1424" s="983">
        <f t="shared" si="413"/>
        <v>2795.3783969728242</v>
      </c>
      <c r="R1424" s="334">
        <v>7920</v>
      </c>
      <c r="S1424" s="335">
        <v>43830</v>
      </c>
    </row>
    <row r="1425" spans="1:34" s="1" customFormat="1" ht="24.6" customHeight="1">
      <c r="A1425" s="327"/>
      <c r="B1425" s="979" t="s">
        <v>884</v>
      </c>
      <c r="C1425" s="980">
        <v>1948</v>
      </c>
      <c r="D1425" s="979"/>
      <c r="E1425" s="330" t="s">
        <v>221</v>
      </c>
      <c r="F1425" s="980">
        <v>2</v>
      </c>
      <c r="G1425" s="980">
        <v>2</v>
      </c>
      <c r="H1425" s="981">
        <v>516.5</v>
      </c>
      <c r="I1425" s="981">
        <v>516.5</v>
      </c>
      <c r="J1425" s="980">
        <v>316</v>
      </c>
      <c r="K1425" s="982">
        <v>22</v>
      </c>
      <c r="L1425" s="333">
        <v>292645</v>
      </c>
      <c r="M1425" s="333">
        <v>0</v>
      </c>
      <c r="N1425" s="333">
        <v>0</v>
      </c>
      <c r="O1425" s="333">
        <v>292645</v>
      </c>
      <c r="P1425" s="333">
        <v>0</v>
      </c>
      <c r="Q1425" s="983">
        <f t="shared" si="413"/>
        <v>566.59244917715387</v>
      </c>
      <c r="R1425" s="334">
        <v>7920</v>
      </c>
      <c r="S1425" s="335">
        <v>43830</v>
      </c>
    </row>
    <row r="1426" spans="1:34" s="1" customFormat="1" ht="15.75">
      <c r="A1426" s="107"/>
      <c r="B1426" s="1336" t="s">
        <v>52</v>
      </c>
      <c r="C1426" s="1336"/>
      <c r="D1426" s="1336"/>
      <c r="E1426" s="1336"/>
      <c r="F1426" s="1336"/>
      <c r="G1426" s="1336"/>
      <c r="H1426" s="128">
        <f t="shared" ref="H1426:P1426" si="416">H1430+H1427+H1432</f>
        <v>2403.5</v>
      </c>
      <c r="I1426" s="128">
        <f t="shared" si="416"/>
        <v>2340.1</v>
      </c>
      <c r="J1426" s="128">
        <f t="shared" si="416"/>
        <v>1698.8</v>
      </c>
      <c r="K1426" s="162">
        <f t="shared" si="416"/>
        <v>83</v>
      </c>
      <c r="L1426" s="113">
        <f t="shared" si="416"/>
        <v>3677572</v>
      </c>
      <c r="M1426" s="113">
        <f t="shared" si="416"/>
        <v>0</v>
      </c>
      <c r="N1426" s="113">
        <f t="shared" si="416"/>
        <v>92056</v>
      </c>
      <c r="O1426" s="113">
        <f t="shared" si="416"/>
        <v>3585516</v>
      </c>
      <c r="P1426" s="113">
        <f t="shared" si="416"/>
        <v>0</v>
      </c>
      <c r="Q1426" s="106" t="s">
        <v>40</v>
      </c>
      <c r="R1426" s="106" t="s">
        <v>40</v>
      </c>
      <c r="S1426" s="335">
        <v>43830</v>
      </c>
    </row>
    <row r="1427" spans="1:34" s="1" customFormat="1" ht="15.75">
      <c r="A1427" s="327"/>
      <c r="B1427" s="1338" t="s">
        <v>130</v>
      </c>
      <c r="C1427" s="1338"/>
      <c r="D1427" s="1338"/>
      <c r="E1427" s="1338"/>
      <c r="F1427" s="1338"/>
      <c r="G1427" s="1338"/>
      <c r="H1427" s="353">
        <f>H1428</f>
        <v>747.7</v>
      </c>
      <c r="I1427" s="353">
        <f t="shared" ref="I1427:P1427" si="417">I1428</f>
        <v>747.7</v>
      </c>
      <c r="J1427" s="353">
        <f t="shared" si="417"/>
        <v>505</v>
      </c>
      <c r="K1427" s="353">
        <f t="shared" si="417"/>
        <v>18</v>
      </c>
      <c r="L1427" s="708">
        <f t="shared" si="417"/>
        <v>2385226</v>
      </c>
      <c r="M1427" s="708">
        <f t="shared" si="417"/>
        <v>0</v>
      </c>
      <c r="N1427" s="708">
        <f t="shared" si="417"/>
        <v>0</v>
      </c>
      <c r="O1427" s="708">
        <f t="shared" si="417"/>
        <v>2385226</v>
      </c>
      <c r="P1427" s="708">
        <f t="shared" si="417"/>
        <v>0</v>
      </c>
      <c r="Q1427" s="356" t="s">
        <v>40</v>
      </c>
      <c r="R1427" s="356" t="s">
        <v>40</v>
      </c>
      <c r="S1427" s="335">
        <v>43830</v>
      </c>
    </row>
    <row r="1428" spans="1:34" s="41" customFormat="1" ht="31.5">
      <c r="A1428" s="327" t="e">
        <f>#REF!+1</f>
        <v>#REF!</v>
      </c>
      <c r="B1428" s="868" t="s">
        <v>674</v>
      </c>
      <c r="C1428" s="367">
        <v>1957</v>
      </c>
      <c r="D1428" s="367"/>
      <c r="E1428" s="330" t="s">
        <v>218</v>
      </c>
      <c r="F1428" s="367">
        <v>2</v>
      </c>
      <c r="G1428" s="367">
        <v>2</v>
      </c>
      <c r="H1428" s="367">
        <v>747.7</v>
      </c>
      <c r="I1428" s="367">
        <v>747.7</v>
      </c>
      <c r="J1428" s="367">
        <v>505</v>
      </c>
      <c r="K1428" s="367">
        <v>18</v>
      </c>
      <c r="L1428" s="333">
        <v>2385226</v>
      </c>
      <c r="M1428" s="333">
        <v>0</v>
      </c>
      <c r="N1428" s="333">
        <v>0</v>
      </c>
      <c r="O1428" s="333">
        <f>L1428</f>
        <v>2385226</v>
      </c>
      <c r="P1428" s="333">
        <v>0</v>
      </c>
      <c r="Q1428" s="334">
        <f>L1428/I1428</f>
        <v>3190.0842583924032</v>
      </c>
      <c r="R1428" s="620">
        <v>7920</v>
      </c>
      <c r="S1428" s="335">
        <v>43830</v>
      </c>
    </row>
    <row r="1429" spans="1:34" s="41" customFormat="1" ht="15.75">
      <c r="A1429" s="107"/>
      <c r="B1429" s="145"/>
      <c r="C1429" s="132"/>
      <c r="D1429" s="132"/>
      <c r="E1429" s="109"/>
      <c r="F1429" s="132"/>
      <c r="G1429" s="132"/>
      <c r="H1429" s="174"/>
      <c r="I1429" s="174"/>
      <c r="J1429" s="107"/>
      <c r="K1429" s="107"/>
      <c r="L1429" s="113"/>
      <c r="M1429" s="113"/>
      <c r="N1429" s="113"/>
      <c r="O1429" s="113"/>
      <c r="P1429" s="113"/>
      <c r="Q1429" s="114"/>
      <c r="R1429" s="115"/>
      <c r="S1429" s="335"/>
    </row>
    <row r="1430" spans="1:34" s="1" customFormat="1" ht="15.75" customHeight="1">
      <c r="A1430" s="107"/>
      <c r="B1430" s="1329" t="s">
        <v>109</v>
      </c>
      <c r="C1430" s="1329"/>
      <c r="D1430" s="1329"/>
      <c r="E1430" s="1329"/>
      <c r="F1430" s="1329"/>
      <c r="G1430" s="1329"/>
      <c r="H1430" s="128">
        <f>H1431</f>
        <v>799.3</v>
      </c>
      <c r="I1430" s="106">
        <f t="shared" ref="I1430:P1430" si="418">I1431</f>
        <v>735.9</v>
      </c>
      <c r="J1430" s="106">
        <f t="shared" si="418"/>
        <v>693.8</v>
      </c>
      <c r="K1430" s="119">
        <f t="shared" si="418"/>
        <v>32</v>
      </c>
      <c r="L1430" s="113">
        <v>201010</v>
      </c>
      <c r="M1430" s="113">
        <f t="shared" si="418"/>
        <v>0</v>
      </c>
      <c r="N1430" s="113">
        <f t="shared" si="418"/>
        <v>92056</v>
      </c>
      <c r="O1430" s="113">
        <f t="shared" si="418"/>
        <v>108954</v>
      </c>
      <c r="P1430" s="113">
        <f t="shared" si="418"/>
        <v>0</v>
      </c>
      <c r="Q1430" s="106" t="s">
        <v>40</v>
      </c>
      <c r="R1430" s="106" t="s">
        <v>40</v>
      </c>
      <c r="S1430" s="335">
        <v>43830</v>
      </c>
    </row>
    <row r="1431" spans="1:34" s="1" customFormat="1" ht="15.75">
      <c r="A1431" s="107">
        <f>A1429+1</f>
        <v>1</v>
      </c>
      <c r="B1431" s="303" t="s">
        <v>414</v>
      </c>
      <c r="C1431" s="302">
        <v>1977</v>
      </c>
      <c r="D1431" s="118"/>
      <c r="E1431" s="109" t="s">
        <v>219</v>
      </c>
      <c r="F1431" s="118">
        <v>2</v>
      </c>
      <c r="G1431" s="118">
        <v>2</v>
      </c>
      <c r="H1431" s="128">
        <v>799.3</v>
      </c>
      <c r="I1431" s="106">
        <v>735.9</v>
      </c>
      <c r="J1431" s="106">
        <v>693.8</v>
      </c>
      <c r="K1431" s="119">
        <v>32</v>
      </c>
      <c r="L1431" s="113">
        <v>201010</v>
      </c>
      <c r="M1431" s="113">
        <v>0</v>
      </c>
      <c r="N1431" s="113">
        <v>92056</v>
      </c>
      <c r="O1431" s="113">
        <v>108954</v>
      </c>
      <c r="P1431" s="113">
        <v>0</v>
      </c>
      <c r="Q1431" s="106">
        <f>L1431/I1431</f>
        <v>273.14852561489334</v>
      </c>
      <c r="R1431" s="114">
        <v>6774</v>
      </c>
      <c r="S1431" s="335">
        <v>43830</v>
      </c>
    </row>
    <row r="1432" spans="1:34" s="23" customFormat="1" ht="15.75" customHeight="1">
      <c r="A1432" s="107"/>
      <c r="B1432" s="1334" t="s">
        <v>198</v>
      </c>
      <c r="C1432" s="1334"/>
      <c r="D1432" s="1334"/>
      <c r="E1432" s="1334"/>
      <c r="F1432" s="1334"/>
      <c r="G1432" s="1334"/>
      <c r="H1432" s="128">
        <f>H1433</f>
        <v>856.5</v>
      </c>
      <c r="I1432" s="128">
        <f t="shared" ref="I1432:P1432" si="419">I1433</f>
        <v>856.5</v>
      </c>
      <c r="J1432" s="128">
        <f t="shared" si="419"/>
        <v>500</v>
      </c>
      <c r="K1432" s="175">
        <f t="shared" si="419"/>
        <v>33</v>
      </c>
      <c r="L1432" s="113">
        <f t="shared" si="419"/>
        <v>1091336</v>
      </c>
      <c r="M1432" s="113">
        <f t="shared" si="419"/>
        <v>0</v>
      </c>
      <c r="N1432" s="113">
        <f t="shared" si="419"/>
        <v>0</v>
      </c>
      <c r="O1432" s="113">
        <f t="shared" si="419"/>
        <v>1091336</v>
      </c>
      <c r="P1432" s="113">
        <f t="shared" si="419"/>
        <v>0</v>
      </c>
      <c r="Q1432" s="106" t="s">
        <v>40</v>
      </c>
      <c r="R1432" s="114" t="s">
        <v>40</v>
      </c>
      <c r="S1432" s="335">
        <v>43830</v>
      </c>
    </row>
    <row r="1433" spans="1:34" s="23" customFormat="1" ht="31.5">
      <c r="A1433" s="107">
        <f>A1431+1</f>
        <v>2</v>
      </c>
      <c r="B1433" s="300" t="s">
        <v>415</v>
      </c>
      <c r="C1433" s="302">
        <v>1982</v>
      </c>
      <c r="D1433" s="118"/>
      <c r="E1433" s="109" t="s">
        <v>218</v>
      </c>
      <c r="F1433" s="118">
        <v>2</v>
      </c>
      <c r="G1433" s="118">
        <v>3</v>
      </c>
      <c r="H1433" s="128">
        <v>856.5</v>
      </c>
      <c r="I1433" s="106">
        <v>856.5</v>
      </c>
      <c r="J1433" s="106">
        <v>500</v>
      </c>
      <c r="K1433" s="119">
        <v>33</v>
      </c>
      <c r="L1433" s="113">
        <v>1091336</v>
      </c>
      <c r="M1433" s="113">
        <v>0</v>
      </c>
      <c r="N1433" s="113">
        <v>0</v>
      </c>
      <c r="O1433" s="113">
        <f>L1433</f>
        <v>1091336</v>
      </c>
      <c r="P1433" s="113">
        <v>0</v>
      </c>
      <c r="Q1433" s="106">
        <f>L1433/I1433</f>
        <v>1274.1809690601285</v>
      </c>
      <c r="R1433" s="114">
        <v>6774</v>
      </c>
      <c r="S1433" s="335">
        <v>43830</v>
      </c>
    </row>
    <row r="1434" spans="1:34" s="1" customFormat="1" ht="15.75">
      <c r="A1434" s="107"/>
      <c r="B1434" s="1336" t="s">
        <v>53</v>
      </c>
      <c r="C1434" s="1336"/>
      <c r="D1434" s="1336"/>
      <c r="E1434" s="1336"/>
      <c r="F1434" s="1336"/>
      <c r="G1434" s="1336"/>
      <c r="H1434" s="106">
        <f>H1435+H1447+H1449+H1451+H1458+H1459+H1461</f>
        <v>73224.099999999977</v>
      </c>
      <c r="I1434" s="106">
        <f>I1435+I1447+I1449+I1451+I1458+I1459+I1461</f>
        <v>52965.799999999996</v>
      </c>
      <c r="J1434" s="106">
        <f>J1435+J1447+J1449+J1451+J1458+J1459+J1461</f>
        <v>51251.19999999999</v>
      </c>
      <c r="K1434" s="119">
        <f>K1435+K1447+K1449+K1451+K1458+K1459+K1461</f>
        <v>2435</v>
      </c>
      <c r="L1434" s="113">
        <f>L1449+L1451+L1458+L1459+L1461+L1435+L1447</f>
        <v>45386895.920000002</v>
      </c>
      <c r="M1434" s="113">
        <f>M1449+M1451+M1458+M1459+M1461+M1435+M1447</f>
        <v>0</v>
      </c>
      <c r="N1434" s="113">
        <f>N1449+N1451+N1458+N1459+N1461+N1435+N1447</f>
        <v>146321.84</v>
      </c>
      <c r="O1434" s="113">
        <f>O1449+O1451+O1458+O1459+O1461+O1435+O1447</f>
        <v>45240534.079999998</v>
      </c>
      <c r="P1434" s="113">
        <f>P1449+P1451+P1458+P1459+P1461+P1435+P1447</f>
        <v>0</v>
      </c>
      <c r="Q1434" s="106" t="s">
        <v>40</v>
      </c>
      <c r="R1434" s="106" t="s">
        <v>40</v>
      </c>
      <c r="S1434" s="335">
        <v>43830</v>
      </c>
    </row>
    <row r="1435" spans="1:34" s="1" customFormat="1" ht="21.6" customHeight="1">
      <c r="A1435" s="107"/>
      <c r="B1435" s="1336" t="s">
        <v>88</v>
      </c>
      <c r="C1435" s="1336"/>
      <c r="D1435" s="1336"/>
      <c r="E1435" s="1336"/>
      <c r="F1435" s="1343"/>
      <c r="G1435" s="1343"/>
      <c r="H1435" s="613">
        <f>SUM(H1436:H1446)</f>
        <v>56547.399999999987</v>
      </c>
      <c r="I1435" s="613">
        <f t="shared" ref="I1435:P1435" si="420">SUM(I1436:I1446)</f>
        <v>38077.199999999997</v>
      </c>
      <c r="J1435" s="613">
        <f t="shared" si="420"/>
        <v>37432.799999999996</v>
      </c>
      <c r="K1435" s="613">
        <f t="shared" si="420"/>
        <v>1705</v>
      </c>
      <c r="L1435" s="415">
        <f t="shared" si="420"/>
        <v>29036828</v>
      </c>
      <c r="M1435" s="415">
        <f t="shared" si="420"/>
        <v>0</v>
      </c>
      <c r="N1435" s="415">
        <f t="shared" si="420"/>
        <v>0</v>
      </c>
      <c r="O1435" s="415">
        <f t="shared" si="420"/>
        <v>29036828</v>
      </c>
      <c r="P1435" s="415">
        <f t="shared" si="420"/>
        <v>0</v>
      </c>
      <c r="Q1435" s="106" t="s">
        <v>40</v>
      </c>
      <c r="R1435" s="106" t="s">
        <v>40</v>
      </c>
      <c r="S1435" s="335">
        <v>43830</v>
      </c>
    </row>
    <row r="1436" spans="1:34" s="21" customFormat="1" ht="31.5">
      <c r="A1436" s="327">
        <v>1</v>
      </c>
      <c r="B1436" s="844" t="s">
        <v>756</v>
      </c>
      <c r="C1436" s="397">
        <v>1970</v>
      </c>
      <c r="D1436" s="397"/>
      <c r="E1436" s="744" t="s">
        <v>218</v>
      </c>
      <c r="F1436" s="370">
        <v>5</v>
      </c>
      <c r="G1436" s="370">
        <v>3</v>
      </c>
      <c r="H1436" s="371">
        <v>4419.3999999999996</v>
      </c>
      <c r="I1436" s="371">
        <v>2368.3000000000002</v>
      </c>
      <c r="J1436" s="371">
        <v>2251.8000000000002</v>
      </c>
      <c r="K1436" s="370">
        <v>287</v>
      </c>
      <c r="L1436" s="858">
        <v>3116315</v>
      </c>
      <c r="M1436" s="859">
        <v>0</v>
      </c>
      <c r="N1436" s="333">
        <v>0</v>
      </c>
      <c r="O1436" s="333">
        <f t="shared" ref="O1436:O1446" si="421">L1436</f>
        <v>3116315</v>
      </c>
      <c r="P1436" s="333">
        <v>0</v>
      </c>
      <c r="Q1436" s="334">
        <f t="shared" ref="Q1436:Q1446" si="422">L1436/I1436</f>
        <v>1315.8446987290461</v>
      </c>
      <c r="R1436" s="334">
        <v>7920</v>
      </c>
      <c r="S1436" s="335">
        <v>43830</v>
      </c>
    </row>
    <row r="1437" spans="1:34" s="21" customFormat="1" ht="24.6" customHeight="1">
      <c r="A1437" s="327">
        <f t="shared" si="410"/>
        <v>2</v>
      </c>
      <c r="B1437" s="844" t="s">
        <v>754</v>
      </c>
      <c r="C1437" s="397">
        <v>1974</v>
      </c>
      <c r="D1437" s="397"/>
      <c r="E1437" s="744" t="s">
        <v>219</v>
      </c>
      <c r="F1437" s="580">
        <v>5</v>
      </c>
      <c r="G1437" s="580">
        <v>8</v>
      </c>
      <c r="H1437" s="620">
        <v>4260.8999999999996</v>
      </c>
      <c r="I1437" s="620">
        <v>3791.7</v>
      </c>
      <c r="J1437" s="620">
        <v>3791.7</v>
      </c>
      <c r="K1437" s="370">
        <v>165</v>
      </c>
      <c r="L1437" s="858">
        <v>2952420</v>
      </c>
      <c r="M1437" s="859">
        <v>0</v>
      </c>
      <c r="N1437" s="333">
        <v>0</v>
      </c>
      <c r="O1437" s="333">
        <f t="shared" si="421"/>
        <v>2952420</v>
      </c>
      <c r="P1437" s="333">
        <v>0</v>
      </c>
      <c r="Q1437" s="334">
        <f t="shared" si="422"/>
        <v>778.65337447582885</v>
      </c>
      <c r="R1437" s="334">
        <v>7920</v>
      </c>
      <c r="S1437" s="335">
        <v>43830</v>
      </c>
    </row>
    <row r="1438" spans="1:34" s="21" customFormat="1" ht="24" customHeight="1">
      <c r="A1438" s="327">
        <f t="shared" si="410"/>
        <v>3</v>
      </c>
      <c r="B1438" s="844" t="s">
        <v>755</v>
      </c>
      <c r="C1438" s="397">
        <v>1974</v>
      </c>
      <c r="D1438" s="397"/>
      <c r="E1438" s="744" t="s">
        <v>219</v>
      </c>
      <c r="F1438" s="580">
        <v>5</v>
      </c>
      <c r="G1438" s="580">
        <v>8</v>
      </c>
      <c r="H1438" s="620">
        <v>4253.7</v>
      </c>
      <c r="I1438" s="620">
        <v>3784.3</v>
      </c>
      <c r="J1438" s="620">
        <v>3784.3</v>
      </c>
      <c r="K1438" s="370">
        <v>165</v>
      </c>
      <c r="L1438" s="858">
        <v>2857647</v>
      </c>
      <c r="M1438" s="859">
        <v>0</v>
      </c>
      <c r="N1438" s="333">
        <v>0</v>
      </c>
      <c r="O1438" s="333">
        <f t="shared" si="421"/>
        <v>2857647</v>
      </c>
      <c r="P1438" s="333">
        <v>0</v>
      </c>
      <c r="Q1438" s="334">
        <f t="shared" si="422"/>
        <v>755.13225695637232</v>
      </c>
      <c r="R1438" s="334">
        <v>7920</v>
      </c>
      <c r="S1438" s="335">
        <v>43830</v>
      </c>
    </row>
    <row r="1439" spans="1:34" s="21" customFormat="1" ht="31.5">
      <c r="A1439" s="327">
        <f t="shared" si="410"/>
        <v>4</v>
      </c>
      <c r="B1439" s="844" t="s">
        <v>759</v>
      </c>
      <c r="C1439" s="397">
        <v>1975</v>
      </c>
      <c r="D1439" s="397"/>
      <c r="E1439" s="744" t="s">
        <v>218</v>
      </c>
      <c r="F1439" s="580">
        <v>12</v>
      </c>
      <c r="G1439" s="580">
        <v>1</v>
      </c>
      <c r="H1439" s="620">
        <v>5393.6</v>
      </c>
      <c r="I1439" s="620">
        <v>3815.1</v>
      </c>
      <c r="J1439" s="620">
        <f>I1439-73.9</f>
        <v>3741.2</v>
      </c>
      <c r="K1439" s="370">
        <v>116</v>
      </c>
      <c r="L1439" s="371">
        <v>1532580</v>
      </c>
      <c r="M1439" s="859">
        <v>0</v>
      </c>
      <c r="N1439" s="333">
        <v>0</v>
      </c>
      <c r="O1439" s="333">
        <f t="shared" si="421"/>
        <v>1532580</v>
      </c>
      <c r="P1439" s="333">
        <v>0</v>
      </c>
      <c r="Q1439" s="334">
        <f t="shared" si="422"/>
        <v>401.71424078005822</v>
      </c>
      <c r="R1439" s="334">
        <v>7920</v>
      </c>
      <c r="S1439" s="335">
        <v>43830</v>
      </c>
    </row>
    <row r="1440" spans="1:34" s="21" customFormat="1" ht="15.75">
      <c r="A1440" s="327">
        <f t="shared" si="410"/>
        <v>5</v>
      </c>
      <c r="B1440" s="844" t="s">
        <v>760</v>
      </c>
      <c r="C1440" s="397">
        <v>1964</v>
      </c>
      <c r="D1440" s="397"/>
      <c r="E1440" s="744" t="s">
        <v>220</v>
      </c>
      <c r="F1440" s="580">
        <v>5</v>
      </c>
      <c r="G1440" s="580">
        <v>4</v>
      </c>
      <c r="H1440" s="620">
        <v>5456.4</v>
      </c>
      <c r="I1440" s="620">
        <v>3525.7</v>
      </c>
      <c r="J1440" s="620">
        <f>I1440-160.1</f>
        <v>3365.6</v>
      </c>
      <c r="K1440" s="370">
        <v>152</v>
      </c>
      <c r="L1440" s="858">
        <v>2654053</v>
      </c>
      <c r="M1440" s="859">
        <v>0</v>
      </c>
      <c r="N1440" s="333">
        <v>0</v>
      </c>
      <c r="O1440" s="333">
        <f t="shared" si="421"/>
        <v>2654053</v>
      </c>
      <c r="P1440" s="333">
        <v>0</v>
      </c>
      <c r="Q1440" s="334">
        <f t="shared" si="422"/>
        <v>752.77334997305502</v>
      </c>
      <c r="R1440" s="334">
        <v>7920</v>
      </c>
      <c r="S1440" s="335">
        <v>43830</v>
      </c>
      <c r="T1440" s="52"/>
      <c r="U1440" s="52"/>
      <c r="V1440" s="52"/>
      <c r="W1440" s="52"/>
      <c r="X1440" s="52"/>
      <c r="Y1440" s="52"/>
      <c r="Z1440" s="52"/>
      <c r="AA1440" s="52"/>
      <c r="AB1440" s="52"/>
      <c r="AC1440" s="52"/>
      <c r="AD1440" s="52"/>
      <c r="AE1440" s="52"/>
      <c r="AF1440" s="52"/>
      <c r="AG1440" s="52"/>
      <c r="AH1440" s="52"/>
    </row>
    <row r="1441" spans="1:34" s="52" customFormat="1" ht="15.75">
      <c r="A1441" s="327">
        <f t="shared" si="410"/>
        <v>6</v>
      </c>
      <c r="B1441" s="844" t="s">
        <v>761</v>
      </c>
      <c r="C1441" s="397">
        <v>1968</v>
      </c>
      <c r="D1441" s="397"/>
      <c r="E1441" s="744" t="s">
        <v>219</v>
      </c>
      <c r="F1441" s="580">
        <v>5</v>
      </c>
      <c r="G1441" s="580">
        <v>4</v>
      </c>
      <c r="H1441" s="620">
        <v>5361.8</v>
      </c>
      <c r="I1441" s="620">
        <v>3503.3</v>
      </c>
      <c r="J1441" s="620">
        <f>I1441-41</f>
        <v>3462.3</v>
      </c>
      <c r="K1441" s="370">
        <v>123</v>
      </c>
      <c r="L1441" s="858">
        <v>2653957</v>
      </c>
      <c r="M1441" s="859">
        <v>0</v>
      </c>
      <c r="N1441" s="333">
        <v>0</v>
      </c>
      <c r="O1441" s="333">
        <f t="shared" si="421"/>
        <v>2653957</v>
      </c>
      <c r="P1441" s="333">
        <v>0</v>
      </c>
      <c r="Q1441" s="334">
        <f t="shared" si="422"/>
        <v>757.5591585076927</v>
      </c>
      <c r="R1441" s="334">
        <v>7920</v>
      </c>
      <c r="S1441" s="335">
        <v>43830</v>
      </c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21"/>
    </row>
    <row r="1442" spans="1:34" s="21" customFormat="1" ht="15.75">
      <c r="A1442" s="327">
        <f t="shared" si="410"/>
        <v>7</v>
      </c>
      <c r="B1442" s="844" t="s">
        <v>762</v>
      </c>
      <c r="C1442" s="397">
        <v>1966</v>
      </c>
      <c r="D1442" s="397"/>
      <c r="E1442" s="744" t="s">
        <v>219</v>
      </c>
      <c r="F1442" s="580">
        <v>5</v>
      </c>
      <c r="G1442" s="580">
        <v>4</v>
      </c>
      <c r="H1442" s="620">
        <v>5498.4</v>
      </c>
      <c r="I1442" s="620">
        <v>3455.3</v>
      </c>
      <c r="J1442" s="620">
        <f>I1442-91.5</f>
        <v>3363.8</v>
      </c>
      <c r="K1442" s="370">
        <v>127</v>
      </c>
      <c r="L1442" s="858">
        <v>2653904</v>
      </c>
      <c r="M1442" s="859">
        <v>0</v>
      </c>
      <c r="N1442" s="333">
        <v>0</v>
      </c>
      <c r="O1442" s="333">
        <f t="shared" si="421"/>
        <v>2653904</v>
      </c>
      <c r="P1442" s="333">
        <v>0</v>
      </c>
      <c r="Q1442" s="334">
        <f t="shared" si="422"/>
        <v>768.06760628599534</v>
      </c>
      <c r="R1442" s="334">
        <v>7920</v>
      </c>
      <c r="S1442" s="335">
        <v>43830</v>
      </c>
    </row>
    <row r="1443" spans="1:34" s="52" customFormat="1" ht="15.75">
      <c r="A1443" s="327">
        <f t="shared" si="410"/>
        <v>8</v>
      </c>
      <c r="B1443" s="844" t="s">
        <v>763</v>
      </c>
      <c r="C1443" s="397">
        <v>1970</v>
      </c>
      <c r="D1443" s="397"/>
      <c r="E1443" s="744" t="s">
        <v>219</v>
      </c>
      <c r="F1443" s="580">
        <v>5</v>
      </c>
      <c r="G1443" s="580">
        <v>4</v>
      </c>
      <c r="H1443" s="620">
        <v>5402.7</v>
      </c>
      <c r="I1443" s="620">
        <v>3457.6</v>
      </c>
      <c r="J1443" s="620">
        <f>I1443-77.1</f>
        <v>3380.5</v>
      </c>
      <c r="K1443" s="370">
        <v>159</v>
      </c>
      <c r="L1443" s="858">
        <v>2653979</v>
      </c>
      <c r="M1443" s="859">
        <v>0</v>
      </c>
      <c r="N1443" s="333">
        <v>0</v>
      </c>
      <c r="O1443" s="333">
        <f t="shared" si="421"/>
        <v>2653979</v>
      </c>
      <c r="P1443" s="333">
        <v>0</v>
      </c>
      <c r="Q1443" s="334">
        <f t="shared" si="422"/>
        <v>767.57837806571035</v>
      </c>
      <c r="R1443" s="334">
        <v>7920</v>
      </c>
      <c r="S1443" s="335">
        <v>43830</v>
      </c>
    </row>
    <row r="1444" spans="1:34" s="21" customFormat="1" ht="15.75">
      <c r="A1444" s="327">
        <f t="shared" si="410"/>
        <v>9</v>
      </c>
      <c r="B1444" s="844" t="s">
        <v>764</v>
      </c>
      <c r="C1444" s="397">
        <v>1966</v>
      </c>
      <c r="D1444" s="397"/>
      <c r="E1444" s="744" t="s">
        <v>220</v>
      </c>
      <c r="F1444" s="580">
        <v>5</v>
      </c>
      <c r="G1444" s="580">
        <v>4</v>
      </c>
      <c r="H1444" s="620">
        <v>5532.6</v>
      </c>
      <c r="I1444" s="620">
        <v>3527</v>
      </c>
      <c r="J1444" s="620">
        <f>I1444-43</f>
        <v>3484</v>
      </c>
      <c r="K1444" s="370">
        <v>144</v>
      </c>
      <c r="L1444" s="858">
        <v>2654063</v>
      </c>
      <c r="M1444" s="859">
        <v>0</v>
      </c>
      <c r="N1444" s="333">
        <v>0</v>
      </c>
      <c r="O1444" s="333">
        <f t="shared" si="421"/>
        <v>2654063</v>
      </c>
      <c r="P1444" s="333">
        <v>0</v>
      </c>
      <c r="Q1444" s="334">
        <f t="shared" si="422"/>
        <v>752.49872412815421</v>
      </c>
      <c r="R1444" s="334">
        <v>7920</v>
      </c>
      <c r="S1444" s="335">
        <v>43830</v>
      </c>
    </row>
    <row r="1445" spans="1:34" s="21" customFormat="1" ht="21.6" customHeight="1">
      <c r="A1445" s="327">
        <v>10</v>
      </c>
      <c r="B1445" s="844" t="s">
        <v>765</v>
      </c>
      <c r="C1445" s="397">
        <v>1965</v>
      </c>
      <c r="D1445" s="397"/>
      <c r="E1445" s="744" t="s">
        <v>219</v>
      </c>
      <c r="F1445" s="580">
        <v>5</v>
      </c>
      <c r="G1445" s="580">
        <v>4</v>
      </c>
      <c r="H1445" s="620">
        <v>5561.7</v>
      </c>
      <c r="I1445" s="620">
        <v>3463.1</v>
      </c>
      <c r="J1445" s="620">
        <f>I1445</f>
        <v>3463.1</v>
      </c>
      <c r="K1445" s="370">
        <v>144</v>
      </c>
      <c r="L1445" s="858">
        <v>2653996</v>
      </c>
      <c r="M1445" s="859">
        <v>0</v>
      </c>
      <c r="N1445" s="333">
        <v>0</v>
      </c>
      <c r="O1445" s="333">
        <f t="shared" si="421"/>
        <v>2653996</v>
      </c>
      <c r="P1445" s="333">
        <v>0</v>
      </c>
      <c r="Q1445" s="334">
        <f t="shared" si="422"/>
        <v>766.36424013167391</v>
      </c>
      <c r="R1445" s="334">
        <v>7920</v>
      </c>
      <c r="S1445" s="335">
        <v>43830</v>
      </c>
    </row>
    <row r="1446" spans="1:34" s="21" customFormat="1" ht="20.45" customHeight="1">
      <c r="A1446" s="327">
        <v>11</v>
      </c>
      <c r="B1446" s="844" t="s">
        <v>766</v>
      </c>
      <c r="C1446" s="397">
        <v>1966</v>
      </c>
      <c r="D1446" s="397"/>
      <c r="E1446" s="744" t="s">
        <v>219</v>
      </c>
      <c r="F1446" s="580">
        <v>5</v>
      </c>
      <c r="G1446" s="580">
        <v>4</v>
      </c>
      <c r="H1446" s="620">
        <v>5406.2</v>
      </c>
      <c r="I1446" s="620">
        <v>3385.8</v>
      </c>
      <c r="J1446" s="620">
        <f>I1446-41.3</f>
        <v>3344.5</v>
      </c>
      <c r="K1446" s="370">
        <v>123</v>
      </c>
      <c r="L1446" s="858">
        <v>2653914</v>
      </c>
      <c r="M1446" s="859">
        <v>0</v>
      </c>
      <c r="N1446" s="333">
        <v>0</v>
      </c>
      <c r="O1446" s="333">
        <f t="shared" si="421"/>
        <v>2653914</v>
      </c>
      <c r="P1446" s="333">
        <v>0</v>
      </c>
      <c r="Q1446" s="334">
        <f t="shared" si="422"/>
        <v>783.83661173134851</v>
      </c>
      <c r="R1446" s="334">
        <v>7920</v>
      </c>
      <c r="S1446" s="335">
        <v>43830</v>
      </c>
    </row>
    <row r="1447" spans="1:34" s="21" customFormat="1" ht="15.75" customHeight="1">
      <c r="A1447" s="107"/>
      <c r="B1447" s="1344" t="s">
        <v>132</v>
      </c>
      <c r="C1447" s="1344"/>
      <c r="D1447" s="1344"/>
      <c r="E1447" s="1344"/>
      <c r="F1447" s="1344"/>
      <c r="G1447" s="1344"/>
      <c r="H1447" s="117">
        <f>H1448</f>
        <v>834</v>
      </c>
      <c r="I1447" s="117">
        <f t="shared" ref="I1447:P1447" si="423">I1448</f>
        <v>756.7</v>
      </c>
      <c r="J1447" s="117">
        <f t="shared" si="423"/>
        <v>756.7</v>
      </c>
      <c r="K1447" s="155">
        <f t="shared" si="423"/>
        <v>47</v>
      </c>
      <c r="L1447" s="113">
        <f t="shared" si="423"/>
        <v>1854126</v>
      </c>
      <c r="M1447" s="113">
        <f t="shared" si="423"/>
        <v>0</v>
      </c>
      <c r="N1447" s="113">
        <f t="shared" si="423"/>
        <v>0</v>
      </c>
      <c r="O1447" s="113">
        <f t="shared" si="423"/>
        <v>1854126</v>
      </c>
      <c r="P1447" s="113">
        <f t="shared" si="423"/>
        <v>0</v>
      </c>
      <c r="Q1447" s="114" t="s">
        <v>40</v>
      </c>
      <c r="R1447" s="114" t="s">
        <v>40</v>
      </c>
      <c r="S1447" s="335">
        <v>43830</v>
      </c>
    </row>
    <row r="1448" spans="1:34" s="21" customFormat="1" ht="31.5">
      <c r="A1448" s="327" t="e">
        <f>#REF!+1</f>
        <v>#REF!</v>
      </c>
      <c r="B1448" s="844" t="s">
        <v>702</v>
      </c>
      <c r="C1448" s="397">
        <v>1968</v>
      </c>
      <c r="D1448" s="397"/>
      <c r="E1448" s="330" t="s">
        <v>218</v>
      </c>
      <c r="F1448" s="397">
        <v>2</v>
      </c>
      <c r="G1448" s="397">
        <v>3</v>
      </c>
      <c r="H1448" s="574">
        <v>834</v>
      </c>
      <c r="I1448" s="574">
        <v>756.7</v>
      </c>
      <c r="J1448" s="574">
        <v>756.7</v>
      </c>
      <c r="K1448" s="597">
        <v>47</v>
      </c>
      <c r="L1448" s="333">
        <v>1854126</v>
      </c>
      <c r="M1448" s="333">
        <v>0</v>
      </c>
      <c r="N1448" s="333">
        <v>0</v>
      </c>
      <c r="O1448" s="333">
        <f>L1448</f>
        <v>1854126</v>
      </c>
      <c r="P1448" s="333">
        <v>0</v>
      </c>
      <c r="Q1448" s="334">
        <f>L1448/I1448</f>
        <v>2450.2788423417469</v>
      </c>
      <c r="R1448" s="334">
        <v>7920</v>
      </c>
      <c r="S1448" s="335">
        <v>43830</v>
      </c>
    </row>
    <row r="1449" spans="1:34" s="1" customFormat="1" ht="15.75" customHeight="1">
      <c r="A1449" s="107"/>
      <c r="B1449" s="1329" t="s">
        <v>110</v>
      </c>
      <c r="C1449" s="1329"/>
      <c r="D1449" s="1329"/>
      <c r="E1449" s="1329"/>
      <c r="F1449" s="1329"/>
      <c r="G1449" s="1329"/>
      <c r="H1449" s="128">
        <f t="shared" ref="H1449:O1449" si="424">SUM(H1450:H1450)</f>
        <v>1394.2</v>
      </c>
      <c r="I1449" s="106">
        <f t="shared" si="424"/>
        <v>990.2</v>
      </c>
      <c r="J1449" s="106">
        <f t="shared" si="424"/>
        <v>764.2</v>
      </c>
      <c r="K1449" s="119">
        <f t="shared" si="424"/>
        <v>60</v>
      </c>
      <c r="L1449" s="113">
        <f t="shared" si="424"/>
        <v>2569441</v>
      </c>
      <c r="M1449" s="113">
        <f t="shared" si="424"/>
        <v>0</v>
      </c>
      <c r="N1449" s="113">
        <f t="shared" si="424"/>
        <v>0</v>
      </c>
      <c r="O1449" s="113">
        <f t="shared" si="424"/>
        <v>2569441</v>
      </c>
      <c r="P1449" s="113">
        <v>0</v>
      </c>
      <c r="Q1449" s="106" t="s">
        <v>40</v>
      </c>
      <c r="R1449" s="106" t="s">
        <v>40</v>
      </c>
      <c r="S1449" s="335">
        <v>43830</v>
      </c>
    </row>
    <row r="1450" spans="1:34" s="1" customFormat="1" ht="15.75">
      <c r="A1450" s="327" t="e">
        <f>A1448+1</f>
        <v>#REF!</v>
      </c>
      <c r="B1450" s="328" t="s">
        <v>477</v>
      </c>
      <c r="C1450" s="327">
        <v>1965</v>
      </c>
      <c r="D1450" s="329"/>
      <c r="E1450" s="330" t="s">
        <v>473</v>
      </c>
      <c r="F1450" s="329">
        <v>3</v>
      </c>
      <c r="G1450" s="329">
        <v>3</v>
      </c>
      <c r="H1450" s="331">
        <v>1394.2</v>
      </c>
      <c r="I1450" s="329">
        <v>990.2</v>
      </c>
      <c r="J1450" s="329">
        <v>764.2</v>
      </c>
      <c r="K1450" s="332">
        <v>60</v>
      </c>
      <c r="L1450" s="333">
        <v>2569441</v>
      </c>
      <c r="M1450" s="333">
        <v>0</v>
      </c>
      <c r="N1450" s="333">
        <v>0</v>
      </c>
      <c r="O1450" s="333">
        <v>2569441</v>
      </c>
      <c r="P1450" s="333">
        <v>0</v>
      </c>
      <c r="Q1450" s="334">
        <f>L1450/I1450</f>
        <v>2594.8707331852152</v>
      </c>
      <c r="R1450" s="334">
        <v>7920</v>
      </c>
      <c r="S1450" s="335">
        <v>43830</v>
      </c>
    </row>
    <row r="1451" spans="1:34" s="1" customFormat="1" ht="15.75" customHeight="1">
      <c r="A1451" s="327"/>
      <c r="B1451" s="1335" t="s">
        <v>128</v>
      </c>
      <c r="C1451" s="1335"/>
      <c r="D1451" s="1335"/>
      <c r="E1451" s="1335"/>
      <c r="F1451" s="1345"/>
      <c r="G1451" s="1345"/>
      <c r="H1451" s="811">
        <f>H1452+H1453+H1454</f>
        <v>12875.8</v>
      </c>
      <c r="I1451" s="811">
        <f t="shared" ref="I1451:P1451" si="425">I1452+I1453+I1454</f>
        <v>11648.4</v>
      </c>
      <c r="J1451" s="811">
        <f t="shared" si="425"/>
        <v>11035.6</v>
      </c>
      <c r="K1451" s="811">
        <f t="shared" si="425"/>
        <v>521</v>
      </c>
      <c r="L1451" s="812">
        <f t="shared" si="425"/>
        <v>9681670</v>
      </c>
      <c r="M1451" s="812">
        <f t="shared" si="425"/>
        <v>0</v>
      </c>
      <c r="N1451" s="812">
        <f t="shared" si="425"/>
        <v>0</v>
      </c>
      <c r="O1451" s="812">
        <f t="shared" si="425"/>
        <v>9681670</v>
      </c>
      <c r="P1451" s="812">
        <f t="shared" si="425"/>
        <v>0</v>
      </c>
      <c r="Q1451" s="811" t="s">
        <v>40</v>
      </c>
      <c r="R1451" s="334" t="s">
        <v>40</v>
      </c>
      <c r="S1451" s="335">
        <v>43830</v>
      </c>
    </row>
    <row r="1452" spans="1:34" s="59" customFormat="1" ht="38.450000000000003" customHeight="1">
      <c r="A1452" s="327"/>
      <c r="B1452" s="338" t="s">
        <v>729</v>
      </c>
      <c r="C1452" s="327">
        <v>1970</v>
      </c>
      <c r="D1452" s="329"/>
      <c r="E1452" s="744" t="s">
        <v>218</v>
      </c>
      <c r="F1452" s="813">
        <v>5</v>
      </c>
      <c r="G1452" s="813">
        <v>4</v>
      </c>
      <c r="H1452" s="814">
        <v>3164</v>
      </c>
      <c r="I1452" s="815">
        <v>2892</v>
      </c>
      <c r="J1452" s="814">
        <v>2892</v>
      </c>
      <c r="K1452" s="813">
        <v>107</v>
      </c>
      <c r="L1452" s="816">
        <v>2026223</v>
      </c>
      <c r="M1452" s="816">
        <v>0</v>
      </c>
      <c r="N1452" s="816">
        <v>0</v>
      </c>
      <c r="O1452" s="816">
        <f>L1452</f>
        <v>2026223</v>
      </c>
      <c r="P1452" s="816">
        <v>0</v>
      </c>
      <c r="Q1452" s="817">
        <f t="shared" ref="Q1452:Q1454" si="426">L1452/I1452</f>
        <v>700.63035961272476</v>
      </c>
      <c r="R1452" s="818">
        <v>7920</v>
      </c>
      <c r="S1452" s="335">
        <v>43830</v>
      </c>
    </row>
    <row r="1453" spans="1:34" s="59" customFormat="1" ht="31.5">
      <c r="A1453" s="327"/>
      <c r="B1453" s="338" t="s">
        <v>730</v>
      </c>
      <c r="C1453" s="327">
        <v>1982</v>
      </c>
      <c r="D1453" s="329"/>
      <c r="E1453" s="744" t="s">
        <v>218</v>
      </c>
      <c r="F1453" s="813">
        <v>5</v>
      </c>
      <c r="G1453" s="813">
        <v>7</v>
      </c>
      <c r="H1453" s="814">
        <v>5381</v>
      </c>
      <c r="I1453" s="815">
        <v>4862.3999999999996</v>
      </c>
      <c r="J1453" s="814">
        <v>4530.6000000000004</v>
      </c>
      <c r="K1453" s="813">
        <v>245</v>
      </c>
      <c r="L1453" s="816">
        <v>4351244</v>
      </c>
      <c r="M1453" s="816">
        <v>0</v>
      </c>
      <c r="N1453" s="816">
        <v>0</v>
      </c>
      <c r="O1453" s="816">
        <f t="shared" ref="O1453:O1454" si="427">L1453</f>
        <v>4351244</v>
      </c>
      <c r="P1453" s="816">
        <v>0</v>
      </c>
      <c r="Q1453" s="817">
        <f t="shared" si="426"/>
        <v>894.87578150707475</v>
      </c>
      <c r="R1453" s="818">
        <v>7920</v>
      </c>
      <c r="S1453" s="335">
        <v>43830</v>
      </c>
    </row>
    <row r="1454" spans="1:34" s="59" customFormat="1" ht="31.5">
      <c r="A1454" s="327"/>
      <c r="B1454" s="338" t="s">
        <v>731</v>
      </c>
      <c r="C1454" s="327">
        <v>1982</v>
      </c>
      <c r="D1454" s="329"/>
      <c r="E1454" s="744" t="s">
        <v>218</v>
      </c>
      <c r="F1454" s="813">
        <v>5</v>
      </c>
      <c r="G1454" s="813">
        <v>6</v>
      </c>
      <c r="H1454" s="814">
        <v>4330.8</v>
      </c>
      <c r="I1454" s="815">
        <v>3894</v>
      </c>
      <c r="J1454" s="814">
        <v>3613</v>
      </c>
      <c r="K1454" s="813">
        <v>169</v>
      </c>
      <c r="L1454" s="816">
        <v>3304203</v>
      </c>
      <c r="M1454" s="816">
        <v>0</v>
      </c>
      <c r="N1454" s="816">
        <v>0</v>
      </c>
      <c r="O1454" s="816">
        <f t="shared" si="427"/>
        <v>3304203</v>
      </c>
      <c r="P1454" s="816">
        <v>0</v>
      </c>
      <c r="Q1454" s="817">
        <f t="shared" si="426"/>
        <v>848.53697996918334</v>
      </c>
      <c r="R1454" s="818">
        <v>7920</v>
      </c>
      <c r="S1454" s="335">
        <v>43830</v>
      </c>
    </row>
    <row r="1455" spans="1:34" s="59" customFormat="1" ht="15.75">
      <c r="A1455" s="327"/>
      <c r="B1455" s="338"/>
      <c r="C1455" s="327"/>
      <c r="D1455" s="329"/>
      <c r="E1455" s="330"/>
      <c r="F1455" s="636"/>
      <c r="G1455" s="636"/>
      <c r="H1455" s="636"/>
      <c r="I1455" s="637"/>
      <c r="J1455" s="636"/>
      <c r="K1455" s="636"/>
      <c r="L1455" s="625"/>
      <c r="M1455" s="625"/>
      <c r="N1455" s="625"/>
      <c r="O1455" s="625"/>
      <c r="P1455" s="625"/>
      <c r="Q1455" s="626"/>
      <c r="R1455" s="334"/>
      <c r="S1455" s="335"/>
    </row>
    <row r="1456" spans="1:34" s="59" customFormat="1" ht="15.75">
      <c r="A1456" s="327"/>
      <c r="B1456" s="338"/>
      <c r="C1456" s="327"/>
      <c r="D1456" s="329"/>
      <c r="E1456" s="330"/>
      <c r="F1456" s="329"/>
      <c r="G1456" s="329"/>
      <c r="H1456" s="329"/>
      <c r="I1456" s="352"/>
      <c r="J1456" s="329"/>
      <c r="K1456" s="329"/>
      <c r="L1456" s="333"/>
      <c r="M1456" s="333"/>
      <c r="N1456" s="333"/>
      <c r="O1456" s="333"/>
      <c r="P1456" s="333"/>
      <c r="Q1456" s="334"/>
      <c r="R1456" s="334"/>
      <c r="S1456" s="335"/>
    </row>
    <row r="1457" spans="1:19" s="59" customFormat="1" ht="15.75">
      <c r="A1457" s="327"/>
      <c r="B1457" s="338"/>
      <c r="C1457" s="327"/>
      <c r="D1457" s="329"/>
      <c r="E1457" s="330"/>
      <c r="F1457" s="329"/>
      <c r="G1457" s="329"/>
      <c r="H1457" s="329"/>
      <c r="I1457" s="352"/>
      <c r="J1457" s="329"/>
      <c r="K1457" s="329"/>
      <c r="L1457" s="333"/>
      <c r="M1457" s="333"/>
      <c r="N1457" s="333"/>
      <c r="O1457" s="333"/>
      <c r="P1457" s="333"/>
      <c r="Q1457" s="334"/>
      <c r="R1457" s="334"/>
      <c r="S1457" s="335"/>
    </row>
    <row r="1458" spans="1:19" s="1" customFormat="1" ht="29.45" customHeight="1">
      <c r="A1458" s="107"/>
      <c r="B1458" s="1336" t="s">
        <v>994</v>
      </c>
      <c r="C1458" s="1336"/>
      <c r="D1458" s="1336"/>
      <c r="E1458" s="1336"/>
      <c r="F1458" s="1336"/>
      <c r="G1458" s="1336"/>
      <c r="H1458" s="128">
        <v>0</v>
      </c>
      <c r="I1458" s="106">
        <v>0</v>
      </c>
      <c r="J1458" s="106">
        <v>0</v>
      </c>
      <c r="K1458" s="119">
        <v>0</v>
      </c>
      <c r="L1458" s="113">
        <v>0</v>
      </c>
      <c r="M1458" s="113">
        <v>0</v>
      </c>
      <c r="N1458" s="113">
        <v>0</v>
      </c>
      <c r="O1458" s="113">
        <v>0</v>
      </c>
      <c r="P1458" s="113">
        <v>0</v>
      </c>
      <c r="Q1458" s="106" t="s">
        <v>40</v>
      </c>
      <c r="R1458" s="114" t="s">
        <v>40</v>
      </c>
      <c r="S1458" s="335">
        <v>43830</v>
      </c>
    </row>
    <row r="1459" spans="1:19" s="1" customFormat="1" ht="15.75" customHeight="1">
      <c r="A1459" s="107"/>
      <c r="B1459" s="1329" t="s">
        <v>111</v>
      </c>
      <c r="C1459" s="1329"/>
      <c r="D1459" s="1329"/>
      <c r="E1459" s="1329"/>
      <c r="F1459" s="1329"/>
      <c r="G1459" s="1329"/>
      <c r="H1459" s="128">
        <f>H1460</f>
        <v>533.5</v>
      </c>
      <c r="I1459" s="128">
        <f t="shared" ref="I1459:J1459" si="428">I1460</f>
        <v>525.5</v>
      </c>
      <c r="J1459" s="128">
        <f t="shared" si="428"/>
        <v>294.10000000000002</v>
      </c>
      <c r="K1459" s="119">
        <f>K1460</f>
        <v>54</v>
      </c>
      <c r="L1459" s="113">
        <f>L1460</f>
        <v>657835.92000000004</v>
      </c>
      <c r="M1459" s="113">
        <f t="shared" ref="M1459:P1459" si="429">M1460</f>
        <v>0</v>
      </c>
      <c r="N1459" s="113">
        <f t="shared" si="429"/>
        <v>146321.84</v>
      </c>
      <c r="O1459" s="113">
        <f t="shared" si="429"/>
        <v>511514.08</v>
      </c>
      <c r="P1459" s="113">
        <f t="shared" si="429"/>
        <v>0</v>
      </c>
      <c r="Q1459" s="106" t="s">
        <v>40</v>
      </c>
      <c r="R1459" s="106" t="s">
        <v>40</v>
      </c>
      <c r="S1459" s="335">
        <v>43830</v>
      </c>
    </row>
    <row r="1460" spans="1:19" s="1" customFormat="1" ht="31.5">
      <c r="A1460" s="107" t="e">
        <f>#REF!+1</f>
        <v>#REF!</v>
      </c>
      <c r="B1460" s="303" t="s">
        <v>420</v>
      </c>
      <c r="C1460" s="302">
        <v>1967</v>
      </c>
      <c r="D1460" s="304"/>
      <c r="E1460" s="109" t="s">
        <v>218</v>
      </c>
      <c r="F1460" s="118">
        <v>2</v>
      </c>
      <c r="G1460" s="118">
        <v>2</v>
      </c>
      <c r="H1460" s="128">
        <v>533.5</v>
      </c>
      <c r="I1460" s="106">
        <v>525.5</v>
      </c>
      <c r="J1460" s="106">
        <v>294.10000000000002</v>
      </c>
      <c r="K1460" s="119">
        <v>54</v>
      </c>
      <c r="L1460" s="113">
        <v>657835.92000000004</v>
      </c>
      <c r="M1460" s="113">
        <v>0</v>
      </c>
      <c r="N1460" s="113">
        <v>146321.84</v>
      </c>
      <c r="O1460" s="113">
        <v>511514.08</v>
      </c>
      <c r="P1460" s="113">
        <v>0</v>
      </c>
      <c r="Q1460" s="106">
        <f>L1459/I1460</f>
        <v>1251.828582302569</v>
      </c>
      <c r="R1460" s="114">
        <v>6774</v>
      </c>
      <c r="S1460" s="335">
        <v>43830</v>
      </c>
    </row>
    <row r="1461" spans="1:19" s="1" customFormat="1" ht="15.75">
      <c r="A1461" s="327"/>
      <c r="B1461" s="1338" t="s">
        <v>129</v>
      </c>
      <c r="C1461" s="1338"/>
      <c r="D1461" s="1338"/>
      <c r="E1461" s="1338"/>
      <c r="F1461" s="1338"/>
      <c r="G1461" s="1338"/>
      <c r="H1461" s="353">
        <f>H1462</f>
        <v>1039.2</v>
      </c>
      <c r="I1461" s="353">
        <f t="shared" ref="I1461:P1461" si="430">I1462</f>
        <v>967.8</v>
      </c>
      <c r="J1461" s="353">
        <f t="shared" si="430"/>
        <v>967.8</v>
      </c>
      <c r="K1461" s="353">
        <f t="shared" si="430"/>
        <v>48</v>
      </c>
      <c r="L1461" s="708">
        <f t="shared" si="430"/>
        <v>1586995</v>
      </c>
      <c r="M1461" s="708">
        <f t="shared" si="430"/>
        <v>0</v>
      </c>
      <c r="N1461" s="708">
        <f t="shared" si="430"/>
        <v>0</v>
      </c>
      <c r="O1461" s="708">
        <f t="shared" si="430"/>
        <v>1586955</v>
      </c>
      <c r="P1461" s="708">
        <f t="shared" si="430"/>
        <v>0</v>
      </c>
      <c r="Q1461" s="356" t="s">
        <v>40</v>
      </c>
      <c r="R1461" s="334" t="s">
        <v>40</v>
      </c>
      <c r="S1461" s="335">
        <v>43830</v>
      </c>
    </row>
    <row r="1462" spans="1:19" s="59" customFormat="1" ht="31.5">
      <c r="A1462" s="327" t="e">
        <f>A1460+1</f>
        <v>#REF!</v>
      </c>
      <c r="B1462" s="338" t="s">
        <v>683</v>
      </c>
      <c r="C1462" s="329"/>
      <c r="D1462" s="329"/>
      <c r="E1462" s="330" t="s">
        <v>218</v>
      </c>
      <c r="F1462" s="329">
        <v>3</v>
      </c>
      <c r="G1462" s="329">
        <v>2</v>
      </c>
      <c r="H1462" s="327">
        <v>1039.2</v>
      </c>
      <c r="I1462" s="329">
        <v>967.8</v>
      </c>
      <c r="J1462" s="329">
        <v>967.8</v>
      </c>
      <c r="K1462" s="329">
        <v>48</v>
      </c>
      <c r="L1462" s="333">
        <v>1586995</v>
      </c>
      <c r="M1462" s="333">
        <v>0</v>
      </c>
      <c r="N1462" s="333">
        <v>0</v>
      </c>
      <c r="O1462" s="333">
        <v>1586955</v>
      </c>
      <c r="P1462" s="333">
        <v>0</v>
      </c>
      <c r="Q1462" s="334">
        <f>L1462/I1462</f>
        <v>1639.7964455466006</v>
      </c>
      <c r="R1462" s="334">
        <v>7920</v>
      </c>
      <c r="S1462" s="335">
        <v>43830</v>
      </c>
    </row>
    <row r="1463" spans="1:19" s="59" customFormat="1" ht="15.75">
      <c r="A1463" s="327"/>
      <c r="B1463" s="338"/>
      <c r="C1463" s="329"/>
      <c r="D1463" s="329"/>
      <c r="E1463" s="330"/>
      <c r="F1463" s="329"/>
      <c r="G1463" s="329"/>
      <c r="H1463" s="329"/>
      <c r="I1463" s="329"/>
      <c r="J1463" s="329"/>
      <c r="K1463" s="329"/>
      <c r="L1463" s="333"/>
      <c r="M1463" s="333"/>
      <c r="N1463" s="333"/>
      <c r="O1463" s="333"/>
      <c r="P1463" s="333"/>
      <c r="Q1463" s="334"/>
      <c r="R1463" s="334"/>
      <c r="S1463" s="335"/>
    </row>
    <row r="1464" spans="1:19" s="59" customFormat="1" ht="15.75">
      <c r="A1464" s="327"/>
      <c r="B1464" s="338"/>
      <c r="C1464" s="329"/>
      <c r="D1464" s="329"/>
      <c r="E1464" s="330"/>
      <c r="F1464" s="329"/>
      <c r="G1464" s="329"/>
      <c r="H1464" s="329"/>
      <c r="I1464" s="329"/>
      <c r="J1464" s="329"/>
      <c r="K1464" s="329"/>
      <c r="L1464" s="333"/>
      <c r="M1464" s="333"/>
      <c r="N1464" s="333"/>
      <c r="O1464" s="333"/>
      <c r="P1464" s="333"/>
      <c r="Q1464" s="334"/>
      <c r="R1464" s="334"/>
      <c r="S1464" s="335"/>
    </row>
    <row r="1465" spans="1:19" s="59" customFormat="1" ht="15.75">
      <c r="A1465" s="327"/>
      <c r="B1465" s="338"/>
      <c r="C1465" s="329"/>
      <c r="D1465" s="329"/>
      <c r="E1465" s="330"/>
      <c r="F1465" s="329"/>
      <c r="G1465" s="329"/>
      <c r="H1465" s="329"/>
      <c r="I1465" s="329"/>
      <c r="J1465" s="329"/>
      <c r="K1465" s="329"/>
      <c r="L1465" s="333"/>
      <c r="M1465" s="333"/>
      <c r="N1465" s="333"/>
      <c r="O1465" s="333"/>
      <c r="P1465" s="333"/>
      <c r="Q1465" s="334"/>
      <c r="R1465" s="334"/>
      <c r="S1465" s="335"/>
    </row>
    <row r="1466" spans="1:19" s="1" customFormat="1" ht="15.75">
      <c r="A1466" s="107"/>
      <c r="B1466" s="1336" t="s">
        <v>54</v>
      </c>
      <c r="C1466" s="1336"/>
      <c r="D1466" s="1336"/>
      <c r="E1466" s="1336"/>
      <c r="F1466" s="1336"/>
      <c r="G1466" s="1336"/>
      <c r="H1466" s="128">
        <f>H1467</f>
        <v>1983</v>
      </c>
      <c r="I1466" s="106">
        <f t="shared" ref="I1466:P1466" si="431">I1467</f>
        <v>1780.1</v>
      </c>
      <c r="J1466" s="106">
        <f t="shared" si="431"/>
        <v>1780.1</v>
      </c>
      <c r="K1466" s="119">
        <f t="shared" si="431"/>
        <v>80</v>
      </c>
      <c r="L1466" s="113">
        <f t="shared" si="431"/>
        <v>2222747</v>
      </c>
      <c r="M1466" s="113">
        <f t="shared" si="431"/>
        <v>0</v>
      </c>
      <c r="N1466" s="113">
        <f t="shared" si="431"/>
        <v>0</v>
      </c>
      <c r="O1466" s="113">
        <f t="shared" si="431"/>
        <v>2222747</v>
      </c>
      <c r="P1466" s="113">
        <f t="shared" si="431"/>
        <v>0</v>
      </c>
      <c r="Q1466" s="106" t="s">
        <v>40</v>
      </c>
      <c r="R1466" s="106" t="s">
        <v>40</v>
      </c>
      <c r="S1466" s="335">
        <v>43830</v>
      </c>
    </row>
    <row r="1467" spans="1:19" s="1" customFormat="1" ht="15.75" customHeight="1">
      <c r="A1467" s="107"/>
      <c r="B1467" s="1329" t="s">
        <v>112</v>
      </c>
      <c r="C1467" s="1329"/>
      <c r="D1467" s="1329"/>
      <c r="E1467" s="1329"/>
      <c r="F1467" s="1329"/>
      <c r="G1467" s="1329"/>
      <c r="H1467" s="128">
        <f>SUM(H1468:H1470)</f>
        <v>1983</v>
      </c>
      <c r="I1467" s="106">
        <f t="shared" ref="I1467:P1467" si="432">SUM(I1468:I1470)</f>
        <v>1780.1</v>
      </c>
      <c r="J1467" s="106">
        <f t="shared" si="432"/>
        <v>1780.1</v>
      </c>
      <c r="K1467" s="119">
        <f t="shared" si="432"/>
        <v>80</v>
      </c>
      <c r="L1467" s="113">
        <f t="shared" si="432"/>
        <v>2222747</v>
      </c>
      <c r="M1467" s="113">
        <f t="shared" si="432"/>
        <v>0</v>
      </c>
      <c r="N1467" s="113">
        <f t="shared" si="432"/>
        <v>0</v>
      </c>
      <c r="O1467" s="113">
        <f t="shared" si="432"/>
        <v>2222747</v>
      </c>
      <c r="P1467" s="113">
        <f t="shared" si="432"/>
        <v>0</v>
      </c>
      <c r="Q1467" s="106" t="s">
        <v>40</v>
      </c>
      <c r="R1467" s="106" t="s">
        <v>40</v>
      </c>
      <c r="S1467" s="335">
        <v>43830</v>
      </c>
    </row>
    <row r="1468" spans="1:19" s="35" customFormat="1" ht="31.5">
      <c r="A1468" s="107">
        <f>A1465+1</f>
        <v>1</v>
      </c>
      <c r="B1468" s="301" t="s">
        <v>422</v>
      </c>
      <c r="C1468" s="107">
        <v>1972</v>
      </c>
      <c r="D1468" s="173"/>
      <c r="E1468" s="109" t="s">
        <v>218</v>
      </c>
      <c r="F1468" s="108">
        <v>2</v>
      </c>
      <c r="G1468" s="108">
        <v>2</v>
      </c>
      <c r="H1468" s="111">
        <v>778.9</v>
      </c>
      <c r="I1468" s="126">
        <v>719.8</v>
      </c>
      <c r="J1468" s="126">
        <v>719.8</v>
      </c>
      <c r="K1468" s="112">
        <v>27</v>
      </c>
      <c r="L1468" s="113">
        <v>1003542</v>
      </c>
      <c r="M1468" s="113">
        <v>0</v>
      </c>
      <c r="N1468" s="113">
        <v>0</v>
      </c>
      <c r="O1468" s="113">
        <f>L1468</f>
        <v>1003542</v>
      </c>
      <c r="P1468" s="113">
        <v>0</v>
      </c>
      <c r="Q1468" s="114">
        <f>L1468/I1468</f>
        <v>1394.1956098916366</v>
      </c>
      <c r="R1468" s="114">
        <v>6774</v>
      </c>
      <c r="S1468" s="335">
        <v>43830</v>
      </c>
    </row>
    <row r="1469" spans="1:19" s="35" customFormat="1" ht="31.5">
      <c r="A1469" s="107">
        <f t="shared" ref="A1469:A1506" si="433">A1468+1</f>
        <v>2</v>
      </c>
      <c r="B1469" s="301" t="s">
        <v>421</v>
      </c>
      <c r="C1469" s="177">
        <v>1980</v>
      </c>
      <c r="D1469" s="178"/>
      <c r="E1469" s="109" t="s">
        <v>218</v>
      </c>
      <c r="F1469" s="108">
        <v>3</v>
      </c>
      <c r="G1469" s="108">
        <v>2</v>
      </c>
      <c r="H1469" s="111">
        <v>928.6</v>
      </c>
      <c r="I1469" s="126">
        <v>843.2</v>
      </c>
      <c r="J1469" s="126">
        <v>843.2</v>
      </c>
      <c r="K1469" s="112">
        <v>39</v>
      </c>
      <c r="L1469" s="113">
        <v>740146</v>
      </c>
      <c r="M1469" s="113">
        <v>0</v>
      </c>
      <c r="N1469" s="113">
        <v>0</v>
      </c>
      <c r="O1469" s="113">
        <f>L1469</f>
        <v>740146</v>
      </c>
      <c r="P1469" s="113">
        <v>0</v>
      </c>
      <c r="Q1469" s="114">
        <f>L1469/I1469</f>
        <v>877.7822580645161</v>
      </c>
      <c r="R1469" s="114">
        <v>6774</v>
      </c>
      <c r="S1469" s="335">
        <v>43830</v>
      </c>
    </row>
    <row r="1470" spans="1:19" s="35" customFormat="1" ht="15.75">
      <c r="A1470" s="107">
        <f t="shared" si="433"/>
        <v>3</v>
      </c>
      <c r="B1470" s="301" t="s">
        <v>423</v>
      </c>
      <c r="C1470" s="108">
        <v>1965</v>
      </c>
      <c r="D1470" s="173"/>
      <c r="E1470" s="109" t="s">
        <v>221</v>
      </c>
      <c r="F1470" s="108">
        <v>2</v>
      </c>
      <c r="G1470" s="108">
        <v>2</v>
      </c>
      <c r="H1470" s="111">
        <v>275.5</v>
      </c>
      <c r="I1470" s="126">
        <v>217.1</v>
      </c>
      <c r="J1470" s="126">
        <v>217.1</v>
      </c>
      <c r="K1470" s="112">
        <v>14</v>
      </c>
      <c r="L1470" s="113">
        <v>479059</v>
      </c>
      <c r="M1470" s="113">
        <v>0</v>
      </c>
      <c r="N1470" s="113">
        <v>0</v>
      </c>
      <c r="O1470" s="113">
        <f>L1470</f>
        <v>479059</v>
      </c>
      <c r="P1470" s="113">
        <v>0</v>
      </c>
      <c r="Q1470" s="114">
        <f>L1470/I1470</f>
        <v>2206.6282818977429</v>
      </c>
      <c r="R1470" s="114">
        <v>6774</v>
      </c>
      <c r="S1470" s="335">
        <v>43830</v>
      </c>
    </row>
    <row r="1471" spans="1:19" s="1" customFormat="1" ht="15.75">
      <c r="A1471" s="107"/>
      <c r="B1471" s="1336" t="s">
        <v>55</v>
      </c>
      <c r="C1471" s="1336"/>
      <c r="D1471" s="1336"/>
      <c r="E1471" s="1336"/>
      <c r="F1471" s="1336"/>
      <c r="G1471" s="1336"/>
      <c r="H1471" s="128">
        <f>H1472</f>
        <v>988.7</v>
      </c>
      <c r="I1471" s="106">
        <f t="shared" ref="I1471:R1472" si="434">I1472</f>
        <v>893.7</v>
      </c>
      <c r="J1471" s="106">
        <f t="shared" si="434"/>
        <v>636.9</v>
      </c>
      <c r="K1471" s="119">
        <f t="shared" si="434"/>
        <v>17</v>
      </c>
      <c r="L1471" s="113">
        <f t="shared" si="434"/>
        <v>2451868</v>
      </c>
      <c r="M1471" s="113">
        <f t="shared" si="434"/>
        <v>0</v>
      </c>
      <c r="N1471" s="113">
        <f t="shared" si="434"/>
        <v>0</v>
      </c>
      <c r="O1471" s="113">
        <f t="shared" si="434"/>
        <v>2451868</v>
      </c>
      <c r="P1471" s="113">
        <f t="shared" si="434"/>
        <v>0</v>
      </c>
      <c r="Q1471" s="106" t="str">
        <f t="shared" si="434"/>
        <v>Х</v>
      </c>
      <c r="R1471" s="106" t="str">
        <f t="shared" si="434"/>
        <v>Х</v>
      </c>
      <c r="S1471" s="335">
        <v>43830</v>
      </c>
    </row>
    <row r="1472" spans="1:19" s="1" customFormat="1" ht="15.75">
      <c r="A1472" s="107"/>
      <c r="B1472" s="1336" t="s">
        <v>122</v>
      </c>
      <c r="C1472" s="1336"/>
      <c r="D1472" s="1336"/>
      <c r="E1472" s="1336"/>
      <c r="F1472" s="1336"/>
      <c r="G1472" s="1336"/>
      <c r="H1472" s="128">
        <f>H1473</f>
        <v>988.7</v>
      </c>
      <c r="I1472" s="128">
        <f t="shared" si="434"/>
        <v>893.7</v>
      </c>
      <c r="J1472" s="128">
        <f t="shared" si="434"/>
        <v>636.9</v>
      </c>
      <c r="K1472" s="128">
        <f t="shared" si="434"/>
        <v>17</v>
      </c>
      <c r="L1472" s="366">
        <f t="shared" si="434"/>
        <v>2451868</v>
      </c>
      <c r="M1472" s="366">
        <f t="shared" si="434"/>
        <v>0</v>
      </c>
      <c r="N1472" s="366">
        <f t="shared" si="434"/>
        <v>0</v>
      </c>
      <c r="O1472" s="366">
        <f t="shared" si="434"/>
        <v>2451868</v>
      </c>
      <c r="P1472" s="366">
        <f t="shared" si="434"/>
        <v>0</v>
      </c>
      <c r="Q1472" s="106" t="s">
        <v>40</v>
      </c>
      <c r="R1472" s="114" t="s">
        <v>40</v>
      </c>
      <c r="S1472" s="335">
        <v>43830</v>
      </c>
    </row>
    <row r="1473" spans="1:19" s="1" customFormat="1" ht="31.5">
      <c r="A1473" s="327"/>
      <c r="B1473" s="338" t="s">
        <v>390</v>
      </c>
      <c r="C1473" s="555" t="s">
        <v>604</v>
      </c>
      <c r="D1473" s="329"/>
      <c r="E1473" s="330" t="s">
        <v>218</v>
      </c>
      <c r="F1473" s="329">
        <v>2</v>
      </c>
      <c r="G1473" s="329">
        <v>3</v>
      </c>
      <c r="H1473" s="331">
        <v>988.7</v>
      </c>
      <c r="I1473" s="334">
        <v>893.7</v>
      </c>
      <c r="J1473" s="334">
        <v>636.9</v>
      </c>
      <c r="K1473" s="332">
        <v>17</v>
      </c>
      <c r="L1473" s="333">
        <v>2451868</v>
      </c>
      <c r="M1473" s="333">
        <v>0</v>
      </c>
      <c r="N1473" s="333">
        <v>0</v>
      </c>
      <c r="O1473" s="333">
        <v>2451868</v>
      </c>
      <c r="P1473" s="333">
        <v>0</v>
      </c>
      <c r="Q1473" s="334">
        <f>L1473/I1473</f>
        <v>2743.5022938346201</v>
      </c>
      <c r="R1473" s="334">
        <v>7920</v>
      </c>
      <c r="S1473" s="335">
        <v>43830</v>
      </c>
    </row>
    <row r="1474" spans="1:19" s="1" customFormat="1" ht="15.75">
      <c r="A1474" s="327"/>
      <c r="B1474" s="338"/>
      <c r="C1474" s="555"/>
      <c r="D1474" s="329"/>
      <c r="E1474" s="330"/>
      <c r="F1474" s="329"/>
      <c r="G1474" s="329"/>
      <c r="H1474" s="331"/>
      <c r="I1474" s="334"/>
      <c r="J1474" s="334"/>
      <c r="K1474" s="332"/>
      <c r="L1474" s="333"/>
      <c r="M1474" s="333"/>
      <c r="N1474" s="333"/>
      <c r="O1474" s="333"/>
      <c r="P1474" s="333"/>
      <c r="Q1474" s="334"/>
      <c r="R1474" s="334"/>
      <c r="S1474" s="335"/>
    </row>
    <row r="1475" spans="1:19" s="1" customFormat="1" ht="15.75">
      <c r="A1475" s="327"/>
      <c r="B1475" s="338"/>
      <c r="C1475" s="555"/>
      <c r="D1475" s="329"/>
      <c r="E1475" s="330"/>
      <c r="F1475" s="329"/>
      <c r="G1475" s="329"/>
      <c r="H1475" s="331"/>
      <c r="I1475" s="334"/>
      <c r="J1475" s="334"/>
      <c r="K1475" s="332"/>
      <c r="L1475" s="333"/>
      <c r="M1475" s="333"/>
      <c r="N1475" s="333"/>
      <c r="O1475" s="333"/>
      <c r="P1475" s="333"/>
      <c r="Q1475" s="334"/>
      <c r="R1475" s="334"/>
      <c r="S1475" s="335"/>
    </row>
    <row r="1476" spans="1:19" s="1" customFormat="1" ht="15.75">
      <c r="A1476" s="107"/>
      <c r="B1476" s="1336" t="s">
        <v>56</v>
      </c>
      <c r="C1476" s="1336"/>
      <c r="D1476" s="1336"/>
      <c r="E1476" s="1336"/>
      <c r="F1476" s="1336"/>
      <c r="G1476" s="1336"/>
      <c r="H1476" s="128">
        <f t="shared" ref="H1476:P1476" si="435">H1483+H1477+H1485</f>
        <v>8840.7000000000007</v>
      </c>
      <c r="I1476" s="106">
        <f t="shared" si="435"/>
        <v>6723.3</v>
      </c>
      <c r="J1476" s="106">
        <f t="shared" si="435"/>
        <v>6115.2</v>
      </c>
      <c r="K1476" s="119">
        <f t="shared" si="435"/>
        <v>304</v>
      </c>
      <c r="L1476" s="113">
        <f t="shared" si="435"/>
        <v>11882203</v>
      </c>
      <c r="M1476" s="113">
        <f t="shared" si="435"/>
        <v>0</v>
      </c>
      <c r="N1476" s="113">
        <f t="shared" si="435"/>
        <v>0</v>
      </c>
      <c r="O1476" s="113">
        <f t="shared" si="435"/>
        <v>11882203</v>
      </c>
      <c r="P1476" s="113">
        <f t="shared" si="435"/>
        <v>0</v>
      </c>
      <c r="Q1476" s="106" t="str">
        <f t="shared" ref="Q1476:R1476" si="436">Q1477</f>
        <v>Х</v>
      </c>
      <c r="R1476" s="106" t="str">
        <f t="shared" si="436"/>
        <v>Х</v>
      </c>
      <c r="S1476" s="335">
        <v>43830</v>
      </c>
    </row>
    <row r="1477" spans="1:19" s="18" customFormat="1" ht="26.45" customHeight="1">
      <c r="A1477" s="327"/>
      <c r="B1477" s="1330" t="s">
        <v>424</v>
      </c>
      <c r="C1477" s="1330"/>
      <c r="D1477" s="1330"/>
      <c r="E1477" s="1330"/>
      <c r="F1477" s="1342"/>
      <c r="G1477" s="1342"/>
      <c r="H1477" s="740">
        <f>SUM(H1478:H1482)</f>
        <v>4232.5</v>
      </c>
      <c r="I1477" s="740">
        <f t="shared" ref="I1477:P1477" si="437">SUM(I1478:I1482)</f>
        <v>3017.6</v>
      </c>
      <c r="J1477" s="740">
        <f t="shared" si="437"/>
        <v>2627.5</v>
      </c>
      <c r="K1477" s="740">
        <f t="shared" si="437"/>
        <v>175</v>
      </c>
      <c r="L1477" s="741">
        <f t="shared" si="437"/>
        <v>9225003</v>
      </c>
      <c r="M1477" s="741">
        <f t="shared" si="437"/>
        <v>0</v>
      </c>
      <c r="N1477" s="741">
        <f t="shared" si="437"/>
        <v>0</v>
      </c>
      <c r="O1477" s="741">
        <f t="shared" si="437"/>
        <v>9225003</v>
      </c>
      <c r="P1477" s="741">
        <f t="shared" si="437"/>
        <v>0</v>
      </c>
      <c r="Q1477" s="742" t="s">
        <v>40</v>
      </c>
      <c r="R1477" s="743" t="s">
        <v>40</v>
      </c>
      <c r="S1477" s="335">
        <v>43830</v>
      </c>
    </row>
    <row r="1478" spans="1:19" s="62" customFormat="1" ht="31.5">
      <c r="A1478" s="327">
        <f>A1475+1</f>
        <v>1</v>
      </c>
      <c r="B1478" s="621" t="s">
        <v>715</v>
      </c>
      <c r="C1478" s="327">
        <v>1976</v>
      </c>
      <c r="D1478" s="327"/>
      <c r="E1478" s="744" t="s">
        <v>218</v>
      </c>
      <c r="F1478" s="329">
        <v>2</v>
      </c>
      <c r="G1478" s="329">
        <v>2</v>
      </c>
      <c r="H1478" s="358">
        <v>1011.9</v>
      </c>
      <c r="I1478" s="358">
        <v>686.6</v>
      </c>
      <c r="J1478" s="358">
        <v>603</v>
      </c>
      <c r="K1478" s="329">
        <v>62</v>
      </c>
      <c r="L1478" s="745">
        <v>3119960</v>
      </c>
      <c r="M1478" s="745">
        <v>0</v>
      </c>
      <c r="N1478" s="745">
        <v>0</v>
      </c>
      <c r="O1478" s="745">
        <v>3119960</v>
      </c>
      <c r="P1478" s="745">
        <v>0</v>
      </c>
      <c r="Q1478" s="745">
        <f>L1478/I1478</f>
        <v>4544.0722400233035</v>
      </c>
      <c r="R1478" s="745">
        <v>7920</v>
      </c>
      <c r="S1478" s="624">
        <v>43830</v>
      </c>
    </row>
    <row r="1479" spans="1:19" s="62" customFormat="1" ht="31.5">
      <c r="A1479" s="327">
        <f t="shared" si="433"/>
        <v>2</v>
      </c>
      <c r="B1479" s="746" t="s">
        <v>716</v>
      </c>
      <c r="C1479" s="327">
        <v>1957</v>
      </c>
      <c r="D1479" s="327"/>
      <c r="E1479" s="744" t="s">
        <v>218</v>
      </c>
      <c r="F1479" s="329">
        <v>2</v>
      </c>
      <c r="G1479" s="329">
        <v>2</v>
      </c>
      <c r="H1479" s="358">
        <v>978.8</v>
      </c>
      <c r="I1479" s="358">
        <v>798</v>
      </c>
      <c r="J1479" s="358">
        <v>701.9</v>
      </c>
      <c r="K1479" s="329">
        <v>26</v>
      </c>
      <c r="L1479" s="745">
        <v>2408975</v>
      </c>
      <c r="M1479" s="745">
        <v>0</v>
      </c>
      <c r="N1479" s="745">
        <v>0</v>
      </c>
      <c r="O1479" s="745">
        <v>2408975</v>
      </c>
      <c r="P1479" s="745">
        <v>0</v>
      </c>
      <c r="Q1479" s="745">
        <f>L1479/I1479</f>
        <v>3018.7656641604012</v>
      </c>
      <c r="R1479" s="745">
        <v>7920</v>
      </c>
      <c r="S1479" s="624">
        <v>43830</v>
      </c>
    </row>
    <row r="1480" spans="1:19" s="62" customFormat="1" ht="31.5">
      <c r="A1480" s="327">
        <f t="shared" si="433"/>
        <v>3</v>
      </c>
      <c r="B1480" s="621" t="s">
        <v>717</v>
      </c>
      <c r="C1480" s="327">
        <v>1853</v>
      </c>
      <c r="D1480" s="327"/>
      <c r="E1480" s="744" t="s">
        <v>218</v>
      </c>
      <c r="F1480" s="329">
        <v>2</v>
      </c>
      <c r="G1480" s="329">
        <v>1</v>
      </c>
      <c r="H1480" s="358">
        <v>374.3</v>
      </c>
      <c r="I1480" s="358">
        <v>257.89999999999998</v>
      </c>
      <c r="J1480" s="358">
        <v>176</v>
      </c>
      <c r="K1480" s="329">
        <v>14</v>
      </c>
      <c r="L1480" s="745">
        <v>678910</v>
      </c>
      <c r="M1480" s="745">
        <v>0</v>
      </c>
      <c r="N1480" s="745">
        <v>0</v>
      </c>
      <c r="O1480" s="745">
        <v>678910</v>
      </c>
      <c r="P1480" s="745">
        <v>0</v>
      </c>
      <c r="Q1480" s="745">
        <f>L1480/I1480</f>
        <v>2632.4544397053123</v>
      </c>
      <c r="R1480" s="745">
        <v>7920</v>
      </c>
      <c r="S1480" s="624">
        <v>43830</v>
      </c>
    </row>
    <row r="1481" spans="1:19" s="62" customFormat="1" ht="31.5">
      <c r="A1481" s="327">
        <f t="shared" si="433"/>
        <v>4</v>
      </c>
      <c r="B1481" s="619" t="s">
        <v>718</v>
      </c>
      <c r="C1481" s="327">
        <v>1970</v>
      </c>
      <c r="D1481" s="327"/>
      <c r="E1481" s="744" t="s">
        <v>218</v>
      </c>
      <c r="F1481" s="329">
        <v>2</v>
      </c>
      <c r="G1481" s="329">
        <v>2</v>
      </c>
      <c r="H1481" s="358">
        <v>541.9</v>
      </c>
      <c r="I1481" s="358">
        <v>493.7</v>
      </c>
      <c r="J1481" s="358">
        <v>452.5</v>
      </c>
      <c r="K1481" s="329">
        <v>19</v>
      </c>
      <c r="L1481" s="745">
        <v>1603279</v>
      </c>
      <c r="M1481" s="745">
        <v>0</v>
      </c>
      <c r="N1481" s="745">
        <v>0</v>
      </c>
      <c r="O1481" s="745">
        <v>1603279</v>
      </c>
      <c r="P1481" s="745">
        <v>0</v>
      </c>
      <c r="Q1481" s="745">
        <f>L1481/I1481</f>
        <v>3247.4762001215313</v>
      </c>
      <c r="R1481" s="745">
        <v>7920</v>
      </c>
      <c r="S1481" s="624">
        <v>43830</v>
      </c>
    </row>
    <row r="1482" spans="1:19" s="62" customFormat="1" ht="31.5">
      <c r="A1482" s="327">
        <f t="shared" si="433"/>
        <v>5</v>
      </c>
      <c r="B1482" s="621" t="s">
        <v>719</v>
      </c>
      <c r="C1482" s="327">
        <v>1983</v>
      </c>
      <c r="D1482" s="327"/>
      <c r="E1482" s="744" t="s">
        <v>218</v>
      </c>
      <c r="F1482" s="329">
        <v>2</v>
      </c>
      <c r="G1482" s="329">
        <v>2</v>
      </c>
      <c r="H1482" s="358">
        <v>1325.6</v>
      </c>
      <c r="I1482" s="358">
        <v>781.4</v>
      </c>
      <c r="J1482" s="358">
        <v>694.1</v>
      </c>
      <c r="K1482" s="329">
        <v>54</v>
      </c>
      <c r="L1482" s="745">
        <v>1413879</v>
      </c>
      <c r="M1482" s="745">
        <v>0</v>
      </c>
      <c r="N1482" s="745">
        <v>0</v>
      </c>
      <c r="O1482" s="745">
        <v>1413879</v>
      </c>
      <c r="P1482" s="745">
        <v>0</v>
      </c>
      <c r="Q1482" s="745">
        <f>L1482/I1482</f>
        <v>1809.4177117993345</v>
      </c>
      <c r="R1482" s="745">
        <v>7920</v>
      </c>
      <c r="S1482" s="624">
        <v>43830</v>
      </c>
    </row>
    <row r="1483" spans="1:19" s="1" customFormat="1" ht="23.45" customHeight="1">
      <c r="A1483" s="107"/>
      <c r="B1483" s="1329" t="s">
        <v>121</v>
      </c>
      <c r="C1483" s="1329"/>
      <c r="D1483" s="1329"/>
      <c r="E1483" s="1329"/>
      <c r="F1483" s="1329"/>
      <c r="G1483" s="1329"/>
      <c r="H1483" s="128">
        <f>H1484</f>
        <v>3954</v>
      </c>
      <c r="I1483" s="106">
        <f t="shared" ref="I1483:P1483" si="438">I1484</f>
        <v>3051.5</v>
      </c>
      <c r="J1483" s="106">
        <f t="shared" si="438"/>
        <v>2833.5</v>
      </c>
      <c r="K1483" s="119">
        <f t="shared" si="438"/>
        <v>93</v>
      </c>
      <c r="L1483" s="113">
        <f t="shared" si="438"/>
        <v>2068781</v>
      </c>
      <c r="M1483" s="113">
        <f t="shared" si="438"/>
        <v>0</v>
      </c>
      <c r="N1483" s="113">
        <f t="shared" si="438"/>
        <v>0</v>
      </c>
      <c r="O1483" s="113">
        <f t="shared" si="438"/>
        <v>2068781</v>
      </c>
      <c r="P1483" s="113">
        <f t="shared" si="438"/>
        <v>0</v>
      </c>
      <c r="Q1483" s="106" t="s">
        <v>40</v>
      </c>
      <c r="R1483" s="106" t="s">
        <v>40</v>
      </c>
      <c r="S1483" s="335">
        <v>43830</v>
      </c>
    </row>
    <row r="1484" spans="1:19" s="1" customFormat="1" ht="29.45" customHeight="1">
      <c r="A1484" s="107" t="e">
        <f>#REF!+1</f>
        <v>#REF!</v>
      </c>
      <c r="B1484" s="934" t="s">
        <v>993</v>
      </c>
      <c r="C1484" s="302">
        <v>1982</v>
      </c>
      <c r="D1484" s="118"/>
      <c r="E1484" s="109" t="s">
        <v>219</v>
      </c>
      <c r="F1484" s="118">
        <v>5</v>
      </c>
      <c r="G1484" s="118">
        <v>4</v>
      </c>
      <c r="H1484" s="128">
        <v>3954</v>
      </c>
      <c r="I1484" s="106">
        <v>3051.5</v>
      </c>
      <c r="J1484" s="106">
        <v>2833.5</v>
      </c>
      <c r="K1484" s="119">
        <v>93</v>
      </c>
      <c r="L1484" s="113">
        <v>2068781</v>
      </c>
      <c r="M1484" s="113">
        <v>0</v>
      </c>
      <c r="N1484" s="113">
        <v>0</v>
      </c>
      <c r="O1484" s="113">
        <f>L1484</f>
        <v>2068781</v>
      </c>
      <c r="P1484" s="113">
        <v>0</v>
      </c>
      <c r="Q1484" s="106">
        <f>L1484/I1484</f>
        <v>677.95543175487467</v>
      </c>
      <c r="R1484" s="114">
        <v>7920</v>
      </c>
      <c r="S1484" s="335">
        <v>43830</v>
      </c>
    </row>
    <row r="1485" spans="1:19" s="1" customFormat="1" ht="15.75" customHeight="1">
      <c r="A1485" s="107"/>
      <c r="B1485" s="1329" t="s">
        <v>807</v>
      </c>
      <c r="C1485" s="1329"/>
      <c r="D1485" s="1329"/>
      <c r="E1485" s="1329"/>
      <c r="F1485" s="1329"/>
      <c r="G1485" s="1329"/>
      <c r="H1485" s="128">
        <f>H1486</f>
        <v>654.20000000000005</v>
      </c>
      <c r="I1485" s="106">
        <f t="shared" ref="I1485:P1485" si="439">I1486</f>
        <v>654.20000000000005</v>
      </c>
      <c r="J1485" s="106">
        <f t="shared" si="439"/>
        <v>654.20000000000005</v>
      </c>
      <c r="K1485" s="119">
        <f t="shared" si="439"/>
        <v>36</v>
      </c>
      <c r="L1485" s="113">
        <f t="shared" si="439"/>
        <v>588419</v>
      </c>
      <c r="M1485" s="113">
        <f t="shared" si="439"/>
        <v>0</v>
      </c>
      <c r="N1485" s="113">
        <f t="shared" si="439"/>
        <v>0</v>
      </c>
      <c r="O1485" s="113">
        <f t="shared" si="439"/>
        <v>588419</v>
      </c>
      <c r="P1485" s="113">
        <f t="shared" si="439"/>
        <v>0</v>
      </c>
      <c r="Q1485" s="106" t="s">
        <v>40</v>
      </c>
      <c r="R1485" s="106" t="s">
        <v>40</v>
      </c>
      <c r="S1485" s="335">
        <v>43830</v>
      </c>
    </row>
    <row r="1486" spans="1:19" s="1" customFormat="1" ht="31.5">
      <c r="A1486" s="107" t="e">
        <f>A1484+1</f>
        <v>#REF!</v>
      </c>
      <c r="B1486" s="751" t="s">
        <v>809</v>
      </c>
      <c r="C1486" s="302">
        <v>1962</v>
      </c>
      <c r="D1486" s="118"/>
      <c r="E1486" s="109" t="s">
        <v>218</v>
      </c>
      <c r="F1486" s="118">
        <v>2</v>
      </c>
      <c r="G1486" s="118">
        <v>2</v>
      </c>
      <c r="H1486" s="128">
        <v>654.20000000000005</v>
      </c>
      <c r="I1486" s="106">
        <v>654.20000000000005</v>
      </c>
      <c r="J1486" s="106">
        <v>654.20000000000005</v>
      </c>
      <c r="K1486" s="119">
        <v>36</v>
      </c>
      <c r="L1486" s="113">
        <v>588419</v>
      </c>
      <c r="M1486" s="113">
        <v>0</v>
      </c>
      <c r="N1486" s="113">
        <v>0</v>
      </c>
      <c r="O1486" s="113">
        <f>L1486</f>
        <v>588419</v>
      </c>
      <c r="P1486" s="113">
        <v>0</v>
      </c>
      <c r="Q1486" s="106">
        <f>L1486/I1486</f>
        <v>899.4481809844084</v>
      </c>
      <c r="R1486" s="114">
        <v>7920</v>
      </c>
      <c r="S1486" s="335">
        <v>43830</v>
      </c>
    </row>
    <row r="1487" spans="1:19" s="1" customFormat="1" ht="15.75">
      <c r="A1487" s="107"/>
      <c r="B1487" s="1336" t="s">
        <v>57</v>
      </c>
      <c r="C1487" s="1336"/>
      <c r="D1487" s="1336"/>
      <c r="E1487" s="1336"/>
      <c r="F1487" s="1336"/>
      <c r="G1487" s="1336"/>
      <c r="H1487" s="128">
        <f>H1488</f>
        <v>821.12</v>
      </c>
      <c r="I1487" s="128">
        <f t="shared" ref="I1487:P1488" si="440">I1488</f>
        <v>756</v>
      </c>
      <c r="J1487" s="128">
        <f t="shared" si="440"/>
        <v>756</v>
      </c>
      <c r="K1487" s="119">
        <f t="shared" si="440"/>
        <v>21</v>
      </c>
      <c r="L1487" s="113">
        <f t="shared" si="440"/>
        <v>1788296</v>
      </c>
      <c r="M1487" s="113">
        <f t="shared" si="440"/>
        <v>0</v>
      </c>
      <c r="N1487" s="113">
        <f t="shared" si="440"/>
        <v>0</v>
      </c>
      <c r="O1487" s="113">
        <f t="shared" si="440"/>
        <v>1788296</v>
      </c>
      <c r="P1487" s="113">
        <f t="shared" si="440"/>
        <v>0</v>
      </c>
      <c r="Q1487" s="106" t="s">
        <v>40</v>
      </c>
      <c r="R1487" s="114" t="s">
        <v>40</v>
      </c>
      <c r="S1487" s="335">
        <v>43830</v>
      </c>
    </row>
    <row r="1488" spans="1:19" s="1" customFormat="1" ht="15.6" customHeight="1">
      <c r="A1488" s="107"/>
      <c r="B1488" s="1329" t="s">
        <v>119</v>
      </c>
      <c r="C1488" s="1329"/>
      <c r="D1488" s="1329"/>
      <c r="E1488" s="1329"/>
      <c r="F1488" s="1329"/>
      <c r="G1488" s="1329"/>
      <c r="H1488" s="128">
        <f>H1489</f>
        <v>821.12</v>
      </c>
      <c r="I1488" s="128">
        <f t="shared" si="440"/>
        <v>756</v>
      </c>
      <c r="J1488" s="128">
        <f t="shared" si="440"/>
        <v>756</v>
      </c>
      <c r="K1488" s="128">
        <f t="shared" si="440"/>
        <v>21</v>
      </c>
      <c r="L1488" s="565">
        <f t="shared" si="440"/>
        <v>1788296</v>
      </c>
      <c r="M1488" s="565">
        <f t="shared" si="440"/>
        <v>0</v>
      </c>
      <c r="N1488" s="565">
        <f t="shared" si="440"/>
        <v>0</v>
      </c>
      <c r="O1488" s="565">
        <f t="shared" si="440"/>
        <v>1788296</v>
      </c>
      <c r="P1488" s="565">
        <f t="shared" si="440"/>
        <v>0</v>
      </c>
      <c r="Q1488" s="106" t="s">
        <v>40</v>
      </c>
      <c r="R1488" s="106" t="s">
        <v>40</v>
      </c>
      <c r="S1488" s="335">
        <v>43830</v>
      </c>
    </row>
    <row r="1489" spans="1:19" s="23" customFormat="1" ht="31.5">
      <c r="A1489" s="107">
        <v>1</v>
      </c>
      <c r="B1489" s="908" t="s">
        <v>984</v>
      </c>
      <c r="C1489" s="302">
        <v>1920</v>
      </c>
      <c r="D1489" s="118"/>
      <c r="E1489" s="109" t="s">
        <v>218</v>
      </c>
      <c r="F1489" s="118">
        <v>2</v>
      </c>
      <c r="G1489" s="118">
        <v>2</v>
      </c>
      <c r="H1489" s="128">
        <v>821.12</v>
      </c>
      <c r="I1489" s="128">
        <v>756</v>
      </c>
      <c r="J1489" s="128">
        <v>756</v>
      </c>
      <c r="K1489" s="119">
        <v>21</v>
      </c>
      <c r="L1489" s="113">
        <v>1788296</v>
      </c>
      <c r="M1489" s="113">
        <v>0</v>
      </c>
      <c r="N1489" s="113">
        <v>0</v>
      </c>
      <c r="O1489" s="113">
        <f>L1489</f>
        <v>1788296</v>
      </c>
      <c r="P1489" s="113">
        <v>0</v>
      </c>
      <c r="Q1489" s="106">
        <f>L1489/I1489</f>
        <v>2365.4708994708994</v>
      </c>
      <c r="R1489" s="114">
        <v>7920</v>
      </c>
      <c r="S1489" s="335">
        <v>43830</v>
      </c>
    </row>
    <row r="1490" spans="1:19" s="1" customFormat="1" ht="15.75">
      <c r="A1490" s="107"/>
      <c r="B1490" s="1336" t="s">
        <v>58</v>
      </c>
      <c r="C1490" s="1336"/>
      <c r="D1490" s="1336"/>
      <c r="E1490" s="1336"/>
      <c r="F1490" s="1336"/>
      <c r="G1490" s="1336"/>
      <c r="H1490" s="128">
        <f>H1491</f>
        <v>15250.300000000001</v>
      </c>
      <c r="I1490" s="128">
        <f t="shared" ref="I1490:P1490" si="441">I1491</f>
        <v>13418.4</v>
      </c>
      <c r="J1490" s="128">
        <f t="shared" si="441"/>
        <v>12151.1</v>
      </c>
      <c r="K1490" s="119">
        <f t="shared" si="441"/>
        <v>490</v>
      </c>
      <c r="L1490" s="113">
        <f t="shared" si="441"/>
        <v>12013200</v>
      </c>
      <c r="M1490" s="113">
        <f t="shared" si="441"/>
        <v>0</v>
      </c>
      <c r="N1490" s="113">
        <f t="shared" si="441"/>
        <v>0</v>
      </c>
      <c r="O1490" s="113">
        <f t="shared" si="441"/>
        <v>12013200</v>
      </c>
      <c r="P1490" s="113">
        <f t="shared" si="441"/>
        <v>0</v>
      </c>
      <c r="Q1490" s="106" t="s">
        <v>40</v>
      </c>
      <c r="R1490" s="106" t="s">
        <v>40</v>
      </c>
      <c r="S1490" s="335">
        <v>43830</v>
      </c>
    </row>
    <row r="1491" spans="1:19" s="1" customFormat="1" ht="15.75" customHeight="1">
      <c r="A1491" s="107"/>
      <c r="B1491" s="1329" t="s">
        <v>87</v>
      </c>
      <c r="C1491" s="1329"/>
      <c r="D1491" s="1329"/>
      <c r="E1491" s="1329"/>
      <c r="F1491" s="1329"/>
      <c r="G1491" s="1329"/>
      <c r="H1491" s="128">
        <f>SUM(H1492:H1500)</f>
        <v>15250.300000000001</v>
      </c>
      <c r="I1491" s="106">
        <f t="shared" ref="I1491:N1491" si="442">SUM(I1492:I1500)</f>
        <v>13418.4</v>
      </c>
      <c r="J1491" s="106">
        <f t="shared" si="442"/>
        <v>12151.1</v>
      </c>
      <c r="K1491" s="119">
        <f t="shared" si="442"/>
        <v>490</v>
      </c>
      <c r="L1491" s="113">
        <f t="shared" si="442"/>
        <v>12013200</v>
      </c>
      <c r="M1491" s="113">
        <f t="shared" si="442"/>
        <v>0</v>
      </c>
      <c r="N1491" s="113">
        <f t="shared" si="442"/>
        <v>0</v>
      </c>
      <c r="O1491" s="113">
        <f>SUM(O1492:O1500)</f>
        <v>12013200</v>
      </c>
      <c r="P1491" s="113">
        <v>0</v>
      </c>
      <c r="Q1491" s="106" t="s">
        <v>40</v>
      </c>
      <c r="R1491" s="106" t="s">
        <v>40</v>
      </c>
      <c r="S1491" s="335">
        <v>43830</v>
      </c>
    </row>
    <row r="1492" spans="1:19" s="30" customFormat="1" ht="31.5">
      <c r="A1492" s="107">
        <f>A1489+1</f>
        <v>2</v>
      </c>
      <c r="B1492" s="300" t="s">
        <v>425</v>
      </c>
      <c r="C1492" s="179">
        <v>1962</v>
      </c>
      <c r="D1492" s="99"/>
      <c r="E1492" s="109" t="s">
        <v>218</v>
      </c>
      <c r="F1492" s="99">
        <v>5</v>
      </c>
      <c r="G1492" s="99">
        <v>4</v>
      </c>
      <c r="H1492" s="180">
        <v>3382</v>
      </c>
      <c r="I1492" s="115">
        <v>3164.5</v>
      </c>
      <c r="J1492" s="115">
        <v>2546.4</v>
      </c>
      <c r="K1492" s="154">
        <v>88</v>
      </c>
      <c r="L1492" s="113">
        <f t="shared" ref="L1492:L1500" si="443">O1492</f>
        <v>2239107</v>
      </c>
      <c r="M1492" s="113">
        <v>0</v>
      </c>
      <c r="N1492" s="113">
        <v>0</v>
      </c>
      <c r="O1492" s="113">
        <v>2239107</v>
      </c>
      <c r="P1492" s="113">
        <v>0</v>
      </c>
      <c r="Q1492" s="100">
        <f t="shared" ref="Q1492:Q1500" si="444">L1492/I1492</f>
        <v>707.57054826986882</v>
      </c>
      <c r="R1492" s="114">
        <v>6774</v>
      </c>
      <c r="S1492" s="335">
        <v>43830</v>
      </c>
    </row>
    <row r="1493" spans="1:19" s="30" customFormat="1" ht="15.75">
      <c r="A1493" s="107">
        <f t="shared" si="433"/>
        <v>3</v>
      </c>
      <c r="B1493" s="300" t="s">
        <v>79</v>
      </c>
      <c r="C1493" s="99">
        <v>1949</v>
      </c>
      <c r="D1493" s="99"/>
      <c r="E1493" s="109" t="s">
        <v>222</v>
      </c>
      <c r="F1493" s="99">
        <v>2</v>
      </c>
      <c r="G1493" s="99">
        <v>2</v>
      </c>
      <c r="H1493" s="180">
        <v>448.3</v>
      </c>
      <c r="I1493" s="100">
        <v>402.5</v>
      </c>
      <c r="J1493" s="100">
        <v>346.7</v>
      </c>
      <c r="K1493" s="101">
        <v>16</v>
      </c>
      <c r="L1493" s="113">
        <f t="shared" si="443"/>
        <v>706234</v>
      </c>
      <c r="M1493" s="113">
        <v>0</v>
      </c>
      <c r="N1493" s="113">
        <v>0</v>
      </c>
      <c r="O1493" s="113">
        <v>706234</v>
      </c>
      <c r="P1493" s="113">
        <v>0</v>
      </c>
      <c r="Q1493" s="100">
        <f t="shared" si="444"/>
        <v>1754.6186335403727</v>
      </c>
      <c r="R1493" s="114">
        <v>6774</v>
      </c>
      <c r="S1493" s="335">
        <v>43830</v>
      </c>
    </row>
    <row r="1494" spans="1:19" s="30" customFormat="1" ht="15.75">
      <c r="A1494" s="107">
        <f t="shared" si="433"/>
        <v>4</v>
      </c>
      <c r="B1494" s="300" t="s">
        <v>78</v>
      </c>
      <c r="C1494" s="99">
        <v>1949</v>
      </c>
      <c r="D1494" s="99"/>
      <c r="E1494" s="109" t="s">
        <v>221</v>
      </c>
      <c r="F1494" s="99">
        <v>2</v>
      </c>
      <c r="G1494" s="99">
        <v>2</v>
      </c>
      <c r="H1494" s="180">
        <v>438.3</v>
      </c>
      <c r="I1494" s="100">
        <v>393.5</v>
      </c>
      <c r="J1494" s="100">
        <f>I1494-49.9</f>
        <v>343.6</v>
      </c>
      <c r="K1494" s="101">
        <v>16</v>
      </c>
      <c r="L1494" s="113">
        <f t="shared" si="443"/>
        <v>651603</v>
      </c>
      <c r="M1494" s="113">
        <v>0</v>
      </c>
      <c r="N1494" s="113">
        <v>0</v>
      </c>
      <c r="O1494" s="113">
        <v>651603</v>
      </c>
      <c r="P1494" s="113">
        <v>0</v>
      </c>
      <c r="Q1494" s="100">
        <f t="shared" si="444"/>
        <v>1655.9161372299873</v>
      </c>
      <c r="R1494" s="114">
        <v>6774</v>
      </c>
      <c r="S1494" s="335">
        <v>43830</v>
      </c>
    </row>
    <row r="1495" spans="1:19" s="30" customFormat="1" ht="31.5">
      <c r="A1495" s="107">
        <f t="shared" si="433"/>
        <v>5</v>
      </c>
      <c r="B1495" s="300" t="s">
        <v>426</v>
      </c>
      <c r="C1495" s="179">
        <v>1990</v>
      </c>
      <c r="D1495" s="99"/>
      <c r="E1495" s="109" t="s">
        <v>218</v>
      </c>
      <c r="F1495" s="99">
        <v>3</v>
      </c>
      <c r="G1495" s="99">
        <v>1</v>
      </c>
      <c r="H1495" s="180">
        <v>700.1</v>
      </c>
      <c r="I1495" s="115">
        <v>650.70000000000005</v>
      </c>
      <c r="J1495" s="115">
        <v>650.70000000000005</v>
      </c>
      <c r="K1495" s="154">
        <v>18</v>
      </c>
      <c r="L1495" s="113">
        <f t="shared" si="443"/>
        <v>698701</v>
      </c>
      <c r="M1495" s="113">
        <v>0</v>
      </c>
      <c r="N1495" s="113">
        <v>0</v>
      </c>
      <c r="O1495" s="113">
        <v>698701</v>
      </c>
      <c r="P1495" s="113">
        <v>0</v>
      </c>
      <c r="Q1495" s="100">
        <f t="shared" si="444"/>
        <v>1073.7682495773781</v>
      </c>
      <c r="R1495" s="114">
        <v>6774</v>
      </c>
      <c r="S1495" s="335">
        <v>43830</v>
      </c>
    </row>
    <row r="1496" spans="1:19" s="30" customFormat="1" ht="31.5">
      <c r="A1496" s="107">
        <f t="shared" si="433"/>
        <v>6</v>
      </c>
      <c r="B1496" s="300" t="s">
        <v>80</v>
      </c>
      <c r="C1496" s="179">
        <v>1982</v>
      </c>
      <c r="D1496" s="99"/>
      <c r="E1496" s="109" t="s">
        <v>218</v>
      </c>
      <c r="F1496" s="99">
        <v>5</v>
      </c>
      <c r="G1496" s="99">
        <v>4</v>
      </c>
      <c r="H1496" s="181">
        <v>3159.2</v>
      </c>
      <c r="I1496" s="115">
        <v>2600.8000000000002</v>
      </c>
      <c r="J1496" s="115">
        <v>2455.5</v>
      </c>
      <c r="K1496" s="154">
        <v>106</v>
      </c>
      <c r="L1496" s="113">
        <f t="shared" si="443"/>
        <v>1512903</v>
      </c>
      <c r="M1496" s="113">
        <v>0</v>
      </c>
      <c r="N1496" s="113">
        <v>0</v>
      </c>
      <c r="O1496" s="113">
        <v>1512903</v>
      </c>
      <c r="P1496" s="113">
        <v>0</v>
      </c>
      <c r="Q1496" s="100">
        <f t="shared" si="444"/>
        <v>581.70678252845278</v>
      </c>
      <c r="R1496" s="114">
        <v>6774</v>
      </c>
      <c r="S1496" s="335">
        <v>43830</v>
      </c>
    </row>
    <row r="1497" spans="1:19" s="30" customFormat="1" ht="15.75">
      <c r="A1497" s="107">
        <f t="shared" si="433"/>
        <v>7</v>
      </c>
      <c r="B1497" s="300" t="s">
        <v>84</v>
      </c>
      <c r="C1497" s="179">
        <v>1953</v>
      </c>
      <c r="D1497" s="99"/>
      <c r="E1497" s="109" t="s">
        <v>220</v>
      </c>
      <c r="F1497" s="99">
        <v>2</v>
      </c>
      <c r="G1497" s="99">
        <v>2</v>
      </c>
      <c r="H1497" s="181">
        <v>664.5</v>
      </c>
      <c r="I1497" s="115">
        <v>609.4</v>
      </c>
      <c r="J1497" s="115">
        <f>450.2-48.3</f>
        <v>401.9</v>
      </c>
      <c r="K1497" s="154">
        <v>15</v>
      </c>
      <c r="L1497" s="113">
        <f t="shared" si="443"/>
        <v>1668544</v>
      </c>
      <c r="M1497" s="113">
        <v>0</v>
      </c>
      <c r="N1497" s="113">
        <v>0</v>
      </c>
      <c r="O1497" s="113">
        <v>1668544</v>
      </c>
      <c r="P1497" s="113">
        <v>0</v>
      </c>
      <c r="Q1497" s="100">
        <f t="shared" si="444"/>
        <v>2738.0111585165737</v>
      </c>
      <c r="R1497" s="114">
        <v>6774</v>
      </c>
      <c r="S1497" s="335">
        <v>43830</v>
      </c>
    </row>
    <row r="1498" spans="1:19" s="30" customFormat="1" ht="31.5">
      <c r="A1498" s="107">
        <f t="shared" si="433"/>
        <v>8</v>
      </c>
      <c r="B1498" s="300" t="s">
        <v>81</v>
      </c>
      <c r="C1498" s="179">
        <v>1988</v>
      </c>
      <c r="D1498" s="99"/>
      <c r="E1498" s="109" t="s">
        <v>218</v>
      </c>
      <c r="F1498" s="99">
        <v>5</v>
      </c>
      <c r="G1498" s="99">
        <v>6</v>
      </c>
      <c r="H1498" s="181">
        <v>4806.3999999999996</v>
      </c>
      <c r="I1498" s="115">
        <v>4087.2</v>
      </c>
      <c r="J1498" s="115">
        <v>4087.2</v>
      </c>
      <c r="K1498" s="154">
        <v>172</v>
      </c>
      <c r="L1498" s="113">
        <f t="shared" si="443"/>
        <v>2294873</v>
      </c>
      <c r="M1498" s="113">
        <v>0</v>
      </c>
      <c r="N1498" s="113">
        <v>0</v>
      </c>
      <c r="O1498" s="113">
        <v>2294873</v>
      </c>
      <c r="P1498" s="113">
        <v>0</v>
      </c>
      <c r="Q1498" s="100">
        <f t="shared" si="444"/>
        <v>561.47802896848702</v>
      </c>
      <c r="R1498" s="114">
        <v>6774</v>
      </c>
      <c r="S1498" s="335">
        <v>43830</v>
      </c>
    </row>
    <row r="1499" spans="1:19" s="30" customFormat="1" ht="15.75">
      <c r="A1499" s="107">
        <f t="shared" si="433"/>
        <v>9</v>
      </c>
      <c r="B1499" s="300" t="s">
        <v>82</v>
      </c>
      <c r="C1499" s="179">
        <v>1948</v>
      </c>
      <c r="D1499" s="99"/>
      <c r="E1499" s="109" t="s">
        <v>221</v>
      </c>
      <c r="F1499" s="99">
        <v>2</v>
      </c>
      <c r="G1499" s="99">
        <v>1</v>
      </c>
      <c r="H1499" s="181">
        <v>559.9</v>
      </c>
      <c r="I1499" s="115">
        <v>503.7</v>
      </c>
      <c r="J1499" s="115">
        <f>I1499-190.7</f>
        <v>313</v>
      </c>
      <c r="K1499" s="154">
        <v>26</v>
      </c>
      <c r="L1499" s="113">
        <f t="shared" si="443"/>
        <v>879987</v>
      </c>
      <c r="M1499" s="113">
        <v>0</v>
      </c>
      <c r="N1499" s="113">
        <v>0</v>
      </c>
      <c r="O1499" s="113">
        <v>879987</v>
      </c>
      <c r="P1499" s="113">
        <v>0</v>
      </c>
      <c r="Q1499" s="100">
        <f t="shared" si="444"/>
        <v>1747.0458606313282</v>
      </c>
      <c r="R1499" s="114">
        <v>6774</v>
      </c>
      <c r="S1499" s="335">
        <v>43830</v>
      </c>
    </row>
    <row r="1500" spans="1:19" s="30" customFormat="1" ht="31.5">
      <c r="A1500" s="107">
        <f t="shared" si="433"/>
        <v>10</v>
      </c>
      <c r="B1500" s="300" t="s">
        <v>83</v>
      </c>
      <c r="C1500" s="179">
        <v>1958</v>
      </c>
      <c r="D1500" s="99"/>
      <c r="E1500" s="109" t="s">
        <v>218</v>
      </c>
      <c r="F1500" s="99">
        <v>2</v>
      </c>
      <c r="G1500" s="99">
        <v>3</v>
      </c>
      <c r="H1500" s="181">
        <v>1091.5999999999999</v>
      </c>
      <c r="I1500" s="115">
        <v>1006.1</v>
      </c>
      <c r="J1500" s="115">
        <v>1006.1</v>
      </c>
      <c r="K1500" s="154">
        <v>33</v>
      </c>
      <c r="L1500" s="113">
        <f t="shared" si="443"/>
        <v>1361248</v>
      </c>
      <c r="M1500" s="113">
        <v>0</v>
      </c>
      <c r="N1500" s="113">
        <v>0</v>
      </c>
      <c r="O1500" s="113">
        <v>1361248</v>
      </c>
      <c r="P1500" s="113">
        <v>0</v>
      </c>
      <c r="Q1500" s="100">
        <f t="shared" si="444"/>
        <v>1352.9947321339828</v>
      </c>
      <c r="R1500" s="114">
        <v>6774</v>
      </c>
      <c r="S1500" s="335">
        <v>43830</v>
      </c>
    </row>
    <row r="1501" spans="1:19" s="1" customFormat="1" ht="15.75">
      <c r="A1501" s="107"/>
      <c r="B1501" s="1336" t="s">
        <v>60</v>
      </c>
      <c r="C1501" s="1336"/>
      <c r="D1501" s="1336"/>
      <c r="E1501" s="1336"/>
      <c r="F1501" s="1336"/>
      <c r="G1501" s="1336"/>
      <c r="H1501" s="128">
        <f>H1502</f>
        <v>10619.599999999999</v>
      </c>
      <c r="I1501" s="106">
        <f t="shared" ref="I1501:P1501" si="445">I1502</f>
        <v>8195.6999999999989</v>
      </c>
      <c r="J1501" s="106">
        <f t="shared" si="445"/>
        <v>6450.3</v>
      </c>
      <c r="K1501" s="119">
        <f t="shared" si="445"/>
        <v>429</v>
      </c>
      <c r="L1501" s="113">
        <f t="shared" si="445"/>
        <v>9462538</v>
      </c>
      <c r="M1501" s="113">
        <f t="shared" si="445"/>
        <v>0</v>
      </c>
      <c r="N1501" s="113">
        <f t="shared" si="445"/>
        <v>0</v>
      </c>
      <c r="O1501" s="113">
        <f t="shared" si="445"/>
        <v>9462538</v>
      </c>
      <c r="P1501" s="113">
        <f t="shared" si="445"/>
        <v>0</v>
      </c>
      <c r="Q1501" s="106" t="s">
        <v>40</v>
      </c>
      <c r="R1501" s="106" t="s">
        <v>40</v>
      </c>
      <c r="S1501" s="335">
        <v>43830</v>
      </c>
    </row>
    <row r="1502" spans="1:19" s="1" customFormat="1" ht="15.75">
      <c r="A1502" s="107"/>
      <c r="B1502" s="1336" t="s">
        <v>113</v>
      </c>
      <c r="C1502" s="1336"/>
      <c r="D1502" s="1336"/>
      <c r="E1502" s="1336"/>
      <c r="F1502" s="1336"/>
      <c r="G1502" s="1336"/>
      <c r="H1502" s="128">
        <f>SUM(H1503:H1506)</f>
        <v>10619.599999999999</v>
      </c>
      <c r="I1502" s="106">
        <f t="shared" ref="I1502:P1502" si="446">SUM(I1503:I1506)</f>
        <v>8195.6999999999989</v>
      </c>
      <c r="J1502" s="106">
        <f t="shared" si="446"/>
        <v>6450.3</v>
      </c>
      <c r="K1502" s="119">
        <f t="shared" si="446"/>
        <v>429</v>
      </c>
      <c r="L1502" s="113">
        <f t="shared" si="446"/>
        <v>9462538</v>
      </c>
      <c r="M1502" s="113">
        <f t="shared" si="446"/>
        <v>0</v>
      </c>
      <c r="N1502" s="113">
        <f t="shared" si="446"/>
        <v>0</v>
      </c>
      <c r="O1502" s="113">
        <f t="shared" si="446"/>
        <v>9462538</v>
      </c>
      <c r="P1502" s="113">
        <f t="shared" si="446"/>
        <v>0</v>
      </c>
      <c r="Q1502" s="106" t="s">
        <v>40</v>
      </c>
      <c r="R1502" s="106" t="s">
        <v>40</v>
      </c>
      <c r="S1502" s="335">
        <v>43830</v>
      </c>
    </row>
    <row r="1503" spans="1:19" s="53" customFormat="1" ht="15.75">
      <c r="A1503" s="107">
        <f>A1500+1</f>
        <v>11</v>
      </c>
      <c r="B1503" s="301" t="s">
        <v>76</v>
      </c>
      <c r="C1503" s="108">
        <v>1979</v>
      </c>
      <c r="D1503" s="108"/>
      <c r="E1503" s="109" t="s">
        <v>219</v>
      </c>
      <c r="F1503" s="108">
        <v>5</v>
      </c>
      <c r="G1503" s="108">
        <v>4</v>
      </c>
      <c r="H1503" s="111">
        <v>3482.7</v>
      </c>
      <c r="I1503" s="108">
        <v>3216.7</v>
      </c>
      <c r="J1503" s="108">
        <v>2864.9</v>
      </c>
      <c r="K1503" s="112">
        <v>131</v>
      </c>
      <c r="L1503" s="113">
        <v>3626543</v>
      </c>
      <c r="M1503" s="113">
        <v>0</v>
      </c>
      <c r="N1503" s="113">
        <v>0</v>
      </c>
      <c r="O1503" s="113">
        <f>L1503</f>
        <v>3626543</v>
      </c>
      <c r="P1503" s="113">
        <v>0</v>
      </c>
      <c r="Q1503" s="114">
        <f>L1503/I1503</f>
        <v>1127.4110112848573</v>
      </c>
      <c r="R1503" s="114">
        <v>6774</v>
      </c>
      <c r="S1503" s="335">
        <v>43830</v>
      </c>
    </row>
    <row r="1504" spans="1:19" s="53" customFormat="1" ht="31.5">
      <c r="A1504" s="107">
        <f t="shared" si="433"/>
        <v>12</v>
      </c>
      <c r="B1504" s="301" t="s">
        <v>75</v>
      </c>
      <c r="C1504" s="108">
        <v>1978</v>
      </c>
      <c r="D1504" s="108"/>
      <c r="E1504" s="109" t="s">
        <v>218</v>
      </c>
      <c r="F1504" s="108">
        <v>5</v>
      </c>
      <c r="G1504" s="108">
        <v>1</v>
      </c>
      <c r="H1504" s="111">
        <v>4056.6</v>
      </c>
      <c r="I1504" s="108">
        <v>2191.6</v>
      </c>
      <c r="J1504" s="108">
        <v>937</v>
      </c>
      <c r="K1504" s="112">
        <v>196</v>
      </c>
      <c r="L1504" s="113">
        <v>2160246</v>
      </c>
      <c r="M1504" s="113">
        <v>0</v>
      </c>
      <c r="N1504" s="113">
        <v>0</v>
      </c>
      <c r="O1504" s="113">
        <f>L1504</f>
        <v>2160246</v>
      </c>
      <c r="P1504" s="113">
        <v>0</v>
      </c>
      <c r="Q1504" s="114">
        <f>L1504/I1504</f>
        <v>985.69355721847057</v>
      </c>
      <c r="R1504" s="114">
        <v>6774</v>
      </c>
      <c r="S1504" s="335">
        <v>43830</v>
      </c>
    </row>
    <row r="1505" spans="1:19" s="53" customFormat="1" ht="31.5">
      <c r="A1505" s="107">
        <f t="shared" si="433"/>
        <v>13</v>
      </c>
      <c r="B1505" s="301" t="s">
        <v>77</v>
      </c>
      <c r="C1505" s="108">
        <v>1925</v>
      </c>
      <c r="D1505" s="108"/>
      <c r="E1505" s="109" t="s">
        <v>218</v>
      </c>
      <c r="F1505" s="108">
        <v>2</v>
      </c>
      <c r="G1505" s="108">
        <v>2</v>
      </c>
      <c r="H1505" s="111">
        <v>597.1</v>
      </c>
      <c r="I1505" s="108">
        <v>487.9</v>
      </c>
      <c r="J1505" s="108">
        <v>455.6</v>
      </c>
      <c r="K1505" s="112">
        <v>16</v>
      </c>
      <c r="L1505" s="113">
        <v>1013564</v>
      </c>
      <c r="M1505" s="113">
        <v>0</v>
      </c>
      <c r="N1505" s="113">
        <v>0</v>
      </c>
      <c r="O1505" s="113">
        <f>L1505</f>
        <v>1013564</v>
      </c>
      <c r="P1505" s="113">
        <v>0</v>
      </c>
      <c r="Q1505" s="114">
        <f>L1505/I1505</f>
        <v>2077.401106784177</v>
      </c>
      <c r="R1505" s="114">
        <v>6774</v>
      </c>
      <c r="S1505" s="335">
        <v>43830</v>
      </c>
    </row>
    <row r="1506" spans="1:19" s="53" customFormat="1" ht="15.75">
      <c r="A1506" s="107">
        <f t="shared" si="433"/>
        <v>14</v>
      </c>
      <c r="B1506" s="301" t="s">
        <v>427</v>
      </c>
      <c r="C1506" s="108">
        <v>1982</v>
      </c>
      <c r="D1506" s="108"/>
      <c r="E1506" s="109" t="s">
        <v>219</v>
      </c>
      <c r="F1506" s="108">
        <v>5</v>
      </c>
      <c r="G1506" s="108">
        <v>3</v>
      </c>
      <c r="H1506" s="111">
        <v>2483.1999999999998</v>
      </c>
      <c r="I1506" s="108">
        <v>2299.5</v>
      </c>
      <c r="J1506" s="108">
        <v>2192.8000000000002</v>
      </c>
      <c r="K1506" s="112">
        <v>86</v>
      </c>
      <c r="L1506" s="113">
        <v>2662185</v>
      </c>
      <c r="M1506" s="113">
        <v>0</v>
      </c>
      <c r="N1506" s="113">
        <v>0</v>
      </c>
      <c r="O1506" s="113">
        <f>L1506</f>
        <v>2662185</v>
      </c>
      <c r="P1506" s="113">
        <v>0</v>
      </c>
      <c r="Q1506" s="114">
        <f>L1506/I1506</f>
        <v>1157.723418134377</v>
      </c>
      <c r="R1506" s="114">
        <v>6774</v>
      </c>
      <c r="S1506" s="335">
        <v>43830</v>
      </c>
    </row>
    <row r="1507" spans="1:19" s="53" customFormat="1" ht="15.75" customHeight="1">
      <c r="A1507" s="107"/>
      <c r="B1507" s="1333" t="s">
        <v>208</v>
      </c>
      <c r="C1507" s="1333"/>
      <c r="D1507" s="1333"/>
      <c r="E1507" s="1333"/>
      <c r="F1507" s="1333"/>
      <c r="G1507" s="1333"/>
      <c r="H1507" s="114">
        <f t="shared" ref="H1507:O1508" si="447">H1508</f>
        <v>340.3</v>
      </c>
      <c r="I1507" s="114">
        <f t="shared" si="447"/>
        <v>310</v>
      </c>
      <c r="J1507" s="114">
        <f t="shared" si="447"/>
        <v>310</v>
      </c>
      <c r="K1507" s="112">
        <f t="shared" si="447"/>
        <v>14</v>
      </c>
      <c r="L1507" s="113">
        <f t="shared" si="447"/>
        <v>512860</v>
      </c>
      <c r="M1507" s="113">
        <f t="shared" si="447"/>
        <v>0</v>
      </c>
      <c r="N1507" s="113">
        <f t="shared" si="447"/>
        <v>0</v>
      </c>
      <c r="O1507" s="113">
        <f t="shared" si="447"/>
        <v>512860</v>
      </c>
      <c r="P1507" s="113">
        <f>P1508</f>
        <v>0</v>
      </c>
      <c r="Q1507" s="106" t="s">
        <v>40</v>
      </c>
      <c r="R1507" s="114" t="s">
        <v>40</v>
      </c>
      <c r="S1507" s="335">
        <v>43830</v>
      </c>
    </row>
    <row r="1508" spans="1:19" s="53" customFormat="1" ht="15.75">
      <c r="A1508" s="107"/>
      <c r="B1508" s="1336" t="s">
        <v>209</v>
      </c>
      <c r="C1508" s="1336"/>
      <c r="D1508" s="1336"/>
      <c r="E1508" s="1336"/>
      <c r="F1508" s="1336"/>
      <c r="G1508" s="1336"/>
      <c r="H1508" s="114">
        <f t="shared" si="447"/>
        <v>340.3</v>
      </c>
      <c r="I1508" s="114">
        <f t="shared" si="447"/>
        <v>310</v>
      </c>
      <c r="J1508" s="114">
        <f t="shared" si="447"/>
        <v>310</v>
      </c>
      <c r="K1508" s="112">
        <f t="shared" si="447"/>
        <v>14</v>
      </c>
      <c r="L1508" s="113">
        <f t="shared" si="447"/>
        <v>512860</v>
      </c>
      <c r="M1508" s="113">
        <f t="shared" si="447"/>
        <v>0</v>
      </c>
      <c r="N1508" s="113">
        <f t="shared" si="447"/>
        <v>0</v>
      </c>
      <c r="O1508" s="113">
        <f t="shared" si="447"/>
        <v>512860</v>
      </c>
      <c r="P1508" s="113">
        <f>P1509</f>
        <v>0</v>
      </c>
      <c r="Q1508" s="106" t="s">
        <v>40</v>
      </c>
      <c r="R1508" s="106" t="s">
        <v>40</v>
      </c>
      <c r="S1508" s="335">
        <v>43830</v>
      </c>
    </row>
    <row r="1509" spans="1:19" s="53" customFormat="1" ht="31.5">
      <c r="A1509" s="327">
        <f>A1506+1</f>
        <v>15</v>
      </c>
      <c r="B1509" s="338" t="s">
        <v>480</v>
      </c>
      <c r="C1509" s="329">
        <v>1959</v>
      </c>
      <c r="D1509" s="329"/>
      <c r="E1509" s="330" t="s">
        <v>218</v>
      </c>
      <c r="F1509" s="329">
        <v>2</v>
      </c>
      <c r="G1509" s="329">
        <v>1</v>
      </c>
      <c r="H1509" s="331">
        <v>340.3</v>
      </c>
      <c r="I1509" s="329">
        <v>310</v>
      </c>
      <c r="J1509" s="329">
        <v>310</v>
      </c>
      <c r="K1509" s="332">
        <v>14</v>
      </c>
      <c r="L1509" s="333">
        <v>512860</v>
      </c>
      <c r="M1509" s="333">
        <v>0</v>
      </c>
      <c r="N1509" s="333">
        <v>0</v>
      </c>
      <c r="O1509" s="333">
        <v>512860</v>
      </c>
      <c r="P1509" s="333">
        <v>0</v>
      </c>
      <c r="Q1509" s="334">
        <f>L1509/I1509</f>
        <v>1654.3870967741937</v>
      </c>
      <c r="R1509" s="334">
        <v>7920</v>
      </c>
      <c r="S1509" s="335">
        <v>43830</v>
      </c>
    </row>
    <row r="1510" spans="1:19" s="1" customFormat="1" ht="15.75">
      <c r="A1510" s="107"/>
      <c r="B1510" s="1336" t="s">
        <v>61</v>
      </c>
      <c r="C1510" s="1336"/>
      <c r="D1510" s="1336"/>
      <c r="E1510" s="1336"/>
      <c r="F1510" s="1336"/>
      <c r="G1510" s="1336"/>
      <c r="H1510" s="128">
        <f>H1511</f>
        <v>2833.2999999999997</v>
      </c>
      <c r="I1510" s="106">
        <f t="shared" ref="I1510:P1510" si="448">I1511</f>
        <v>2631.4</v>
      </c>
      <c r="J1510" s="106">
        <f t="shared" si="448"/>
        <v>2598.2999999999997</v>
      </c>
      <c r="K1510" s="119">
        <f t="shared" si="448"/>
        <v>119</v>
      </c>
      <c r="L1510" s="113">
        <f t="shared" si="448"/>
        <v>4336309</v>
      </c>
      <c r="M1510" s="113">
        <f t="shared" si="448"/>
        <v>0</v>
      </c>
      <c r="N1510" s="113">
        <f t="shared" si="448"/>
        <v>0</v>
      </c>
      <c r="O1510" s="317">
        <f t="shared" si="448"/>
        <v>4336309</v>
      </c>
      <c r="P1510" s="317">
        <f t="shared" si="448"/>
        <v>0</v>
      </c>
      <c r="Q1510" s="114" t="s">
        <v>40</v>
      </c>
      <c r="R1510" s="114" t="s">
        <v>40</v>
      </c>
      <c r="S1510" s="335">
        <v>43830</v>
      </c>
    </row>
    <row r="1511" spans="1:19" s="1" customFormat="1" ht="15.75">
      <c r="A1511" s="107"/>
      <c r="B1511" s="1336" t="s">
        <v>118</v>
      </c>
      <c r="C1511" s="1336"/>
      <c r="D1511" s="1336"/>
      <c r="E1511" s="1336"/>
      <c r="F1511" s="1336"/>
      <c r="G1511" s="1336"/>
      <c r="H1511" s="128">
        <f>H1512+H1513+H1514+H1515</f>
        <v>2833.2999999999997</v>
      </c>
      <c r="I1511" s="128">
        <f t="shared" ref="I1511:P1511" si="449">I1512+I1513+I1514+I1515</f>
        <v>2631.4</v>
      </c>
      <c r="J1511" s="128">
        <f t="shared" si="449"/>
        <v>2598.2999999999997</v>
      </c>
      <c r="K1511" s="128">
        <f t="shared" si="449"/>
        <v>119</v>
      </c>
      <c r="L1511" s="366">
        <f t="shared" si="449"/>
        <v>4336309</v>
      </c>
      <c r="M1511" s="128">
        <f t="shared" si="449"/>
        <v>0</v>
      </c>
      <c r="N1511" s="128">
        <f t="shared" si="449"/>
        <v>0</v>
      </c>
      <c r="O1511" s="128">
        <f t="shared" si="449"/>
        <v>4336309</v>
      </c>
      <c r="P1511" s="128">
        <f t="shared" si="449"/>
        <v>0</v>
      </c>
      <c r="Q1511" s="114" t="s">
        <v>40</v>
      </c>
      <c r="R1511" s="106" t="s">
        <v>40</v>
      </c>
      <c r="S1511" s="335">
        <v>43830</v>
      </c>
    </row>
    <row r="1512" spans="1:19" s="1" customFormat="1" ht="31.5">
      <c r="A1512" s="327"/>
      <c r="B1512" s="365" t="s">
        <v>489</v>
      </c>
      <c r="C1512" s="352">
        <v>1973</v>
      </c>
      <c r="D1512" s="365"/>
      <c r="E1512" s="330" t="s">
        <v>218</v>
      </c>
      <c r="F1512" s="352">
        <v>2</v>
      </c>
      <c r="G1512" s="352">
        <v>2</v>
      </c>
      <c r="H1512" s="353">
        <v>366.6</v>
      </c>
      <c r="I1512" s="356">
        <v>338.2</v>
      </c>
      <c r="J1512" s="356">
        <v>338.2</v>
      </c>
      <c r="K1512" s="355">
        <v>16</v>
      </c>
      <c r="L1512" s="333">
        <v>1231974</v>
      </c>
      <c r="M1512" s="333">
        <v>0</v>
      </c>
      <c r="N1512" s="333">
        <v>0</v>
      </c>
      <c r="O1512" s="333">
        <v>1231974</v>
      </c>
      <c r="P1512" s="333">
        <f t="shared" ref="P1512:P1514" si="450">P1519</f>
        <v>0</v>
      </c>
      <c r="Q1512" s="334">
        <f t="shared" ref="Q1512:Q1514" si="451">L1512/I1512</f>
        <v>3642.7380248373743</v>
      </c>
      <c r="R1512" s="356">
        <v>7920</v>
      </c>
      <c r="S1512" s="335">
        <v>43830</v>
      </c>
    </row>
    <row r="1513" spans="1:19" s="1" customFormat="1" ht="15.75">
      <c r="A1513" s="327"/>
      <c r="B1513" s="365" t="s">
        <v>225</v>
      </c>
      <c r="C1513" s="352">
        <v>1990</v>
      </c>
      <c r="D1513" s="365"/>
      <c r="E1513" s="330" t="s">
        <v>219</v>
      </c>
      <c r="F1513" s="352">
        <v>3</v>
      </c>
      <c r="G1513" s="352">
        <v>3</v>
      </c>
      <c r="H1513" s="353">
        <v>1344.1</v>
      </c>
      <c r="I1513" s="356">
        <v>1284.0999999999999</v>
      </c>
      <c r="J1513" s="356">
        <v>1284.0999999999999</v>
      </c>
      <c r="K1513" s="355">
        <v>61</v>
      </c>
      <c r="L1513" s="333">
        <v>1299802</v>
      </c>
      <c r="M1513" s="333">
        <v>0</v>
      </c>
      <c r="N1513" s="333">
        <v>0</v>
      </c>
      <c r="O1513" s="333">
        <v>1299802</v>
      </c>
      <c r="P1513" s="333">
        <f t="shared" si="450"/>
        <v>0</v>
      </c>
      <c r="Q1513" s="334">
        <f t="shared" si="451"/>
        <v>1012.2280196246398</v>
      </c>
      <c r="R1513" s="356">
        <v>7920</v>
      </c>
      <c r="S1513" s="335">
        <v>43830</v>
      </c>
    </row>
    <row r="1514" spans="1:19" s="1" customFormat="1" ht="31.5">
      <c r="A1514" s="327"/>
      <c r="B1514" s="365" t="s">
        <v>490</v>
      </c>
      <c r="C1514" s="352">
        <v>1973</v>
      </c>
      <c r="D1514" s="365"/>
      <c r="E1514" s="330" t="s">
        <v>218</v>
      </c>
      <c r="F1514" s="352">
        <v>2</v>
      </c>
      <c r="G1514" s="352">
        <v>2</v>
      </c>
      <c r="H1514" s="353">
        <v>567</v>
      </c>
      <c r="I1514" s="356">
        <v>519.5</v>
      </c>
      <c r="J1514" s="356">
        <v>486.4</v>
      </c>
      <c r="K1514" s="355">
        <v>28</v>
      </c>
      <c r="L1514" s="333">
        <v>1450861</v>
      </c>
      <c r="M1514" s="333">
        <v>0</v>
      </c>
      <c r="N1514" s="333">
        <v>0</v>
      </c>
      <c r="O1514" s="333">
        <v>1450861</v>
      </c>
      <c r="P1514" s="333">
        <f t="shared" si="450"/>
        <v>0</v>
      </c>
      <c r="Q1514" s="334">
        <f t="shared" si="451"/>
        <v>2792.8026948989414</v>
      </c>
      <c r="R1514" s="356">
        <v>7920</v>
      </c>
      <c r="S1514" s="335">
        <v>43830</v>
      </c>
    </row>
    <row r="1515" spans="1:19" s="1" customFormat="1" ht="31.5">
      <c r="A1515" s="327">
        <f>A1509+1</f>
        <v>16</v>
      </c>
      <c r="B1515" s="351" t="s">
        <v>491</v>
      </c>
      <c r="C1515" s="329">
        <v>1960</v>
      </c>
      <c r="D1515" s="329"/>
      <c r="E1515" s="330" t="s">
        <v>218</v>
      </c>
      <c r="F1515" s="329">
        <v>2</v>
      </c>
      <c r="G1515" s="329">
        <v>2</v>
      </c>
      <c r="H1515" s="331">
        <v>555.6</v>
      </c>
      <c r="I1515" s="334">
        <v>489.6</v>
      </c>
      <c r="J1515" s="334">
        <v>489.6</v>
      </c>
      <c r="K1515" s="332">
        <v>14</v>
      </c>
      <c r="L1515" s="333">
        <v>353672</v>
      </c>
      <c r="M1515" s="333">
        <v>0</v>
      </c>
      <c r="N1515" s="333">
        <v>0</v>
      </c>
      <c r="O1515" s="333">
        <v>353672</v>
      </c>
      <c r="P1515" s="333">
        <v>0</v>
      </c>
      <c r="Q1515" s="356">
        <f>L1515/I1515</f>
        <v>722.36928104575156</v>
      </c>
      <c r="R1515" s="334">
        <v>7920</v>
      </c>
      <c r="S1515" s="335">
        <v>43830</v>
      </c>
    </row>
    <row r="1516" spans="1:19" s="1" customFormat="1" ht="23.45" customHeight="1">
      <c r="B1516" s="1336" t="s">
        <v>649</v>
      </c>
      <c r="C1516" s="1336"/>
      <c r="D1516" s="1336"/>
      <c r="E1516" s="1336"/>
      <c r="F1516" s="1336"/>
      <c r="G1516" s="1336"/>
      <c r="H1516" s="111">
        <f>H1517</f>
        <v>952.2</v>
      </c>
      <c r="I1516" s="111">
        <f t="shared" ref="I1516:P1516" si="452">I1517</f>
        <v>814</v>
      </c>
      <c r="J1516" s="111">
        <f t="shared" si="452"/>
        <v>630.1</v>
      </c>
      <c r="K1516" s="111">
        <f t="shared" si="452"/>
        <v>41</v>
      </c>
      <c r="L1516" s="566">
        <f t="shared" si="452"/>
        <v>1490380</v>
      </c>
      <c r="M1516" s="566">
        <f t="shared" si="452"/>
        <v>0</v>
      </c>
      <c r="N1516" s="566">
        <f t="shared" si="452"/>
        <v>0</v>
      </c>
      <c r="O1516" s="566">
        <f t="shared" si="452"/>
        <v>1490380</v>
      </c>
      <c r="P1516" s="566">
        <f t="shared" si="452"/>
        <v>0</v>
      </c>
      <c r="Q1516" s="106" t="s">
        <v>40</v>
      </c>
      <c r="R1516" s="114" t="s">
        <v>40</v>
      </c>
      <c r="S1516" s="335">
        <v>43830</v>
      </c>
    </row>
    <row r="1517" spans="1:19" s="1" customFormat="1" ht="21.6" customHeight="1">
      <c r="A1517" s="107"/>
      <c r="B1517" s="1336" t="s">
        <v>655</v>
      </c>
      <c r="C1517" s="1336"/>
      <c r="D1517" s="1336"/>
      <c r="E1517" s="1336"/>
      <c r="F1517" s="1336"/>
      <c r="G1517" s="1336"/>
      <c r="H1517" s="111">
        <f>H1518</f>
        <v>952.2</v>
      </c>
      <c r="I1517" s="111">
        <f t="shared" ref="I1517:P1517" si="453">I1518</f>
        <v>814</v>
      </c>
      <c r="J1517" s="111">
        <f t="shared" si="453"/>
        <v>630.1</v>
      </c>
      <c r="K1517" s="111">
        <f t="shared" si="453"/>
        <v>41</v>
      </c>
      <c r="L1517" s="566">
        <f t="shared" si="453"/>
        <v>1490380</v>
      </c>
      <c r="M1517" s="566">
        <f t="shared" si="453"/>
        <v>0</v>
      </c>
      <c r="N1517" s="566">
        <f t="shared" si="453"/>
        <v>0</v>
      </c>
      <c r="O1517" s="566">
        <f t="shared" si="453"/>
        <v>1490380</v>
      </c>
      <c r="P1517" s="566">
        <f t="shared" si="453"/>
        <v>0</v>
      </c>
      <c r="Q1517" s="106" t="s">
        <v>40</v>
      </c>
      <c r="R1517" s="106" t="s">
        <v>40</v>
      </c>
      <c r="S1517" s="335">
        <v>43830</v>
      </c>
    </row>
    <row r="1518" spans="1:19" s="1" customFormat="1" ht="39" customHeight="1">
      <c r="A1518" s="107"/>
      <c r="B1518" s="568" t="s">
        <v>657</v>
      </c>
      <c r="C1518" s="108">
        <v>1983</v>
      </c>
      <c r="D1518" s="108"/>
      <c r="E1518" s="99" t="s">
        <v>220</v>
      </c>
      <c r="F1518" s="108">
        <v>2</v>
      </c>
      <c r="G1518" s="108">
        <v>3</v>
      </c>
      <c r="H1518" s="111">
        <v>952.2</v>
      </c>
      <c r="I1518" s="114">
        <v>814</v>
      </c>
      <c r="J1518" s="114">
        <v>630.1</v>
      </c>
      <c r="K1518" s="112">
        <v>41</v>
      </c>
      <c r="L1518" s="113">
        <v>1490380</v>
      </c>
      <c r="M1518" s="113">
        <v>0</v>
      </c>
      <c r="N1518" s="113">
        <v>0</v>
      </c>
      <c r="O1518" s="113">
        <v>1490380</v>
      </c>
      <c r="P1518" s="113">
        <v>0</v>
      </c>
      <c r="Q1518" s="106">
        <f>L1518/I1518</f>
        <v>1830.933660933661</v>
      </c>
      <c r="R1518" s="107">
        <v>7920</v>
      </c>
      <c r="S1518" s="335">
        <v>43830</v>
      </c>
    </row>
    <row r="1519" spans="1:19" s="1" customFormat="1" ht="15.75">
      <c r="A1519" s="107"/>
      <c r="B1519" s="1336" t="s">
        <v>62</v>
      </c>
      <c r="C1519" s="1336"/>
      <c r="D1519" s="1336"/>
      <c r="E1519" s="1336"/>
      <c r="F1519" s="1336"/>
      <c r="G1519" s="1336"/>
      <c r="H1519" s="128">
        <f>H1520</f>
        <v>445.14</v>
      </c>
      <c r="I1519" s="106">
        <f t="shared" ref="I1519:P1520" si="454">I1520</f>
        <v>380.18</v>
      </c>
      <c r="J1519" s="106">
        <f t="shared" si="454"/>
        <v>380.18</v>
      </c>
      <c r="K1519" s="119">
        <f t="shared" si="454"/>
        <v>18</v>
      </c>
      <c r="L1519" s="113">
        <f t="shared" si="454"/>
        <v>1175875</v>
      </c>
      <c r="M1519" s="113">
        <f t="shared" si="454"/>
        <v>0</v>
      </c>
      <c r="N1519" s="113">
        <f t="shared" si="454"/>
        <v>0</v>
      </c>
      <c r="O1519" s="113">
        <f t="shared" si="454"/>
        <v>1175875</v>
      </c>
      <c r="P1519" s="113">
        <f t="shared" si="454"/>
        <v>0</v>
      </c>
      <c r="Q1519" s="106" t="s">
        <v>40</v>
      </c>
      <c r="R1519" s="106" t="s">
        <v>40</v>
      </c>
      <c r="S1519" s="335">
        <v>43830</v>
      </c>
    </row>
    <row r="1520" spans="1:19" s="1" customFormat="1" ht="15.75">
      <c r="A1520" s="107"/>
      <c r="B1520" s="1336" t="s">
        <v>117</v>
      </c>
      <c r="C1520" s="1336"/>
      <c r="D1520" s="1336"/>
      <c r="E1520" s="1336"/>
      <c r="F1520" s="1336"/>
      <c r="G1520" s="1336"/>
      <c r="H1520" s="128">
        <f>H1521</f>
        <v>445.14</v>
      </c>
      <c r="I1520" s="106">
        <f t="shared" si="454"/>
        <v>380.18</v>
      </c>
      <c r="J1520" s="106">
        <f t="shared" si="454"/>
        <v>380.18</v>
      </c>
      <c r="K1520" s="119">
        <f t="shared" si="454"/>
        <v>18</v>
      </c>
      <c r="L1520" s="113">
        <f t="shared" si="454"/>
        <v>1175875</v>
      </c>
      <c r="M1520" s="113">
        <f t="shared" si="454"/>
        <v>0</v>
      </c>
      <c r="N1520" s="113">
        <f t="shared" si="454"/>
        <v>0</v>
      </c>
      <c r="O1520" s="113">
        <f t="shared" si="454"/>
        <v>1175875</v>
      </c>
      <c r="P1520" s="113">
        <f t="shared" si="454"/>
        <v>0</v>
      </c>
      <c r="Q1520" s="106" t="s">
        <v>40</v>
      </c>
      <c r="R1520" s="106" t="s">
        <v>40</v>
      </c>
      <c r="S1520" s="335">
        <v>43830</v>
      </c>
    </row>
    <row r="1521" spans="1:19" s="1" customFormat="1" ht="31.5">
      <c r="A1521" s="327">
        <f>A1515+1</f>
        <v>17</v>
      </c>
      <c r="B1521" s="365" t="s">
        <v>488</v>
      </c>
      <c r="C1521" s="352">
        <v>1967</v>
      </c>
      <c r="D1521" s="352"/>
      <c r="E1521" s="330" t="s">
        <v>218</v>
      </c>
      <c r="F1521" s="352">
        <v>2</v>
      </c>
      <c r="G1521" s="352">
        <v>2</v>
      </c>
      <c r="H1521" s="353">
        <v>445.14</v>
      </c>
      <c r="I1521" s="356">
        <v>380.18</v>
      </c>
      <c r="J1521" s="356">
        <v>380.18</v>
      </c>
      <c r="K1521" s="355">
        <v>18</v>
      </c>
      <c r="L1521" s="333">
        <v>1175875</v>
      </c>
      <c r="M1521" s="333">
        <v>0</v>
      </c>
      <c r="N1521" s="333">
        <v>0</v>
      </c>
      <c r="O1521" s="333">
        <f>L1521</f>
        <v>1175875</v>
      </c>
      <c r="P1521" s="333">
        <v>0</v>
      </c>
      <c r="Q1521" s="356">
        <f>L1521/I1521</f>
        <v>3092.9428165605764</v>
      </c>
      <c r="R1521" s="334">
        <v>7920</v>
      </c>
      <c r="S1521" s="335">
        <v>43830</v>
      </c>
    </row>
    <row r="1522" spans="1:19" s="1" customFormat="1" ht="15.75">
      <c r="A1522" s="327"/>
      <c r="B1522" s="1338" t="s">
        <v>63</v>
      </c>
      <c r="C1522" s="1338"/>
      <c r="D1522" s="1338"/>
      <c r="E1522" s="1338"/>
      <c r="F1522" s="1338"/>
      <c r="G1522" s="1338"/>
      <c r="H1522" s="353">
        <f>H1523</f>
        <v>571.1</v>
      </c>
      <c r="I1522" s="356">
        <f t="shared" ref="I1522:P1522" si="455">I1523</f>
        <v>516.70000000000005</v>
      </c>
      <c r="J1522" s="356">
        <f t="shared" si="455"/>
        <v>516.70000000000005</v>
      </c>
      <c r="K1522" s="355">
        <f t="shared" si="455"/>
        <v>28</v>
      </c>
      <c r="L1522" s="333">
        <f t="shared" si="455"/>
        <v>1608623</v>
      </c>
      <c r="M1522" s="333">
        <f t="shared" si="455"/>
        <v>0</v>
      </c>
      <c r="N1522" s="333">
        <f t="shared" si="455"/>
        <v>0</v>
      </c>
      <c r="O1522" s="333">
        <f t="shared" si="455"/>
        <v>1608623</v>
      </c>
      <c r="P1522" s="333">
        <f t="shared" si="455"/>
        <v>0</v>
      </c>
      <c r="Q1522" s="356" t="s">
        <v>40</v>
      </c>
      <c r="R1522" s="356" t="s">
        <v>40</v>
      </c>
      <c r="S1522" s="335">
        <v>43830</v>
      </c>
    </row>
    <row r="1523" spans="1:19" s="1" customFormat="1" ht="15.75" customHeight="1">
      <c r="A1523" s="327"/>
      <c r="B1523" s="1330" t="s">
        <v>116</v>
      </c>
      <c r="C1523" s="1330"/>
      <c r="D1523" s="1330"/>
      <c r="E1523" s="1330"/>
      <c r="F1523" s="1330"/>
      <c r="G1523" s="1330"/>
      <c r="H1523" s="353">
        <f>H1524</f>
        <v>571.1</v>
      </c>
      <c r="I1523" s="353">
        <f t="shared" ref="I1523:P1523" si="456">I1524</f>
        <v>516.70000000000005</v>
      </c>
      <c r="J1523" s="353">
        <f t="shared" si="456"/>
        <v>516.70000000000005</v>
      </c>
      <c r="K1523" s="353">
        <f t="shared" si="456"/>
        <v>28</v>
      </c>
      <c r="L1523" s="708">
        <f t="shared" si="456"/>
        <v>1608623</v>
      </c>
      <c r="M1523" s="708">
        <f t="shared" si="456"/>
        <v>0</v>
      </c>
      <c r="N1523" s="708">
        <f t="shared" si="456"/>
        <v>0</v>
      </c>
      <c r="O1523" s="708">
        <f t="shared" si="456"/>
        <v>1608623</v>
      </c>
      <c r="P1523" s="708">
        <f t="shared" si="456"/>
        <v>0</v>
      </c>
      <c r="Q1523" s="356" t="s">
        <v>40</v>
      </c>
      <c r="R1523" s="356" t="s">
        <v>40</v>
      </c>
      <c r="S1523" s="335">
        <v>43830</v>
      </c>
    </row>
    <row r="1524" spans="1:19" s="1" customFormat="1" ht="31.5">
      <c r="A1524" s="327"/>
      <c r="B1524" s="723" t="s">
        <v>678</v>
      </c>
      <c r="C1524" s="724">
        <v>1969</v>
      </c>
      <c r="D1524" s="725"/>
      <c r="E1524" s="330" t="s">
        <v>218</v>
      </c>
      <c r="F1524" s="726">
        <v>2</v>
      </c>
      <c r="G1524" s="726">
        <v>2</v>
      </c>
      <c r="H1524" s="368">
        <v>571.1</v>
      </c>
      <c r="I1524" s="369">
        <v>516.70000000000005</v>
      </c>
      <c r="J1524" s="369">
        <v>516.70000000000005</v>
      </c>
      <c r="K1524" s="370">
        <v>28</v>
      </c>
      <c r="L1524" s="333">
        <v>1608623</v>
      </c>
      <c r="M1524" s="333">
        <v>0</v>
      </c>
      <c r="N1524" s="333">
        <v>0</v>
      </c>
      <c r="O1524" s="333">
        <v>1608623</v>
      </c>
      <c r="P1524" s="333">
        <v>0</v>
      </c>
      <c r="Q1524" s="371">
        <f>L1524/I1524</f>
        <v>3113.2630152893357</v>
      </c>
      <c r="R1524" s="334">
        <v>7920</v>
      </c>
      <c r="S1524" s="335">
        <v>43830</v>
      </c>
    </row>
    <row r="1525" spans="1:19" s="1" customFormat="1" ht="15.75">
      <c r="A1525" s="327"/>
      <c r="B1525" s="1339" t="s">
        <v>663</v>
      </c>
      <c r="C1525" s="1340"/>
      <c r="D1525" s="1340"/>
      <c r="E1525" s="1340"/>
      <c r="F1525" s="1340"/>
      <c r="G1525" s="1341"/>
      <c r="H1525" s="371">
        <f>H1526</f>
        <v>783.2</v>
      </c>
      <c r="I1525" s="371">
        <f t="shared" ref="I1525:P1525" si="457">I1526</f>
        <v>734.8</v>
      </c>
      <c r="J1525" s="371">
        <f t="shared" si="457"/>
        <v>552.79999999999995</v>
      </c>
      <c r="K1525" s="371">
        <f t="shared" si="457"/>
        <v>32</v>
      </c>
      <c r="L1525" s="697">
        <f t="shared" si="457"/>
        <v>1457324</v>
      </c>
      <c r="M1525" s="697">
        <f t="shared" si="457"/>
        <v>0</v>
      </c>
      <c r="N1525" s="697">
        <f t="shared" si="457"/>
        <v>0</v>
      </c>
      <c r="O1525" s="697">
        <f t="shared" si="457"/>
        <v>1457324</v>
      </c>
      <c r="P1525" s="697">
        <f t="shared" si="457"/>
        <v>0</v>
      </c>
      <c r="Q1525" s="356" t="s">
        <v>40</v>
      </c>
      <c r="R1525" s="356" t="s">
        <v>40</v>
      </c>
      <c r="S1525" s="335">
        <v>43830</v>
      </c>
    </row>
    <row r="1526" spans="1:19" s="1" customFormat="1" ht="31.5">
      <c r="A1526" s="327"/>
      <c r="B1526" s="723" t="s">
        <v>666</v>
      </c>
      <c r="C1526" s="724">
        <v>1978</v>
      </c>
      <c r="D1526" s="725"/>
      <c r="E1526" s="330" t="s">
        <v>218</v>
      </c>
      <c r="F1526" s="726">
        <v>2</v>
      </c>
      <c r="G1526" s="726">
        <v>2</v>
      </c>
      <c r="H1526" s="368">
        <v>783.2</v>
      </c>
      <c r="I1526" s="369">
        <v>734.8</v>
      </c>
      <c r="J1526" s="369">
        <v>552.79999999999995</v>
      </c>
      <c r="K1526" s="370">
        <v>32</v>
      </c>
      <c r="L1526" s="333">
        <v>1457324</v>
      </c>
      <c r="M1526" s="333">
        <v>0</v>
      </c>
      <c r="N1526" s="333">
        <v>0</v>
      </c>
      <c r="O1526" s="333">
        <v>1457324</v>
      </c>
      <c r="P1526" s="333">
        <v>0</v>
      </c>
      <c r="Q1526" s="371">
        <f t="shared" ref="Q1526" si="458">L1526/I1526</f>
        <v>1983.2934131736529</v>
      </c>
      <c r="R1526" s="334">
        <v>7920</v>
      </c>
      <c r="S1526" s="335">
        <v>43830</v>
      </c>
    </row>
    <row r="1527" spans="1:19" s="1" customFormat="1" ht="15.75">
      <c r="A1527" s="107"/>
      <c r="B1527" s="1336" t="s">
        <v>64</v>
      </c>
      <c r="C1527" s="1336"/>
      <c r="D1527" s="1336"/>
      <c r="E1527" s="1336"/>
      <c r="F1527" s="1336"/>
      <c r="G1527" s="1336"/>
      <c r="H1527" s="128">
        <f>H1528</f>
        <v>3434.5</v>
      </c>
      <c r="I1527" s="106">
        <f t="shared" ref="I1527:P1527" si="459">I1528</f>
        <v>3176.9</v>
      </c>
      <c r="J1527" s="106">
        <f t="shared" si="459"/>
        <v>3176.9</v>
      </c>
      <c r="K1527" s="119">
        <f t="shared" si="459"/>
        <v>113</v>
      </c>
      <c r="L1527" s="113">
        <f t="shared" si="459"/>
        <v>5448472</v>
      </c>
      <c r="M1527" s="113">
        <f t="shared" si="459"/>
        <v>0</v>
      </c>
      <c r="N1527" s="113">
        <f t="shared" si="459"/>
        <v>0</v>
      </c>
      <c r="O1527" s="113">
        <f t="shared" si="459"/>
        <v>5448472</v>
      </c>
      <c r="P1527" s="113">
        <f t="shared" si="459"/>
        <v>0</v>
      </c>
      <c r="Q1527" s="106" t="s">
        <v>40</v>
      </c>
      <c r="R1527" s="106" t="s">
        <v>40</v>
      </c>
      <c r="S1527" s="335">
        <v>43830</v>
      </c>
    </row>
    <row r="1528" spans="1:19" s="1" customFormat="1" ht="15.75">
      <c r="A1528" s="107"/>
      <c r="B1528" s="1336" t="s">
        <v>115</v>
      </c>
      <c r="C1528" s="1336"/>
      <c r="D1528" s="1336"/>
      <c r="E1528" s="1336"/>
      <c r="F1528" s="1336"/>
      <c r="G1528" s="1336"/>
      <c r="H1528" s="128">
        <f>SUM(H1529:H1530)</f>
        <v>3434.5</v>
      </c>
      <c r="I1528" s="128">
        <f t="shared" ref="I1528:P1528" si="460">SUM(I1529:I1530)</f>
        <v>3176.9</v>
      </c>
      <c r="J1528" s="128">
        <f t="shared" si="460"/>
        <v>3176.9</v>
      </c>
      <c r="K1528" s="128">
        <f t="shared" si="460"/>
        <v>113</v>
      </c>
      <c r="L1528" s="366">
        <f t="shared" si="460"/>
        <v>5448472</v>
      </c>
      <c r="M1528" s="366">
        <f t="shared" si="460"/>
        <v>0</v>
      </c>
      <c r="N1528" s="366">
        <f t="shared" si="460"/>
        <v>0</v>
      </c>
      <c r="O1528" s="366">
        <f t="shared" si="460"/>
        <v>5448472</v>
      </c>
      <c r="P1528" s="366">
        <f t="shared" si="460"/>
        <v>0</v>
      </c>
      <c r="Q1528" s="106" t="s">
        <v>40</v>
      </c>
      <c r="R1528" s="106" t="s">
        <v>40</v>
      </c>
      <c r="S1528" s="335">
        <v>43830</v>
      </c>
    </row>
    <row r="1529" spans="1:19" s="1" customFormat="1" ht="31.5">
      <c r="A1529" s="327">
        <f>A1524+1</f>
        <v>1</v>
      </c>
      <c r="B1529" s="365" t="s">
        <v>616</v>
      </c>
      <c r="C1529" s="352">
        <v>1970</v>
      </c>
      <c r="D1529" s="352"/>
      <c r="E1529" s="330" t="s">
        <v>218</v>
      </c>
      <c r="F1529" s="352">
        <v>2</v>
      </c>
      <c r="G1529" s="352">
        <v>2</v>
      </c>
      <c r="H1529" s="353">
        <v>795.4</v>
      </c>
      <c r="I1529" s="356">
        <v>735.1</v>
      </c>
      <c r="J1529" s="356">
        <v>735.1</v>
      </c>
      <c r="K1529" s="355">
        <v>30</v>
      </c>
      <c r="L1529" s="333">
        <v>1902273</v>
      </c>
      <c r="M1529" s="333">
        <v>0</v>
      </c>
      <c r="N1529" s="333">
        <v>0</v>
      </c>
      <c r="O1529" s="333">
        <f>L1529</f>
        <v>1902273</v>
      </c>
      <c r="P1529" s="333">
        <v>0</v>
      </c>
      <c r="Q1529" s="356">
        <f>L1529/I1529</f>
        <v>2587.7744524554482</v>
      </c>
      <c r="R1529" s="334">
        <v>7920</v>
      </c>
      <c r="S1529" s="335">
        <v>43830</v>
      </c>
    </row>
    <row r="1530" spans="1:19" s="1" customFormat="1" ht="31.5">
      <c r="A1530" s="327">
        <f t="shared" ref="A1530:A1552" si="461">A1529+1</f>
        <v>2</v>
      </c>
      <c r="B1530" s="365" t="s">
        <v>617</v>
      </c>
      <c r="C1530" s="352">
        <v>1985</v>
      </c>
      <c r="D1530" s="352"/>
      <c r="E1530" s="330" t="s">
        <v>218</v>
      </c>
      <c r="F1530" s="352">
        <v>3</v>
      </c>
      <c r="G1530" s="352">
        <v>4</v>
      </c>
      <c r="H1530" s="353">
        <v>2639.1</v>
      </c>
      <c r="I1530" s="356">
        <v>2441.8000000000002</v>
      </c>
      <c r="J1530" s="356">
        <v>2441.8000000000002</v>
      </c>
      <c r="K1530" s="355">
        <v>83</v>
      </c>
      <c r="L1530" s="333">
        <v>3546199</v>
      </c>
      <c r="M1530" s="333">
        <v>0</v>
      </c>
      <c r="N1530" s="333">
        <v>0</v>
      </c>
      <c r="O1530" s="333">
        <f>L1530</f>
        <v>3546199</v>
      </c>
      <c r="P1530" s="333">
        <v>0</v>
      </c>
      <c r="Q1530" s="356">
        <f>L1530/I1530</f>
        <v>1452.2888852485869</v>
      </c>
      <c r="R1530" s="334">
        <v>7920</v>
      </c>
      <c r="S1530" s="335">
        <v>43830</v>
      </c>
    </row>
    <row r="1531" spans="1:19" s="1" customFormat="1" ht="15.75">
      <c r="A1531" s="327"/>
      <c r="B1531" s="365"/>
      <c r="C1531" s="352"/>
      <c r="D1531" s="352"/>
      <c r="E1531" s="330"/>
      <c r="F1531" s="352"/>
      <c r="G1531" s="352"/>
      <c r="H1531" s="353"/>
      <c r="I1531" s="356"/>
      <c r="J1531" s="356"/>
      <c r="K1531" s="355"/>
      <c r="L1531" s="333"/>
      <c r="M1531" s="333"/>
      <c r="N1531" s="333"/>
      <c r="O1531" s="333"/>
      <c r="P1531" s="333"/>
      <c r="Q1531" s="356"/>
      <c r="R1531" s="334"/>
      <c r="S1531" s="335"/>
    </row>
    <row r="1532" spans="1:19" s="1" customFormat="1" ht="15.75">
      <c r="A1532" s="327"/>
      <c r="B1532" s="365"/>
      <c r="C1532" s="352"/>
      <c r="D1532" s="352"/>
      <c r="E1532" s="330"/>
      <c r="F1532" s="352"/>
      <c r="G1532" s="352"/>
      <c r="H1532" s="353"/>
      <c r="I1532" s="356"/>
      <c r="J1532" s="356"/>
      <c r="K1532" s="355"/>
      <c r="L1532" s="333"/>
      <c r="M1532" s="333"/>
      <c r="N1532" s="333"/>
      <c r="O1532" s="333"/>
      <c r="P1532" s="333"/>
      <c r="Q1532" s="356"/>
      <c r="R1532" s="334"/>
      <c r="S1532" s="335"/>
    </row>
    <row r="1533" spans="1:19" s="1" customFormat="1" ht="15.75">
      <c r="A1533" s="107"/>
      <c r="B1533" s="1336" t="s">
        <v>211</v>
      </c>
      <c r="C1533" s="1336"/>
      <c r="D1533" s="1336"/>
      <c r="E1533" s="1336"/>
      <c r="F1533" s="1336"/>
      <c r="G1533" s="1336"/>
      <c r="H1533" s="128">
        <f>H1534+H1536</f>
        <v>2953.2000000000003</v>
      </c>
      <c r="I1533" s="128">
        <f t="shared" ref="I1533:P1533" si="462">I1534+I1536</f>
        <v>2191.4</v>
      </c>
      <c r="J1533" s="128">
        <f t="shared" si="462"/>
        <v>2191.4</v>
      </c>
      <c r="K1533" s="119">
        <f t="shared" si="462"/>
        <v>85</v>
      </c>
      <c r="L1533" s="113">
        <f t="shared" si="462"/>
        <v>3398521</v>
      </c>
      <c r="M1533" s="113">
        <f t="shared" si="462"/>
        <v>0</v>
      </c>
      <c r="N1533" s="113">
        <f t="shared" si="462"/>
        <v>0</v>
      </c>
      <c r="O1533" s="113">
        <f t="shared" si="462"/>
        <v>3398521</v>
      </c>
      <c r="P1533" s="113">
        <f t="shared" si="462"/>
        <v>0</v>
      </c>
      <c r="Q1533" s="106" t="s">
        <v>40</v>
      </c>
      <c r="R1533" s="106" t="s">
        <v>40</v>
      </c>
      <c r="S1533" s="335">
        <v>43830</v>
      </c>
    </row>
    <row r="1534" spans="1:19" s="1" customFormat="1" ht="15.75">
      <c r="A1534" s="107"/>
      <c r="B1534" s="1336" t="s">
        <v>637</v>
      </c>
      <c r="C1534" s="1336"/>
      <c r="D1534" s="1336"/>
      <c r="E1534" s="1336"/>
      <c r="F1534" s="1336"/>
      <c r="G1534" s="1336"/>
      <c r="H1534" s="128">
        <f>H1535</f>
        <v>2145.8000000000002</v>
      </c>
      <c r="I1534" s="128">
        <f t="shared" ref="I1534:P1534" si="463">I1535</f>
        <v>1475.9</v>
      </c>
      <c r="J1534" s="128">
        <f t="shared" si="463"/>
        <v>1475.9</v>
      </c>
      <c r="K1534" s="119">
        <f t="shared" si="463"/>
        <v>60</v>
      </c>
      <c r="L1534" s="113">
        <f t="shared" si="463"/>
        <v>1889892</v>
      </c>
      <c r="M1534" s="113">
        <f t="shared" si="463"/>
        <v>0</v>
      </c>
      <c r="N1534" s="113">
        <f t="shared" si="463"/>
        <v>0</v>
      </c>
      <c r="O1534" s="113">
        <f t="shared" si="463"/>
        <v>1889892</v>
      </c>
      <c r="P1534" s="113">
        <f t="shared" si="463"/>
        <v>0</v>
      </c>
      <c r="Q1534" s="106" t="s">
        <v>40</v>
      </c>
      <c r="R1534" s="114" t="s">
        <v>40</v>
      </c>
      <c r="S1534" s="335">
        <v>43830</v>
      </c>
    </row>
    <row r="1535" spans="1:19" s="1" customFormat="1" ht="31.5">
      <c r="A1535" s="107">
        <f>A1532+1</f>
        <v>1</v>
      </c>
      <c r="B1535" s="564" t="s">
        <v>638</v>
      </c>
      <c r="C1535" s="118">
        <v>1967</v>
      </c>
      <c r="D1535" s="118"/>
      <c r="E1535" s="109" t="s">
        <v>218</v>
      </c>
      <c r="F1535" s="118">
        <v>4</v>
      </c>
      <c r="G1535" s="118">
        <v>3</v>
      </c>
      <c r="H1535" s="128">
        <v>2145.8000000000002</v>
      </c>
      <c r="I1535" s="106">
        <v>1475.9</v>
      </c>
      <c r="J1535" s="106">
        <v>1475.9</v>
      </c>
      <c r="K1535" s="119">
        <v>60</v>
      </c>
      <c r="L1535" s="113">
        <v>1889892</v>
      </c>
      <c r="M1535" s="113">
        <v>0</v>
      </c>
      <c r="N1535" s="113">
        <v>0</v>
      </c>
      <c r="O1535" s="113">
        <v>1889892</v>
      </c>
      <c r="P1535" s="113">
        <v>0</v>
      </c>
      <c r="Q1535" s="106">
        <f>L1535/I1535</f>
        <v>1280.5013889829934</v>
      </c>
      <c r="R1535" s="114">
        <v>7920</v>
      </c>
      <c r="S1535" s="335">
        <v>43830</v>
      </c>
    </row>
    <row r="1536" spans="1:19" s="1" customFormat="1" ht="15.75">
      <c r="A1536" s="107"/>
      <c r="B1536" s="1336" t="s">
        <v>639</v>
      </c>
      <c r="C1536" s="1336"/>
      <c r="D1536" s="1336"/>
      <c r="E1536" s="1336"/>
      <c r="F1536" s="1336"/>
      <c r="G1536" s="1336"/>
      <c r="H1536" s="128">
        <f>H1537</f>
        <v>807.4</v>
      </c>
      <c r="I1536" s="128">
        <f t="shared" ref="I1536:P1536" si="464">I1537</f>
        <v>715.5</v>
      </c>
      <c r="J1536" s="128">
        <f t="shared" si="464"/>
        <v>715.5</v>
      </c>
      <c r="K1536" s="119">
        <f t="shared" si="464"/>
        <v>25</v>
      </c>
      <c r="L1536" s="113">
        <f t="shared" si="464"/>
        <v>1508629</v>
      </c>
      <c r="M1536" s="113">
        <f t="shared" si="464"/>
        <v>0</v>
      </c>
      <c r="N1536" s="113">
        <f t="shared" si="464"/>
        <v>0</v>
      </c>
      <c r="O1536" s="113">
        <f t="shared" si="464"/>
        <v>1508629</v>
      </c>
      <c r="P1536" s="113">
        <f t="shared" si="464"/>
        <v>0</v>
      </c>
      <c r="Q1536" s="106" t="s">
        <v>40</v>
      </c>
      <c r="R1536" s="114" t="s">
        <v>40</v>
      </c>
      <c r="S1536" s="335">
        <v>43830</v>
      </c>
    </row>
    <row r="1537" spans="1:19" s="1" customFormat="1" ht="31.5">
      <c r="A1537" s="107">
        <f>A1535+1</f>
        <v>2</v>
      </c>
      <c r="B1537" s="564" t="s">
        <v>640</v>
      </c>
      <c r="C1537" s="118">
        <v>1981</v>
      </c>
      <c r="D1537" s="118"/>
      <c r="E1537" s="109" t="s">
        <v>218</v>
      </c>
      <c r="F1537" s="118">
        <v>2</v>
      </c>
      <c r="G1537" s="118">
        <v>2</v>
      </c>
      <c r="H1537" s="128">
        <v>807.4</v>
      </c>
      <c r="I1537" s="106">
        <v>715.5</v>
      </c>
      <c r="J1537" s="106">
        <v>715.5</v>
      </c>
      <c r="K1537" s="119">
        <v>25</v>
      </c>
      <c r="L1537" s="113">
        <v>1508629</v>
      </c>
      <c r="M1537" s="113">
        <v>0</v>
      </c>
      <c r="N1537" s="113">
        <v>0</v>
      </c>
      <c r="O1537" s="113">
        <v>1508629</v>
      </c>
      <c r="P1537" s="113">
        <v>0</v>
      </c>
      <c r="Q1537" s="106">
        <f>L1537/I1537</f>
        <v>2108.4961565338922</v>
      </c>
      <c r="R1537" s="114">
        <v>7920</v>
      </c>
      <c r="S1537" s="335">
        <v>43830</v>
      </c>
    </row>
    <row r="1538" spans="1:19" s="1" customFormat="1" ht="15.75">
      <c r="A1538" s="107"/>
      <c r="B1538" s="1336" t="s">
        <v>66</v>
      </c>
      <c r="C1538" s="1336"/>
      <c r="D1538" s="1336"/>
      <c r="E1538" s="1336"/>
      <c r="F1538" s="1336"/>
      <c r="G1538" s="1336"/>
      <c r="H1538" s="128">
        <f>H1541+H1539</f>
        <v>1902.9</v>
      </c>
      <c r="I1538" s="128">
        <f t="shared" ref="I1538:P1538" si="465">I1541+I1539</f>
        <v>1758.6999999999998</v>
      </c>
      <c r="J1538" s="128">
        <f t="shared" si="465"/>
        <v>1631.9</v>
      </c>
      <c r="K1538" s="128">
        <f t="shared" si="465"/>
        <v>48</v>
      </c>
      <c r="L1538" s="366">
        <f t="shared" si="465"/>
        <v>4103443</v>
      </c>
      <c r="M1538" s="366">
        <f t="shared" si="465"/>
        <v>0</v>
      </c>
      <c r="N1538" s="366">
        <f t="shared" si="465"/>
        <v>0</v>
      </c>
      <c r="O1538" s="366">
        <f t="shared" si="465"/>
        <v>4103443</v>
      </c>
      <c r="P1538" s="366">
        <f t="shared" si="465"/>
        <v>0</v>
      </c>
      <c r="Q1538" s="106" t="s">
        <v>40</v>
      </c>
      <c r="R1538" s="106" t="s">
        <v>40</v>
      </c>
      <c r="S1538" s="335">
        <v>43830</v>
      </c>
    </row>
    <row r="1539" spans="1:19" s="1" customFormat="1" ht="22.9" customHeight="1">
      <c r="A1539" s="327"/>
      <c r="B1539" s="867" t="s">
        <v>641</v>
      </c>
      <c r="C1539" s="867"/>
      <c r="D1539" s="867"/>
      <c r="E1539" s="867"/>
      <c r="F1539" s="867"/>
      <c r="G1539" s="867"/>
      <c r="H1539" s="353">
        <f>H1540</f>
        <v>689.6</v>
      </c>
      <c r="I1539" s="353">
        <f t="shared" ref="I1539:P1539" si="466">I1540</f>
        <v>641.1</v>
      </c>
      <c r="J1539" s="353">
        <f t="shared" si="466"/>
        <v>555.5</v>
      </c>
      <c r="K1539" s="353">
        <f t="shared" si="466"/>
        <v>19</v>
      </c>
      <c r="L1539" s="680">
        <f t="shared" si="466"/>
        <v>357985</v>
      </c>
      <c r="M1539" s="680">
        <f t="shared" si="466"/>
        <v>0</v>
      </c>
      <c r="N1539" s="680">
        <f t="shared" si="466"/>
        <v>0</v>
      </c>
      <c r="O1539" s="680">
        <f t="shared" si="466"/>
        <v>357985</v>
      </c>
      <c r="P1539" s="680">
        <f t="shared" si="466"/>
        <v>0</v>
      </c>
      <c r="Q1539" s="356" t="s">
        <v>40</v>
      </c>
      <c r="R1539" s="356" t="s">
        <v>40</v>
      </c>
      <c r="S1539" s="335">
        <v>43830</v>
      </c>
    </row>
    <row r="1540" spans="1:19" s="1" customFormat="1" ht="31.5">
      <c r="A1540" s="327"/>
      <c r="B1540" s="867" t="s">
        <v>643</v>
      </c>
      <c r="C1540" s="352">
        <v>1972</v>
      </c>
      <c r="D1540" s="867"/>
      <c r="E1540" s="330" t="s">
        <v>218</v>
      </c>
      <c r="F1540" s="352">
        <v>2</v>
      </c>
      <c r="G1540" s="352">
        <v>2</v>
      </c>
      <c r="H1540" s="353">
        <v>689.6</v>
      </c>
      <c r="I1540" s="356">
        <v>641.1</v>
      </c>
      <c r="J1540" s="356">
        <v>555.5</v>
      </c>
      <c r="K1540" s="355">
        <v>19</v>
      </c>
      <c r="L1540" s="333">
        <v>357985</v>
      </c>
      <c r="M1540" s="333">
        <v>0</v>
      </c>
      <c r="N1540" s="333">
        <v>0</v>
      </c>
      <c r="O1540" s="333">
        <v>357985</v>
      </c>
      <c r="P1540" s="333">
        <v>0</v>
      </c>
      <c r="Q1540" s="356">
        <f>L1540/I1540</f>
        <v>558.39182654812043</v>
      </c>
      <c r="R1540" s="356">
        <v>7920</v>
      </c>
      <c r="S1540" s="335">
        <v>43830</v>
      </c>
    </row>
    <row r="1541" spans="1:19" s="1" customFormat="1" ht="15.75">
      <c r="A1541" s="107"/>
      <c r="B1541" s="1336" t="s">
        <v>114</v>
      </c>
      <c r="C1541" s="1336"/>
      <c r="D1541" s="1336"/>
      <c r="E1541" s="1336"/>
      <c r="F1541" s="1336"/>
      <c r="G1541" s="1336"/>
      <c r="H1541" s="128">
        <f>H1542+H1543</f>
        <v>1213.3</v>
      </c>
      <c r="I1541" s="128">
        <f t="shared" ref="I1541:P1541" si="467">I1542+I1543</f>
        <v>1117.5999999999999</v>
      </c>
      <c r="J1541" s="128">
        <f t="shared" si="467"/>
        <v>1076.4000000000001</v>
      </c>
      <c r="K1541" s="128">
        <f t="shared" si="467"/>
        <v>29</v>
      </c>
      <c r="L1541" s="366">
        <f t="shared" si="467"/>
        <v>3745458</v>
      </c>
      <c r="M1541" s="366">
        <f t="shared" si="467"/>
        <v>0</v>
      </c>
      <c r="N1541" s="366">
        <f t="shared" si="467"/>
        <v>0</v>
      </c>
      <c r="O1541" s="366">
        <f t="shared" si="467"/>
        <v>3745458</v>
      </c>
      <c r="P1541" s="366">
        <f t="shared" si="467"/>
        <v>0</v>
      </c>
      <c r="Q1541" s="106" t="s">
        <v>40</v>
      </c>
      <c r="R1541" s="114" t="s">
        <v>40</v>
      </c>
      <c r="S1541" s="335">
        <v>43830</v>
      </c>
    </row>
    <row r="1542" spans="1:19" s="1" customFormat="1" ht="31.5">
      <c r="A1542" s="327">
        <f>A1537+1</f>
        <v>3</v>
      </c>
      <c r="B1542" s="365" t="s">
        <v>501</v>
      </c>
      <c r="C1542" s="352">
        <v>1980</v>
      </c>
      <c r="D1542" s="352"/>
      <c r="E1542" s="330" t="s">
        <v>218</v>
      </c>
      <c r="F1542" s="352">
        <v>2</v>
      </c>
      <c r="G1542" s="352">
        <v>2</v>
      </c>
      <c r="H1542" s="353">
        <v>793.8</v>
      </c>
      <c r="I1542" s="356">
        <v>730.4</v>
      </c>
      <c r="J1542" s="356">
        <v>730.4</v>
      </c>
      <c r="K1542" s="355">
        <v>20</v>
      </c>
      <c r="L1542" s="333">
        <v>2305927</v>
      </c>
      <c r="M1542" s="333">
        <v>0</v>
      </c>
      <c r="N1542" s="333">
        <v>0</v>
      </c>
      <c r="O1542" s="333">
        <v>2305927</v>
      </c>
      <c r="P1542" s="333">
        <v>0</v>
      </c>
      <c r="Q1542" s="356">
        <f>L1542/I1542</f>
        <v>3157.0742059145673</v>
      </c>
      <c r="R1542" s="334">
        <v>7920</v>
      </c>
      <c r="S1542" s="335">
        <v>43830</v>
      </c>
    </row>
    <row r="1543" spans="1:19" s="1" customFormat="1" ht="31.5">
      <c r="A1543" s="327">
        <f t="shared" si="461"/>
        <v>4</v>
      </c>
      <c r="B1543" s="365" t="s">
        <v>502</v>
      </c>
      <c r="C1543" s="352">
        <v>1953</v>
      </c>
      <c r="D1543" s="352"/>
      <c r="E1543" s="330" t="s">
        <v>218</v>
      </c>
      <c r="F1543" s="352">
        <v>2</v>
      </c>
      <c r="G1543" s="352">
        <v>1</v>
      </c>
      <c r="H1543" s="353">
        <v>419.5</v>
      </c>
      <c r="I1543" s="356">
        <v>387.2</v>
      </c>
      <c r="J1543" s="356">
        <v>346</v>
      </c>
      <c r="K1543" s="355">
        <v>9</v>
      </c>
      <c r="L1543" s="333">
        <v>1439531</v>
      </c>
      <c r="M1543" s="333">
        <v>0</v>
      </c>
      <c r="N1543" s="333">
        <v>0</v>
      </c>
      <c r="O1543" s="333">
        <v>1439531</v>
      </c>
      <c r="P1543" s="333">
        <v>0</v>
      </c>
      <c r="Q1543" s="356">
        <f>L1543/I1543</f>
        <v>3717.7970041322315</v>
      </c>
      <c r="R1543" s="334">
        <v>7920</v>
      </c>
      <c r="S1543" s="335">
        <v>43830</v>
      </c>
    </row>
    <row r="1544" spans="1:19" s="1" customFormat="1" ht="15.75">
      <c r="A1544" s="107"/>
      <c r="B1544" s="304"/>
      <c r="C1544" s="118"/>
      <c r="D1544" s="118"/>
      <c r="E1544" s="109"/>
      <c r="F1544" s="118"/>
      <c r="G1544" s="118"/>
      <c r="H1544" s="128"/>
      <c r="I1544" s="106"/>
      <c r="J1544" s="106"/>
      <c r="K1544" s="119"/>
      <c r="L1544" s="113"/>
      <c r="M1544" s="113"/>
      <c r="N1544" s="113"/>
      <c r="O1544" s="113"/>
      <c r="P1544" s="113"/>
      <c r="Q1544" s="106"/>
      <c r="R1544" s="114"/>
      <c r="S1544" s="335"/>
    </row>
    <row r="1545" spans="1:19" s="1" customFormat="1" ht="15.75">
      <c r="A1545" s="107"/>
      <c r="B1545" s="1336" t="s">
        <v>207</v>
      </c>
      <c r="C1545" s="1336"/>
      <c r="D1545" s="1336"/>
      <c r="E1545" s="1336"/>
      <c r="F1545" s="1336"/>
      <c r="G1545" s="1336"/>
      <c r="H1545" s="128">
        <f>SUM(H1546:H1552)</f>
        <v>53715.519999999997</v>
      </c>
      <c r="I1545" s="128">
        <f t="shared" ref="I1545:P1545" si="468">SUM(I1546:I1552)</f>
        <v>46423.12</v>
      </c>
      <c r="J1545" s="128">
        <f t="shared" si="468"/>
        <v>45450.12</v>
      </c>
      <c r="K1545" s="128">
        <f t="shared" si="468"/>
        <v>2022</v>
      </c>
      <c r="L1545" s="366">
        <f t="shared" si="468"/>
        <v>21360482</v>
      </c>
      <c r="M1545" s="366">
        <f t="shared" si="468"/>
        <v>0</v>
      </c>
      <c r="N1545" s="366">
        <f t="shared" si="468"/>
        <v>0</v>
      </c>
      <c r="O1545" s="366">
        <f t="shared" si="468"/>
        <v>21360482</v>
      </c>
      <c r="P1545" s="366">
        <f t="shared" si="468"/>
        <v>0</v>
      </c>
      <c r="Q1545" s="106" t="s">
        <v>40</v>
      </c>
      <c r="R1545" s="106" t="s">
        <v>40</v>
      </c>
      <c r="S1545" s="335">
        <v>43830</v>
      </c>
    </row>
    <row r="1546" spans="1:19" s="21" customFormat="1" ht="15.75">
      <c r="A1546" s="327">
        <f>A1544+1</f>
        <v>1</v>
      </c>
      <c r="B1546" s="351" t="s">
        <v>506</v>
      </c>
      <c r="C1546" s="367">
        <v>1982</v>
      </c>
      <c r="D1546" s="367"/>
      <c r="E1546" s="330" t="s">
        <v>219</v>
      </c>
      <c r="F1546" s="352">
        <v>9</v>
      </c>
      <c r="G1546" s="352">
        <v>2</v>
      </c>
      <c r="H1546" s="368">
        <v>5115.57</v>
      </c>
      <c r="I1546" s="369">
        <v>4456.17</v>
      </c>
      <c r="J1546" s="369">
        <v>4337.2700000000004</v>
      </c>
      <c r="K1546" s="370">
        <v>180</v>
      </c>
      <c r="L1546" s="333">
        <v>1823609</v>
      </c>
      <c r="M1546" s="333">
        <v>0</v>
      </c>
      <c r="N1546" s="333">
        <v>0</v>
      </c>
      <c r="O1546" s="333">
        <f t="shared" ref="O1546:O1552" si="469">L1546</f>
        <v>1823609</v>
      </c>
      <c r="P1546" s="333">
        <v>0</v>
      </c>
      <c r="Q1546" s="371">
        <f t="shared" ref="Q1546:Q1552" si="470">L1546/I1546</f>
        <v>409.23236770589989</v>
      </c>
      <c r="R1546" s="334">
        <v>7920</v>
      </c>
      <c r="S1546" s="335">
        <v>43830</v>
      </c>
    </row>
    <row r="1547" spans="1:19" s="21" customFormat="1" ht="15.75">
      <c r="A1547" s="327">
        <f t="shared" si="461"/>
        <v>2</v>
      </c>
      <c r="B1547" s="351" t="s">
        <v>507</v>
      </c>
      <c r="C1547" s="367">
        <v>1984</v>
      </c>
      <c r="D1547" s="367"/>
      <c r="E1547" s="330" t="s">
        <v>219</v>
      </c>
      <c r="F1547" s="352">
        <v>9</v>
      </c>
      <c r="G1547" s="352">
        <v>7</v>
      </c>
      <c r="H1547" s="368">
        <v>16499.849999999999</v>
      </c>
      <c r="I1547" s="369">
        <v>14068.3</v>
      </c>
      <c r="J1547" s="369">
        <v>13909.7</v>
      </c>
      <c r="K1547" s="370">
        <v>589</v>
      </c>
      <c r="L1547" s="333">
        <v>5329850</v>
      </c>
      <c r="M1547" s="333">
        <v>0</v>
      </c>
      <c r="N1547" s="333">
        <v>0</v>
      </c>
      <c r="O1547" s="333">
        <f t="shared" si="469"/>
        <v>5329850</v>
      </c>
      <c r="P1547" s="333">
        <v>0</v>
      </c>
      <c r="Q1547" s="371">
        <f t="shared" si="470"/>
        <v>378.85529879232035</v>
      </c>
      <c r="R1547" s="334">
        <v>7920</v>
      </c>
      <c r="S1547" s="335">
        <v>43830</v>
      </c>
    </row>
    <row r="1548" spans="1:19" s="21" customFormat="1" ht="15.75">
      <c r="A1548" s="327">
        <f t="shared" si="461"/>
        <v>3</v>
      </c>
      <c r="B1548" s="351" t="s">
        <v>508</v>
      </c>
      <c r="C1548" s="367">
        <v>1988</v>
      </c>
      <c r="D1548" s="367"/>
      <c r="E1548" s="330" t="s">
        <v>219</v>
      </c>
      <c r="F1548" s="352">
        <v>9</v>
      </c>
      <c r="G1548" s="352">
        <v>1</v>
      </c>
      <c r="H1548" s="368">
        <v>2532.1999999999998</v>
      </c>
      <c r="I1548" s="369">
        <v>2227</v>
      </c>
      <c r="J1548" s="369">
        <v>2150.1999999999998</v>
      </c>
      <c r="K1548" s="370">
        <v>94</v>
      </c>
      <c r="L1548" s="333">
        <v>1176993</v>
      </c>
      <c r="M1548" s="333">
        <v>0</v>
      </c>
      <c r="N1548" s="333">
        <v>0</v>
      </c>
      <c r="O1548" s="333">
        <f t="shared" si="469"/>
        <v>1176993</v>
      </c>
      <c r="P1548" s="333">
        <v>0</v>
      </c>
      <c r="Q1548" s="371">
        <f t="shared" si="470"/>
        <v>528.51055231252803</v>
      </c>
      <c r="R1548" s="334">
        <v>7920</v>
      </c>
      <c r="S1548" s="335">
        <v>43830</v>
      </c>
    </row>
    <row r="1549" spans="1:19" s="21" customFormat="1" ht="15.75">
      <c r="A1549" s="327">
        <f t="shared" si="461"/>
        <v>4</v>
      </c>
      <c r="B1549" s="351" t="s">
        <v>509</v>
      </c>
      <c r="C1549" s="367">
        <v>1984</v>
      </c>
      <c r="D1549" s="367"/>
      <c r="E1549" s="330" t="s">
        <v>219</v>
      </c>
      <c r="F1549" s="352">
        <v>9</v>
      </c>
      <c r="G1549" s="352">
        <v>3</v>
      </c>
      <c r="H1549" s="368">
        <v>7816.7</v>
      </c>
      <c r="I1549" s="369">
        <v>6789.35</v>
      </c>
      <c r="J1549" s="369">
        <v>6608.25</v>
      </c>
      <c r="K1549" s="370">
        <v>323</v>
      </c>
      <c r="L1549" s="333">
        <v>2684544</v>
      </c>
      <c r="M1549" s="333">
        <v>0</v>
      </c>
      <c r="N1549" s="333">
        <v>0</v>
      </c>
      <c r="O1549" s="333">
        <f t="shared" si="469"/>
        <v>2684544</v>
      </c>
      <c r="P1549" s="333">
        <v>0</v>
      </c>
      <c r="Q1549" s="371">
        <f t="shared" si="470"/>
        <v>395.40515660556605</v>
      </c>
      <c r="R1549" s="334">
        <v>7920</v>
      </c>
      <c r="S1549" s="335">
        <v>43830</v>
      </c>
    </row>
    <row r="1550" spans="1:19" s="21" customFormat="1" ht="15.75">
      <c r="A1550" s="327">
        <f t="shared" si="461"/>
        <v>5</v>
      </c>
      <c r="B1550" s="351" t="s">
        <v>510</v>
      </c>
      <c r="C1550" s="367">
        <v>1977</v>
      </c>
      <c r="D1550" s="367"/>
      <c r="E1550" s="330" t="s">
        <v>219</v>
      </c>
      <c r="F1550" s="352">
        <v>5</v>
      </c>
      <c r="G1550" s="352">
        <v>18</v>
      </c>
      <c r="H1550" s="368">
        <v>10645.8</v>
      </c>
      <c r="I1550" s="369">
        <v>9514.4</v>
      </c>
      <c r="J1550" s="369">
        <v>9336.2999999999993</v>
      </c>
      <c r="K1550" s="370">
        <v>431</v>
      </c>
      <c r="L1550" s="333">
        <v>6294002</v>
      </c>
      <c r="M1550" s="333">
        <v>0</v>
      </c>
      <c r="N1550" s="333">
        <v>0</v>
      </c>
      <c r="O1550" s="333">
        <f t="shared" si="469"/>
        <v>6294002</v>
      </c>
      <c r="P1550" s="333">
        <v>0</v>
      </c>
      <c r="Q1550" s="371">
        <f t="shared" si="470"/>
        <v>661.52379550996386</v>
      </c>
      <c r="R1550" s="334">
        <v>7920</v>
      </c>
      <c r="S1550" s="335">
        <v>43830</v>
      </c>
    </row>
    <row r="1551" spans="1:19" s="21" customFormat="1" ht="31.5">
      <c r="A1551" s="327">
        <f t="shared" si="461"/>
        <v>6</v>
      </c>
      <c r="B1551" s="351" t="s">
        <v>428</v>
      </c>
      <c r="C1551" s="367">
        <v>1983</v>
      </c>
      <c r="D1551" s="367"/>
      <c r="E1551" s="330" t="s">
        <v>218</v>
      </c>
      <c r="F1551" s="352">
        <v>9</v>
      </c>
      <c r="G1551" s="352">
        <v>1</v>
      </c>
      <c r="H1551" s="368">
        <v>5874.5</v>
      </c>
      <c r="I1551" s="369">
        <v>4804</v>
      </c>
      <c r="J1551" s="369">
        <v>4544.5</v>
      </c>
      <c r="K1551" s="370">
        <v>182</v>
      </c>
      <c r="L1551" s="333">
        <v>2199863</v>
      </c>
      <c r="M1551" s="333">
        <v>0</v>
      </c>
      <c r="N1551" s="333">
        <v>0</v>
      </c>
      <c r="O1551" s="333">
        <f t="shared" si="469"/>
        <v>2199863</v>
      </c>
      <c r="P1551" s="333">
        <v>0</v>
      </c>
      <c r="Q1551" s="371">
        <f t="shared" si="470"/>
        <v>457.92318900915905</v>
      </c>
      <c r="R1551" s="334">
        <v>7920</v>
      </c>
      <c r="S1551" s="335">
        <v>43830</v>
      </c>
    </row>
    <row r="1552" spans="1:19" s="21" customFormat="1" ht="15.75">
      <c r="A1552" s="327">
        <f t="shared" si="461"/>
        <v>7</v>
      </c>
      <c r="B1552" s="351" t="s">
        <v>511</v>
      </c>
      <c r="C1552" s="367">
        <v>1990</v>
      </c>
      <c r="D1552" s="367"/>
      <c r="E1552" s="330" t="s">
        <v>219</v>
      </c>
      <c r="F1552" s="352">
        <v>9</v>
      </c>
      <c r="G1552" s="352">
        <v>2</v>
      </c>
      <c r="H1552" s="368">
        <v>5230.8999999999996</v>
      </c>
      <c r="I1552" s="369">
        <v>4563.8999999999996</v>
      </c>
      <c r="J1552" s="369">
        <v>4563.8999999999996</v>
      </c>
      <c r="K1552" s="370">
        <v>223</v>
      </c>
      <c r="L1552" s="333">
        <v>1851621</v>
      </c>
      <c r="M1552" s="333">
        <v>0</v>
      </c>
      <c r="N1552" s="333">
        <v>0</v>
      </c>
      <c r="O1552" s="333">
        <f t="shared" si="469"/>
        <v>1851621</v>
      </c>
      <c r="P1552" s="333">
        <v>0</v>
      </c>
      <c r="Q1552" s="371">
        <f t="shared" si="470"/>
        <v>405.71024781436932</v>
      </c>
      <c r="R1552" s="334">
        <v>7920</v>
      </c>
      <c r="S1552" s="335">
        <v>43830</v>
      </c>
    </row>
    <row r="1553" spans="1:19" s="21" customFormat="1" ht="15.75">
      <c r="A1553" s="327"/>
      <c r="B1553" s="351"/>
      <c r="C1553" s="367"/>
      <c r="D1553" s="367"/>
      <c r="E1553" s="330"/>
      <c r="F1553" s="352"/>
      <c r="G1553" s="352"/>
      <c r="H1553" s="368"/>
      <c r="I1553" s="369"/>
      <c r="J1553" s="369"/>
      <c r="K1553" s="370"/>
      <c r="L1553" s="333"/>
      <c r="M1553" s="333"/>
      <c r="N1553" s="333"/>
      <c r="O1553" s="333"/>
      <c r="P1553" s="333"/>
      <c r="Q1553" s="371"/>
      <c r="R1553" s="334"/>
      <c r="S1553" s="335"/>
    </row>
    <row r="1554" spans="1:19" s="21" customFormat="1" ht="15.75">
      <c r="A1554" s="327"/>
      <c r="B1554" s="351"/>
      <c r="C1554" s="367"/>
      <c r="D1554" s="367"/>
      <c r="E1554" s="330"/>
      <c r="F1554" s="352"/>
      <c r="G1554" s="352"/>
      <c r="H1554" s="368"/>
      <c r="I1554" s="369"/>
      <c r="J1554" s="369"/>
      <c r="K1554" s="370"/>
      <c r="L1554" s="333"/>
      <c r="M1554" s="333"/>
      <c r="N1554" s="333"/>
      <c r="O1554" s="333"/>
      <c r="P1554" s="333"/>
      <c r="Q1554" s="371"/>
      <c r="R1554" s="334"/>
      <c r="S1554" s="335"/>
    </row>
    <row r="1555" spans="1:19" s="21" customFormat="1" ht="15.75">
      <c r="A1555" s="327"/>
      <c r="B1555" s="351"/>
      <c r="C1555" s="352"/>
      <c r="D1555" s="352"/>
      <c r="E1555" s="330"/>
      <c r="F1555" s="352"/>
      <c r="G1555" s="352"/>
      <c r="H1555" s="353"/>
      <c r="I1555" s="372"/>
      <c r="J1555" s="372"/>
      <c r="K1555" s="355"/>
      <c r="L1555" s="333"/>
      <c r="M1555" s="333"/>
      <c r="N1555" s="333"/>
      <c r="O1555" s="333"/>
      <c r="P1555" s="333"/>
      <c r="Q1555" s="371"/>
      <c r="R1555" s="334"/>
      <c r="S1555" s="335"/>
    </row>
    <row r="1556" spans="1:19" s="21" customFormat="1" ht="15.75">
      <c r="A1556" s="327"/>
      <c r="B1556" s="351"/>
      <c r="C1556" s="367"/>
      <c r="D1556" s="367"/>
      <c r="E1556" s="330"/>
      <c r="F1556" s="367"/>
      <c r="G1556" s="367"/>
      <c r="H1556" s="368"/>
      <c r="I1556" s="369"/>
      <c r="J1556" s="369"/>
      <c r="K1556" s="370"/>
      <c r="L1556" s="333"/>
      <c r="M1556" s="333"/>
      <c r="N1556" s="333"/>
      <c r="O1556" s="333"/>
      <c r="P1556" s="333"/>
      <c r="Q1556" s="371"/>
      <c r="R1556" s="334"/>
      <c r="S1556" s="335"/>
    </row>
    <row r="1557" spans="1:19" s="36" customFormat="1" ht="15.75">
      <c r="A1557" s="107"/>
      <c r="B1557" s="1336" t="s">
        <v>67</v>
      </c>
      <c r="C1557" s="1336"/>
      <c r="D1557" s="1336"/>
      <c r="E1557" s="1336"/>
      <c r="F1557" s="1336"/>
      <c r="G1557" s="1336"/>
      <c r="H1557" s="128">
        <f>H1558+H1560</f>
        <v>4895.2</v>
      </c>
      <c r="I1557" s="162">
        <f t="shared" ref="I1557" si="471">I1558+I1560</f>
        <v>4785.5</v>
      </c>
      <c r="J1557" s="106">
        <f>J1558+J1560</f>
        <v>3916</v>
      </c>
      <c r="K1557" s="119">
        <f>K1558+K1560</f>
        <v>167</v>
      </c>
      <c r="L1557" s="113">
        <f>L1558+L1560</f>
        <v>2982495.07</v>
      </c>
      <c r="M1557" s="113">
        <f t="shared" ref="M1557:N1557" si="472">M1558+M1560</f>
        <v>0</v>
      </c>
      <c r="N1557" s="113">
        <f t="shared" si="472"/>
        <v>260236.27</v>
      </c>
      <c r="O1557" s="113">
        <f>O1558+O1560</f>
        <v>2722258.8</v>
      </c>
      <c r="P1557" s="113">
        <f t="shared" ref="P1557" si="473">P1558+P1560</f>
        <v>0</v>
      </c>
      <c r="Q1557" s="114" t="s">
        <v>40</v>
      </c>
      <c r="R1557" s="108" t="s">
        <v>40</v>
      </c>
      <c r="S1557" s="335">
        <v>43830</v>
      </c>
    </row>
    <row r="1558" spans="1:19" s="1" customFormat="1" ht="15.75">
      <c r="A1558" s="107"/>
      <c r="B1558" s="1336" t="s">
        <v>90</v>
      </c>
      <c r="C1558" s="1336"/>
      <c r="D1558" s="1336"/>
      <c r="E1558" s="1336"/>
      <c r="F1558" s="1336"/>
      <c r="G1558" s="1336"/>
      <c r="H1558" s="128">
        <f>H1559</f>
        <v>1507.8</v>
      </c>
      <c r="I1558" s="106">
        <f t="shared" ref="I1558:P1558" si="474">I1559</f>
        <v>1398.1</v>
      </c>
      <c r="J1558" s="106">
        <f t="shared" si="474"/>
        <v>1200.7</v>
      </c>
      <c r="K1558" s="119">
        <f t="shared" si="474"/>
        <v>62</v>
      </c>
      <c r="L1558" s="113">
        <f>L1559</f>
        <v>728197.07</v>
      </c>
      <c r="M1558" s="113">
        <f t="shared" si="474"/>
        <v>0</v>
      </c>
      <c r="N1558" s="113">
        <f t="shared" si="474"/>
        <v>260236.27</v>
      </c>
      <c r="O1558" s="113">
        <f t="shared" si="474"/>
        <v>467960.8</v>
      </c>
      <c r="P1558" s="113">
        <f t="shared" si="474"/>
        <v>0</v>
      </c>
      <c r="Q1558" s="114" t="s">
        <v>40</v>
      </c>
      <c r="R1558" s="108" t="s">
        <v>40</v>
      </c>
      <c r="S1558" s="335">
        <v>43830</v>
      </c>
    </row>
    <row r="1559" spans="1:19" s="23" customFormat="1" ht="15.75">
      <c r="A1559" s="107">
        <f>A1556+1</f>
        <v>1</v>
      </c>
      <c r="B1559" s="307" t="s">
        <v>429</v>
      </c>
      <c r="C1559" s="118">
        <v>1983</v>
      </c>
      <c r="D1559" s="182"/>
      <c r="E1559" s="109" t="s">
        <v>219</v>
      </c>
      <c r="F1559" s="118">
        <v>3</v>
      </c>
      <c r="G1559" s="118">
        <v>3</v>
      </c>
      <c r="H1559" s="128">
        <v>1507.8</v>
      </c>
      <c r="I1559" s="106">
        <v>1398.1</v>
      </c>
      <c r="J1559" s="106">
        <v>1200.7</v>
      </c>
      <c r="K1559" s="119">
        <v>62</v>
      </c>
      <c r="L1559" s="113">
        <v>728197.07</v>
      </c>
      <c r="M1559" s="113">
        <v>0</v>
      </c>
      <c r="N1559" s="113">
        <v>260236.27</v>
      </c>
      <c r="O1559" s="113">
        <v>467960.8</v>
      </c>
      <c r="P1559" s="113">
        <v>0</v>
      </c>
      <c r="Q1559" s="106">
        <f>L1559/I1559</f>
        <v>520.84762892496963</v>
      </c>
      <c r="R1559" s="114">
        <v>6774</v>
      </c>
      <c r="S1559" s="335">
        <v>43830</v>
      </c>
    </row>
    <row r="1560" spans="1:19" s="23" customFormat="1" ht="15.75">
      <c r="A1560" s="327"/>
      <c r="B1560" s="1337" t="s">
        <v>127</v>
      </c>
      <c r="C1560" s="1337"/>
      <c r="D1560" s="1337"/>
      <c r="E1560" s="1337"/>
      <c r="F1560" s="1337"/>
      <c r="G1560" s="1337"/>
      <c r="H1560" s="353">
        <f t="shared" ref="H1560:P1560" si="475">H1561</f>
        <v>3387.4</v>
      </c>
      <c r="I1560" s="356">
        <f t="shared" si="475"/>
        <v>3387.4</v>
      </c>
      <c r="J1560" s="356">
        <f t="shared" si="475"/>
        <v>2715.3</v>
      </c>
      <c r="K1560" s="355">
        <f t="shared" si="475"/>
        <v>105</v>
      </c>
      <c r="L1560" s="333">
        <f t="shared" si="475"/>
        <v>2254298</v>
      </c>
      <c r="M1560" s="333">
        <f t="shared" si="475"/>
        <v>0</v>
      </c>
      <c r="N1560" s="333">
        <f t="shared" si="475"/>
        <v>0</v>
      </c>
      <c r="O1560" s="333">
        <f t="shared" si="475"/>
        <v>2254298</v>
      </c>
      <c r="P1560" s="333">
        <f t="shared" si="475"/>
        <v>0</v>
      </c>
      <c r="Q1560" s="356" t="s">
        <v>40</v>
      </c>
      <c r="R1560" s="329" t="s">
        <v>40</v>
      </c>
      <c r="S1560" s="335">
        <v>43830</v>
      </c>
    </row>
    <row r="1561" spans="1:19" s="23" customFormat="1" ht="45" customHeight="1">
      <c r="A1561" s="327">
        <f>A1559+1</f>
        <v>2</v>
      </c>
      <c r="B1561" s="912" t="s">
        <v>687</v>
      </c>
      <c r="C1561" s="327">
        <v>1970</v>
      </c>
      <c r="D1561" s="327"/>
      <c r="E1561" s="330" t="s">
        <v>218</v>
      </c>
      <c r="F1561" s="327">
        <v>5</v>
      </c>
      <c r="G1561" s="327">
        <v>4</v>
      </c>
      <c r="H1561" s="758">
        <v>3387.4</v>
      </c>
      <c r="I1561" s="327">
        <v>3387.4</v>
      </c>
      <c r="J1561" s="327">
        <v>2715.3</v>
      </c>
      <c r="K1561" s="580">
        <v>105</v>
      </c>
      <c r="L1561" s="333">
        <v>2254298</v>
      </c>
      <c r="M1561" s="333">
        <v>0</v>
      </c>
      <c r="N1561" s="333">
        <v>0</v>
      </c>
      <c r="O1561" s="333">
        <f>L1561</f>
        <v>2254298</v>
      </c>
      <c r="P1561" s="333">
        <v>0</v>
      </c>
      <c r="Q1561" s="620">
        <f>L1561/I1561</f>
        <v>665.49506996516504</v>
      </c>
      <c r="R1561" s="334">
        <v>7920</v>
      </c>
      <c r="S1561" s="335">
        <v>43830</v>
      </c>
    </row>
    <row r="1562" spans="1:19" s="23" customFormat="1" ht="21.75" customHeight="1">
      <c r="A1562" s="1332" t="s">
        <v>206</v>
      </c>
      <c r="B1562" s="1332"/>
      <c r="C1562" s="1332"/>
      <c r="D1562" s="1332"/>
      <c r="E1562" s="1332"/>
      <c r="F1562" s="1332"/>
      <c r="G1562" s="1332"/>
      <c r="H1562" s="1332"/>
      <c r="I1562" s="1332"/>
      <c r="J1562" s="1332"/>
      <c r="K1562" s="1332"/>
      <c r="L1562" s="1332"/>
      <c r="M1562" s="1332"/>
      <c r="N1562" s="1332"/>
      <c r="O1562" s="1332"/>
      <c r="P1562" s="1332"/>
      <c r="Q1562" s="1332"/>
      <c r="R1562" s="1332"/>
      <c r="S1562" s="1332"/>
    </row>
    <row r="1563" spans="1:19" s="23" customFormat="1" ht="19.5" customHeight="1">
      <c r="A1563" s="107"/>
      <c r="B1563" s="1333" t="s">
        <v>205</v>
      </c>
      <c r="C1563" s="1333"/>
      <c r="D1563" s="1333"/>
      <c r="E1563" s="1333"/>
      <c r="F1563" s="1333"/>
      <c r="G1563" s="1333"/>
      <c r="H1563" s="181">
        <f>H1565+H1574</f>
        <v>25922.6</v>
      </c>
      <c r="I1563" s="181">
        <f t="shared" ref="I1563:P1563" si="476">I1565+I1574</f>
        <v>21873.7</v>
      </c>
      <c r="J1563" s="181">
        <f t="shared" si="476"/>
        <v>21404.3</v>
      </c>
      <c r="K1563" s="154">
        <f t="shared" si="476"/>
        <v>750</v>
      </c>
      <c r="L1563" s="113">
        <f t="shared" si="476"/>
        <v>2663060.64</v>
      </c>
      <c r="M1563" s="113">
        <f t="shared" si="476"/>
        <v>0</v>
      </c>
      <c r="N1563" s="113">
        <f t="shared" si="476"/>
        <v>0</v>
      </c>
      <c r="O1563" s="113">
        <f t="shared" si="476"/>
        <v>2663060.64</v>
      </c>
      <c r="P1563" s="113">
        <f t="shared" si="476"/>
        <v>0</v>
      </c>
      <c r="Q1563" s="114" t="s">
        <v>40</v>
      </c>
      <c r="R1563" s="108" t="s">
        <v>40</v>
      </c>
      <c r="S1563" s="108" t="s">
        <v>40</v>
      </c>
    </row>
    <row r="1564" spans="1:19" s="1" customFormat="1" ht="21.75" customHeight="1">
      <c r="A1564" s="1332" t="s">
        <v>35</v>
      </c>
      <c r="B1564" s="1332"/>
      <c r="C1564" s="1332"/>
      <c r="D1564" s="1332"/>
      <c r="E1564" s="1332"/>
      <c r="F1564" s="1332"/>
      <c r="G1564" s="1332"/>
      <c r="H1564" s="1332"/>
      <c r="I1564" s="1332"/>
      <c r="J1564" s="1332"/>
      <c r="K1564" s="1332"/>
      <c r="L1564" s="1332"/>
      <c r="M1564" s="1332"/>
      <c r="N1564" s="1332"/>
      <c r="O1564" s="1332"/>
      <c r="P1564" s="1332"/>
      <c r="Q1564" s="1332"/>
      <c r="R1564" s="1332"/>
      <c r="S1564" s="1332"/>
    </row>
    <row r="1565" spans="1:19" s="1" customFormat="1" ht="21.75" customHeight="1">
      <c r="A1565" s="302"/>
      <c r="B1565" s="1333" t="s">
        <v>20</v>
      </c>
      <c r="C1565" s="1333"/>
      <c r="D1565" s="1333"/>
      <c r="E1565" s="1333"/>
      <c r="F1565" s="1333"/>
      <c r="G1565" s="1333"/>
      <c r="H1565" s="111">
        <f>H1566</f>
        <v>23801.1</v>
      </c>
      <c r="I1565" s="111">
        <f t="shared" ref="I1565:P1566" si="477">I1566</f>
        <v>20069.3</v>
      </c>
      <c r="J1565" s="111">
        <f t="shared" si="477"/>
        <v>20069.3</v>
      </c>
      <c r="K1565" s="112">
        <f>K1566</f>
        <v>702</v>
      </c>
      <c r="L1565" s="113">
        <f>L1566</f>
        <v>2447351.64</v>
      </c>
      <c r="M1565" s="113">
        <f t="shared" ref="M1565:P1565" si="478">M1566</f>
        <v>0</v>
      </c>
      <c r="N1565" s="113">
        <f t="shared" si="478"/>
        <v>0</v>
      </c>
      <c r="O1565" s="113">
        <f t="shared" si="478"/>
        <v>2447351.64</v>
      </c>
      <c r="P1565" s="113">
        <f t="shared" si="478"/>
        <v>0</v>
      </c>
      <c r="Q1565" s="114" t="s">
        <v>40</v>
      </c>
      <c r="R1565" s="108" t="s">
        <v>40</v>
      </c>
      <c r="S1565" s="335">
        <v>43830</v>
      </c>
    </row>
    <row r="1566" spans="1:19" s="37" customFormat="1" ht="15.75" customHeight="1">
      <c r="A1566" s="99"/>
      <c r="B1566" s="1333" t="s">
        <v>53</v>
      </c>
      <c r="C1566" s="1333"/>
      <c r="D1566" s="1333"/>
      <c r="E1566" s="1333"/>
      <c r="F1566" s="1333"/>
      <c r="G1566" s="1333"/>
      <c r="H1566" s="111">
        <f>H1567</f>
        <v>23801.1</v>
      </c>
      <c r="I1566" s="114">
        <f t="shared" si="477"/>
        <v>20069.3</v>
      </c>
      <c r="J1566" s="114">
        <f t="shared" si="477"/>
        <v>20069.3</v>
      </c>
      <c r="K1566" s="112">
        <f t="shared" si="477"/>
        <v>702</v>
      </c>
      <c r="L1566" s="113">
        <f t="shared" si="477"/>
        <v>2447351.64</v>
      </c>
      <c r="M1566" s="113">
        <f t="shared" si="477"/>
        <v>0</v>
      </c>
      <c r="N1566" s="113">
        <f t="shared" si="477"/>
        <v>0</v>
      </c>
      <c r="O1566" s="113">
        <f t="shared" si="477"/>
        <v>2447351.64</v>
      </c>
      <c r="P1566" s="113">
        <f t="shared" si="477"/>
        <v>0</v>
      </c>
      <c r="Q1566" s="114" t="s">
        <v>40</v>
      </c>
      <c r="R1566" s="108" t="s">
        <v>40</v>
      </c>
      <c r="S1566" s="335">
        <v>43830</v>
      </c>
    </row>
    <row r="1567" spans="1:19" s="37" customFormat="1" ht="15.75" customHeight="1">
      <c r="A1567" s="99"/>
      <c r="B1567" s="1333" t="s">
        <v>88</v>
      </c>
      <c r="C1567" s="1333"/>
      <c r="D1567" s="1333"/>
      <c r="E1567" s="1333"/>
      <c r="F1567" s="1333"/>
      <c r="G1567" s="1333"/>
      <c r="H1567" s="111">
        <f t="shared" ref="H1567:P1567" si="479">SUM(H1568:H1572)</f>
        <v>23801.1</v>
      </c>
      <c r="I1567" s="114">
        <f t="shared" si="479"/>
        <v>20069.3</v>
      </c>
      <c r="J1567" s="114">
        <f t="shared" si="479"/>
        <v>20069.3</v>
      </c>
      <c r="K1567" s="112">
        <f t="shared" si="479"/>
        <v>702</v>
      </c>
      <c r="L1567" s="113">
        <f t="shared" si="479"/>
        <v>2447351.64</v>
      </c>
      <c r="M1567" s="113">
        <f t="shared" si="479"/>
        <v>0</v>
      </c>
      <c r="N1567" s="113">
        <f t="shared" si="479"/>
        <v>0</v>
      </c>
      <c r="O1567" s="113">
        <f t="shared" si="479"/>
        <v>2447351.64</v>
      </c>
      <c r="P1567" s="113">
        <f t="shared" si="479"/>
        <v>0</v>
      </c>
      <c r="Q1567" s="114" t="s">
        <v>40</v>
      </c>
      <c r="R1567" s="108" t="s">
        <v>40</v>
      </c>
      <c r="S1567" s="335">
        <v>43830</v>
      </c>
    </row>
    <row r="1568" spans="1:19" s="33" customFormat="1" ht="15.75">
      <c r="A1568" s="302">
        <f>A1561+1</f>
        <v>3</v>
      </c>
      <c r="B1568" s="183" t="s">
        <v>359</v>
      </c>
      <c r="C1568" s="184">
        <v>1975</v>
      </c>
      <c r="D1568" s="129"/>
      <c r="E1568" s="109" t="s">
        <v>219</v>
      </c>
      <c r="F1568" s="99">
        <v>5</v>
      </c>
      <c r="G1568" s="99">
        <v>4</v>
      </c>
      <c r="H1568" s="180">
        <f>2075.9+150</f>
        <v>2225.9</v>
      </c>
      <c r="I1568" s="100">
        <v>2075.9</v>
      </c>
      <c r="J1568" s="100">
        <v>2075.9</v>
      </c>
      <c r="K1568" s="101">
        <v>112</v>
      </c>
      <c r="L1568" s="113">
        <v>203849</v>
      </c>
      <c r="M1568" s="113">
        <v>0</v>
      </c>
      <c r="N1568" s="113">
        <v>0</v>
      </c>
      <c r="O1568" s="113">
        <f>L1568</f>
        <v>203849</v>
      </c>
      <c r="P1568" s="113">
        <v>0</v>
      </c>
      <c r="Q1568" s="114">
        <f>L1568/I1568</f>
        <v>98.197890071776087</v>
      </c>
      <c r="R1568" s="114">
        <v>6774</v>
      </c>
      <c r="S1568" s="335">
        <v>43830</v>
      </c>
    </row>
    <row r="1569" spans="1:19" s="33" customFormat="1" ht="15.75">
      <c r="A1569" s="302">
        <f>A1568+1</f>
        <v>4</v>
      </c>
      <c r="B1569" s="183" t="s">
        <v>360</v>
      </c>
      <c r="C1569" s="184">
        <v>1991</v>
      </c>
      <c r="D1569" s="129"/>
      <c r="E1569" s="109" t="s">
        <v>219</v>
      </c>
      <c r="F1569" s="99">
        <v>9</v>
      </c>
      <c r="G1569" s="99">
        <v>2</v>
      </c>
      <c r="H1569" s="180">
        <f>4259.3+1200.8</f>
        <v>5460.1</v>
      </c>
      <c r="I1569" s="100">
        <v>4259.3</v>
      </c>
      <c r="J1569" s="100">
        <v>4259.3</v>
      </c>
      <c r="K1569" s="101">
        <v>132</v>
      </c>
      <c r="L1569" s="113">
        <v>489343.64</v>
      </c>
      <c r="M1569" s="113">
        <v>0</v>
      </c>
      <c r="N1569" s="113">
        <v>0</v>
      </c>
      <c r="O1569" s="113">
        <f>L1569</f>
        <v>489343.64</v>
      </c>
      <c r="P1569" s="113">
        <v>0</v>
      </c>
      <c r="Q1569" s="114">
        <f>L1569/I1569</f>
        <v>114.88827741647688</v>
      </c>
      <c r="R1569" s="114">
        <v>6774</v>
      </c>
      <c r="S1569" s="335">
        <v>43830</v>
      </c>
    </row>
    <row r="1570" spans="1:19" s="33" customFormat="1" ht="15.75">
      <c r="A1570" s="302">
        <f t="shared" ref="A1570:A1572" si="480">A1569+1</f>
        <v>5</v>
      </c>
      <c r="B1570" s="183" t="s">
        <v>432</v>
      </c>
      <c r="C1570" s="184">
        <v>1978</v>
      </c>
      <c r="D1570" s="129"/>
      <c r="E1570" s="109" t="s">
        <v>219</v>
      </c>
      <c r="F1570" s="99">
        <v>5</v>
      </c>
      <c r="G1570" s="99">
        <v>6</v>
      </c>
      <c r="H1570" s="180">
        <v>6071.5</v>
      </c>
      <c r="I1570" s="100">
        <v>4592.3</v>
      </c>
      <c r="J1570" s="100">
        <v>4592.3</v>
      </c>
      <c r="K1570" s="101">
        <v>181</v>
      </c>
      <c r="L1570" s="113">
        <v>395010</v>
      </c>
      <c r="M1570" s="113">
        <v>0</v>
      </c>
      <c r="N1570" s="113">
        <v>0</v>
      </c>
      <c r="O1570" s="113">
        <f>L1570</f>
        <v>395010</v>
      </c>
      <c r="P1570" s="113">
        <v>0</v>
      </c>
      <c r="Q1570" s="114">
        <f>L1570/I1570</f>
        <v>86.015721969383534</v>
      </c>
      <c r="R1570" s="114">
        <v>6774</v>
      </c>
      <c r="S1570" s="335">
        <v>43830</v>
      </c>
    </row>
    <row r="1571" spans="1:19" s="33" customFormat="1" ht="15.75">
      <c r="A1571" s="302">
        <f t="shared" si="480"/>
        <v>6</v>
      </c>
      <c r="B1571" s="183" t="s">
        <v>431</v>
      </c>
      <c r="C1571" s="184">
        <v>1980</v>
      </c>
      <c r="D1571" s="129"/>
      <c r="E1571" s="109" t="s">
        <v>219</v>
      </c>
      <c r="F1571" s="99">
        <v>5</v>
      </c>
      <c r="G1571" s="99">
        <v>6</v>
      </c>
      <c r="H1571" s="180">
        <f>493.2+4644.3</f>
        <v>5137.5</v>
      </c>
      <c r="I1571" s="100">
        <v>4644.3</v>
      </c>
      <c r="J1571" s="100">
        <v>4644.3</v>
      </c>
      <c r="K1571" s="101">
        <v>177</v>
      </c>
      <c r="L1571" s="113">
        <v>285326</v>
      </c>
      <c r="M1571" s="113">
        <v>0</v>
      </c>
      <c r="N1571" s="113">
        <v>0</v>
      </c>
      <c r="O1571" s="113">
        <f>L1571</f>
        <v>285326</v>
      </c>
      <c r="P1571" s="113">
        <v>0</v>
      </c>
      <c r="Q1571" s="114">
        <f>L1571/I1571</f>
        <v>61.435738432056496</v>
      </c>
      <c r="R1571" s="114">
        <v>6774</v>
      </c>
      <c r="S1571" s="335">
        <v>43830</v>
      </c>
    </row>
    <row r="1572" spans="1:19" s="33" customFormat="1" ht="31.5">
      <c r="A1572" s="302">
        <f t="shared" si="480"/>
        <v>7</v>
      </c>
      <c r="B1572" s="183" t="s">
        <v>358</v>
      </c>
      <c r="C1572" s="184">
        <v>1973</v>
      </c>
      <c r="D1572" s="129"/>
      <c r="E1572" s="109" t="s">
        <v>218</v>
      </c>
      <c r="F1572" s="99">
        <v>5</v>
      </c>
      <c r="G1572" s="99">
        <v>6</v>
      </c>
      <c r="H1572" s="180">
        <v>4906.1000000000004</v>
      </c>
      <c r="I1572" s="100">
        <v>4497.5</v>
      </c>
      <c r="J1572" s="100">
        <v>4497.5</v>
      </c>
      <c r="K1572" s="101">
        <v>100</v>
      </c>
      <c r="L1572" s="113">
        <v>1073823</v>
      </c>
      <c r="M1572" s="113">
        <v>0</v>
      </c>
      <c r="N1572" s="113">
        <v>0</v>
      </c>
      <c r="O1572" s="113">
        <f>L1572</f>
        <v>1073823</v>
      </c>
      <c r="P1572" s="113">
        <v>0</v>
      </c>
      <c r="Q1572" s="114">
        <f>L1572/I1572</f>
        <v>238.75997776542525</v>
      </c>
      <c r="R1572" s="114">
        <v>6774</v>
      </c>
      <c r="S1572" s="335">
        <v>43830</v>
      </c>
    </row>
    <row r="1573" spans="1:19" s="1" customFormat="1" ht="34.5" customHeight="1">
      <c r="A1573" s="1332" t="s">
        <v>37</v>
      </c>
      <c r="B1573" s="1332"/>
      <c r="C1573" s="1332"/>
      <c r="D1573" s="1332"/>
      <c r="E1573" s="1332"/>
      <c r="F1573" s="1332"/>
      <c r="G1573" s="1332"/>
      <c r="H1573" s="1332"/>
      <c r="I1573" s="1332"/>
      <c r="J1573" s="1332"/>
      <c r="K1573" s="1332"/>
      <c r="L1573" s="1332"/>
      <c r="M1573" s="1332"/>
      <c r="N1573" s="1332"/>
      <c r="O1573" s="1332"/>
      <c r="P1573" s="1332"/>
      <c r="Q1573" s="1332"/>
      <c r="R1573" s="1332"/>
      <c r="S1573" s="1332"/>
    </row>
    <row r="1574" spans="1:19" s="1" customFormat="1" ht="15.75">
      <c r="A1574" s="302"/>
      <c r="B1574" s="1333" t="s">
        <v>20</v>
      </c>
      <c r="C1574" s="1333"/>
      <c r="D1574" s="1333"/>
      <c r="E1574" s="1333"/>
      <c r="F1574" s="1333"/>
      <c r="G1574" s="1333"/>
      <c r="H1574" s="111">
        <f>H1575+H1578</f>
        <v>2121.5</v>
      </c>
      <c r="I1574" s="111">
        <f t="shared" ref="I1574:J1574" si="481">I1575+I1578</f>
        <v>1804.4</v>
      </c>
      <c r="J1574" s="111">
        <f t="shared" si="481"/>
        <v>1335</v>
      </c>
      <c r="K1574" s="112">
        <f>K1575+K1578</f>
        <v>48</v>
      </c>
      <c r="L1574" s="113">
        <f t="shared" ref="L1574:P1574" si="482">L1575+L1578</f>
        <v>215709</v>
      </c>
      <c r="M1574" s="113">
        <f t="shared" si="482"/>
        <v>0</v>
      </c>
      <c r="N1574" s="113">
        <f t="shared" si="482"/>
        <v>0</v>
      </c>
      <c r="O1574" s="113">
        <f t="shared" si="482"/>
        <v>215709</v>
      </c>
      <c r="P1574" s="113">
        <f t="shared" si="482"/>
        <v>0</v>
      </c>
      <c r="Q1574" s="114" t="s">
        <v>40</v>
      </c>
      <c r="R1574" s="108" t="s">
        <v>40</v>
      </c>
      <c r="S1574" s="335">
        <v>43830</v>
      </c>
    </row>
    <row r="1575" spans="1:19" s="1" customFormat="1" ht="15.75" customHeight="1">
      <c r="A1575" s="302"/>
      <c r="B1575" s="1334" t="s">
        <v>58</v>
      </c>
      <c r="C1575" s="1334"/>
      <c r="D1575" s="1334"/>
      <c r="E1575" s="1334"/>
      <c r="F1575" s="1334"/>
      <c r="G1575" s="1334"/>
      <c r="H1575" s="127">
        <f>H1576</f>
        <v>2121.5</v>
      </c>
      <c r="I1575" s="104">
        <f t="shared" ref="I1575:P1576" si="483">I1576</f>
        <v>1804.4</v>
      </c>
      <c r="J1575" s="104">
        <f t="shared" si="483"/>
        <v>1335</v>
      </c>
      <c r="K1575" s="105">
        <f t="shared" si="483"/>
        <v>48</v>
      </c>
      <c r="L1575" s="113">
        <f t="shared" si="483"/>
        <v>215709</v>
      </c>
      <c r="M1575" s="113">
        <f t="shared" si="483"/>
        <v>0</v>
      </c>
      <c r="N1575" s="113">
        <f t="shared" si="483"/>
        <v>0</v>
      </c>
      <c r="O1575" s="113">
        <f t="shared" si="483"/>
        <v>215709</v>
      </c>
      <c r="P1575" s="113">
        <f t="shared" si="483"/>
        <v>0</v>
      </c>
      <c r="Q1575" s="104" t="str">
        <f>Q1576</f>
        <v>Х</v>
      </c>
      <c r="R1575" s="104" t="str">
        <f t="shared" ref="R1575" si="484">R1576</f>
        <v>Х</v>
      </c>
      <c r="S1575" s="335">
        <v>43830</v>
      </c>
    </row>
    <row r="1576" spans="1:19" s="1" customFormat="1" ht="15.75" customHeight="1">
      <c r="A1576" s="302"/>
      <c r="B1576" s="1334" t="s">
        <v>87</v>
      </c>
      <c r="C1576" s="1334"/>
      <c r="D1576" s="1334"/>
      <c r="E1576" s="1334"/>
      <c r="F1576" s="1334"/>
      <c r="G1576" s="1334"/>
      <c r="H1576" s="127">
        <f>H1577</f>
        <v>2121.5</v>
      </c>
      <c r="I1576" s="104">
        <f t="shared" si="483"/>
        <v>1804.4</v>
      </c>
      <c r="J1576" s="104">
        <f t="shared" si="483"/>
        <v>1335</v>
      </c>
      <c r="K1576" s="105">
        <f t="shared" si="483"/>
        <v>48</v>
      </c>
      <c r="L1576" s="113">
        <f>L1577</f>
        <v>215709</v>
      </c>
      <c r="M1576" s="113">
        <f t="shared" si="483"/>
        <v>0</v>
      </c>
      <c r="N1576" s="113">
        <f t="shared" si="483"/>
        <v>0</v>
      </c>
      <c r="O1576" s="113">
        <f>L1576</f>
        <v>215709</v>
      </c>
      <c r="P1576" s="113">
        <v>0</v>
      </c>
      <c r="Q1576" s="104" t="s">
        <v>40</v>
      </c>
      <c r="R1576" s="302" t="s">
        <v>40</v>
      </c>
      <c r="S1576" s="335">
        <v>43830</v>
      </c>
    </row>
    <row r="1577" spans="1:19" s="1" customFormat="1" ht="31.5">
      <c r="A1577" s="302">
        <f>A1572+1</f>
        <v>8</v>
      </c>
      <c r="B1577" s="300" t="s">
        <v>433</v>
      </c>
      <c r="C1577" s="99">
        <v>1959</v>
      </c>
      <c r="D1577" s="109"/>
      <c r="E1577" s="109" t="s">
        <v>218</v>
      </c>
      <c r="F1577" s="185" t="s">
        <v>73</v>
      </c>
      <c r="G1577" s="185" t="s">
        <v>74</v>
      </c>
      <c r="H1577" s="180">
        <v>2121.5</v>
      </c>
      <c r="I1577" s="100">
        <v>1804.4</v>
      </c>
      <c r="J1577" s="100">
        <f>1379-44</f>
        <v>1335</v>
      </c>
      <c r="K1577" s="101">
        <v>48</v>
      </c>
      <c r="L1577" s="113">
        <v>215709</v>
      </c>
      <c r="M1577" s="113">
        <v>0</v>
      </c>
      <c r="N1577" s="113">
        <v>0</v>
      </c>
      <c r="O1577" s="113">
        <f>L1577</f>
        <v>215709</v>
      </c>
      <c r="P1577" s="113">
        <v>0</v>
      </c>
      <c r="Q1577" s="100">
        <f>L1577/I1577</f>
        <v>119.54610951008645</v>
      </c>
      <c r="R1577" s="114">
        <v>6774</v>
      </c>
      <c r="S1577" s="335">
        <v>43830</v>
      </c>
    </row>
    <row r="1578" spans="1:19" s="1" customFormat="1" ht="25.9" customHeight="1">
      <c r="A1578" s="367"/>
      <c r="B1578" s="1335" t="s">
        <v>59</v>
      </c>
      <c r="C1578" s="1335"/>
      <c r="D1578" s="1335"/>
      <c r="E1578" s="1335"/>
      <c r="F1578" s="1335"/>
      <c r="G1578" s="1335"/>
      <c r="H1578" s="368">
        <f t="shared" ref="H1578:P1578" si="485">H1579+H1580</f>
        <v>0</v>
      </c>
      <c r="I1578" s="371">
        <f t="shared" si="485"/>
        <v>0</v>
      </c>
      <c r="J1578" s="371">
        <f t="shared" si="485"/>
        <v>0</v>
      </c>
      <c r="K1578" s="370">
        <f t="shared" si="485"/>
        <v>0</v>
      </c>
      <c r="L1578" s="333">
        <f t="shared" si="485"/>
        <v>0</v>
      </c>
      <c r="M1578" s="333">
        <f t="shared" si="485"/>
        <v>0</v>
      </c>
      <c r="N1578" s="333">
        <f t="shared" si="485"/>
        <v>0</v>
      </c>
      <c r="O1578" s="333">
        <f t="shared" si="485"/>
        <v>0</v>
      </c>
      <c r="P1578" s="333">
        <f t="shared" si="485"/>
        <v>0</v>
      </c>
      <c r="Q1578" s="371" t="str">
        <f>Q1579</f>
        <v>Х</v>
      </c>
      <c r="R1578" s="371" t="str">
        <f t="shared" ref="R1578" si="486">R1579</f>
        <v>Х</v>
      </c>
      <c r="S1578" s="335">
        <v>43830</v>
      </c>
    </row>
    <row r="1579" spans="1:19" s="1" customFormat="1" ht="43.15" customHeight="1">
      <c r="A1579" s="327"/>
      <c r="B1579" s="1331" t="s">
        <v>86</v>
      </c>
      <c r="C1579" s="1331"/>
      <c r="D1579" s="1331"/>
      <c r="E1579" s="1331"/>
      <c r="F1579" s="1331"/>
      <c r="G1579" s="1331"/>
      <c r="H1579" s="371">
        <v>0</v>
      </c>
      <c r="I1579" s="371">
        <v>0</v>
      </c>
      <c r="J1579" s="371">
        <v>0</v>
      </c>
      <c r="K1579" s="332">
        <v>0</v>
      </c>
      <c r="L1579" s="333">
        <v>0</v>
      </c>
      <c r="M1579" s="333">
        <v>0</v>
      </c>
      <c r="N1579" s="333">
        <v>0</v>
      </c>
      <c r="O1579" s="333">
        <v>0</v>
      </c>
      <c r="P1579" s="333">
        <v>0</v>
      </c>
      <c r="Q1579" s="371" t="s">
        <v>40</v>
      </c>
      <c r="R1579" s="367" t="s">
        <v>40</v>
      </c>
      <c r="S1579" s="335">
        <v>43830</v>
      </c>
    </row>
    <row r="1580" spans="1:19" s="1" customFormat="1" ht="36.6" customHeight="1">
      <c r="A1580" s="367"/>
      <c r="B1580" s="1331" t="s">
        <v>85</v>
      </c>
      <c r="C1580" s="1331"/>
      <c r="D1580" s="1331"/>
      <c r="E1580" s="1331"/>
      <c r="F1580" s="1331"/>
      <c r="G1580" s="1331"/>
      <c r="H1580" s="331">
        <v>0</v>
      </c>
      <c r="I1580" s="329">
        <v>0</v>
      </c>
      <c r="J1580" s="329">
        <v>0</v>
      </c>
      <c r="K1580" s="332">
        <v>0</v>
      </c>
      <c r="L1580" s="333">
        <v>0</v>
      </c>
      <c r="M1580" s="333">
        <v>0</v>
      </c>
      <c r="N1580" s="333">
        <v>0</v>
      </c>
      <c r="O1580" s="333">
        <v>0</v>
      </c>
      <c r="P1580" s="333">
        <v>0</v>
      </c>
      <c r="Q1580" s="334" t="s">
        <v>40</v>
      </c>
      <c r="R1580" s="329" t="s">
        <v>40</v>
      </c>
      <c r="S1580" s="335">
        <v>43830</v>
      </c>
    </row>
  </sheetData>
  <autoFilter ref="A14:BJ772" xr:uid="{00000000-0009-0000-0000-000000000000}"/>
  <sortState xmlns:xlrd2="http://schemas.microsoft.com/office/spreadsheetml/2017/richdata2" ref="B20:AZ187">
    <sortCondition ref="B20:B187"/>
  </sortState>
  <customSheetViews>
    <customSheetView guid="{DC88C499-913F-4D15-846E-E5B9D5E047D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"/>
      <headerFooter>
        <oddHeader>&amp;C&amp;14&amp;P</oddHeader>
      </headerFooter>
      <autoFilter ref="A14:BJ772" xr:uid="{00000000-0000-0000-0000-000000000000}"/>
    </customSheetView>
    <customSheetView guid="{A6187BD3-0BA4-497C-8924-4FA3D77530F0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2"/>
      <headerFooter>
        <oddHeader>&amp;C&amp;14&amp;P</oddHeader>
      </headerFooter>
      <autoFilter ref="A14:BJ772" xr:uid="{00000000-0000-0000-0000-000000000000}"/>
    </customSheetView>
    <customSheetView guid="{7A75CCE7-0E84-47E6-A162-5AC0354F296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3"/>
      <headerFooter>
        <oddHeader>&amp;C&amp;14&amp;P</oddHeader>
      </headerFooter>
      <autoFilter ref="A14:BJ772" xr:uid="{00000000-0000-0000-0000-000000000000}"/>
    </customSheetView>
    <customSheetView guid="{144E5A37-1CF2-41F0-BEF8-CB5D4D392E2A}" scale="62" showPageBreaks="1" fitToPage="1" showAutoFilter="1" state="hidden" view="pageBreakPreview" topLeftCell="A10">
      <pane xSplit="1.6092715231788079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4"/>
      <headerFooter>
        <oddHeader>&amp;C&amp;14&amp;P</oddHeader>
      </headerFooter>
      <autoFilter ref="A14:BJ772" xr:uid="{00000000-0000-0000-0000-000000000000}"/>
    </customSheetView>
    <customSheetView guid="{A28C0ADC-4E0C-4A0A-ACB1-DA409183476D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5"/>
      <headerFooter>
        <oddHeader>&amp;C&amp;14&amp;P</oddHeader>
      </headerFooter>
      <autoFilter ref="A14:BJ772" xr:uid="{00000000-0000-0000-0000-000000000000}"/>
    </customSheetView>
    <customSheetView guid="{B1841E62-04AF-4786-8B2B-B1F42C88E6D1}" scale="62" showPageBreaks="1" fitToPage="1" showAutoFilter="1" state="hidden" view="pageBreakPreview" topLeftCell="A10">
      <pane xSplit="2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6"/>
      <headerFooter>
        <oddHeader>&amp;C&amp;14&amp;P</oddHeader>
      </headerFooter>
      <autoFilter ref="A14:BJ580" xr:uid="{00000000-0000-0000-0000-000000000000}"/>
    </customSheetView>
    <customSheetView guid="{570403C4-1D93-4175-B4D8-BD47D46CE99C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7"/>
      <headerFooter>
        <oddHeader>&amp;C&amp;14&amp;P</oddHeader>
      </headerFooter>
      <autoFilter ref="A14:BJ772" xr:uid="{00000000-0000-0000-0000-000000000000}"/>
    </customSheetView>
    <customSheetView guid="{4C44C113-DA02-468D-99C5-83FA6693F42F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8"/>
      <headerFooter>
        <oddHeader>&amp;C&amp;14&amp;P</oddHeader>
      </headerFooter>
      <autoFilter ref="A14:BJ772" xr:uid="{00000000-0000-0000-0000-000000000000}"/>
    </customSheetView>
    <customSheetView guid="{DFE5B545-478C-4B86-847C-1FEE882C6F69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9"/>
      <headerFooter>
        <oddHeader>&amp;C&amp;14&amp;P</oddHeader>
      </headerFooter>
      <autoFilter ref="A14:BJ772" xr:uid="{00000000-0000-0000-0000-000000000000}"/>
    </customSheetView>
    <customSheetView guid="{971AA6D5-B469-4A54-816C-1252CCB6D265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0"/>
      <headerFooter>
        <oddHeader>&amp;C&amp;14&amp;P</oddHeader>
      </headerFooter>
      <autoFilter ref="A14:BJ772" xr:uid="{00000000-0000-0000-0000-000000000000}"/>
    </customSheetView>
  </customSheetViews>
  <mergeCells count="352">
    <mergeCell ref="B363:G363"/>
    <mergeCell ref="B397:G397"/>
    <mergeCell ref="B496:G496"/>
    <mergeCell ref="B377:G377"/>
    <mergeCell ref="B376:G376"/>
    <mergeCell ref="B403:G403"/>
    <mergeCell ref="B474:G474"/>
    <mergeCell ref="B473:G473"/>
    <mergeCell ref="B483:G483"/>
    <mergeCell ref="B415:G415"/>
    <mergeCell ref="B417:G417"/>
    <mergeCell ref="B401:G401"/>
    <mergeCell ref="B419:G419"/>
    <mergeCell ref="B385:G385"/>
    <mergeCell ref="B424:G424"/>
    <mergeCell ref="B524:G524"/>
    <mergeCell ref="B525:G525"/>
    <mergeCell ref="A522:S522"/>
    <mergeCell ref="B425:G425"/>
    <mergeCell ref="B430:G430"/>
    <mergeCell ref="B435:G435"/>
    <mergeCell ref="B434:G434"/>
    <mergeCell ref="B441:G441"/>
    <mergeCell ref="B445:G445"/>
    <mergeCell ref="B449:G449"/>
    <mergeCell ref="B470:G470"/>
    <mergeCell ref="B477:G477"/>
    <mergeCell ref="B515:G515"/>
    <mergeCell ref="B480:G480"/>
    <mergeCell ref="B479:G479"/>
    <mergeCell ref="B485:G485"/>
    <mergeCell ref="B492:G492"/>
    <mergeCell ref="B491:G491"/>
    <mergeCell ref="B494:G494"/>
    <mergeCell ref="B450:G450"/>
    <mergeCell ref="B460:G460"/>
    <mergeCell ref="B461:G461"/>
    <mergeCell ref="B466:G466"/>
    <mergeCell ref="B467:G467"/>
    <mergeCell ref="G11:G14"/>
    <mergeCell ref="C11:D11"/>
    <mergeCell ref="D12:D14"/>
    <mergeCell ref="I11:J11"/>
    <mergeCell ref="B11:B14"/>
    <mergeCell ref="B339:G339"/>
    <mergeCell ref="B338:G338"/>
    <mergeCell ref="B312:G312"/>
    <mergeCell ref="B314:G314"/>
    <mergeCell ref="B316:G316"/>
    <mergeCell ref="B317:G317"/>
    <mergeCell ref="B321:G321"/>
    <mergeCell ref="B320:G320"/>
    <mergeCell ref="B325:G325"/>
    <mergeCell ref="B324:G324"/>
    <mergeCell ref="B205:G205"/>
    <mergeCell ref="B308:G308"/>
    <mergeCell ref="B307:G307"/>
    <mergeCell ref="B310:G310"/>
    <mergeCell ref="B318:G318"/>
    <mergeCell ref="B257:G257"/>
    <mergeCell ref="B332:G332"/>
    <mergeCell ref="B331:G331"/>
    <mergeCell ref="L12:L13"/>
    <mergeCell ref="K11:K13"/>
    <mergeCell ref="A17:S17"/>
    <mergeCell ref="B188:G188"/>
    <mergeCell ref="O1:S1"/>
    <mergeCell ref="O4:S4"/>
    <mergeCell ref="O5:S5"/>
    <mergeCell ref="J12:J13"/>
    <mergeCell ref="E11:E14"/>
    <mergeCell ref="F11:F14"/>
    <mergeCell ref="L11:P11"/>
    <mergeCell ref="M12:P12"/>
    <mergeCell ref="Q11:Q13"/>
    <mergeCell ref="S11:S14"/>
    <mergeCell ref="A6:S6"/>
    <mergeCell ref="R11:R13"/>
    <mergeCell ref="A7:S7"/>
    <mergeCell ref="H11:H13"/>
    <mergeCell ref="A8:S8"/>
    <mergeCell ref="A11:A14"/>
    <mergeCell ref="A9:S9"/>
    <mergeCell ref="I12:I13"/>
    <mergeCell ref="B18:G18"/>
    <mergeCell ref="A10:S10"/>
    <mergeCell ref="O2:S2"/>
    <mergeCell ref="C12:C14"/>
    <mergeCell ref="A531:S531"/>
    <mergeCell ref="B532:G532"/>
    <mergeCell ref="B533:G533"/>
    <mergeCell ref="O3:S3"/>
    <mergeCell ref="B300:G300"/>
    <mergeCell ref="B261:G261"/>
    <mergeCell ref="B269:G269"/>
    <mergeCell ref="B270:G270"/>
    <mergeCell ref="B281:G281"/>
    <mergeCell ref="B282:G282"/>
    <mergeCell ref="B284:G284"/>
    <mergeCell ref="B285:G285"/>
    <mergeCell ref="A520:S520"/>
    <mergeCell ref="B244:G244"/>
    <mergeCell ref="B16:G16"/>
    <mergeCell ref="B19:G19"/>
    <mergeCell ref="B207:G207"/>
    <mergeCell ref="B231:G231"/>
    <mergeCell ref="B260:G260"/>
    <mergeCell ref="B303:G303"/>
    <mergeCell ref="B336:G336"/>
    <mergeCell ref="B304:G304"/>
    <mergeCell ref="B344:G344"/>
    <mergeCell ref="B347:G347"/>
    <mergeCell ref="B349:G349"/>
    <mergeCell ref="B353:G353"/>
    <mergeCell ref="B352:G352"/>
    <mergeCell ref="B412:G412"/>
    <mergeCell ref="B537:G537"/>
    <mergeCell ref="B499:G499"/>
    <mergeCell ref="B503:G503"/>
    <mergeCell ref="B469:G469"/>
    <mergeCell ref="B364:G364"/>
    <mergeCell ref="B405:G405"/>
    <mergeCell ref="B382:G382"/>
    <mergeCell ref="B384:G384"/>
    <mergeCell ref="B446:G446"/>
    <mergeCell ref="B373:G373"/>
    <mergeCell ref="B536:G536"/>
    <mergeCell ref="B521:G521"/>
    <mergeCell ref="B523:G523"/>
    <mergeCell ref="B516:G516"/>
    <mergeCell ref="B518:G518"/>
    <mergeCell ref="B429:G429"/>
    <mergeCell ref="B443:G443"/>
    <mergeCell ref="B380:G380"/>
    <mergeCell ref="B545:G545"/>
    <mergeCell ref="B476:G476"/>
    <mergeCell ref="B583:G583"/>
    <mergeCell ref="B584:G584"/>
    <mergeCell ref="B753:G753"/>
    <mergeCell ref="B767:G767"/>
    <mergeCell ref="B770:G770"/>
    <mergeCell ref="A581:S581"/>
    <mergeCell ref="B863:G863"/>
    <mergeCell ref="B842:G842"/>
    <mergeCell ref="B844:G844"/>
    <mergeCell ref="B822:G822"/>
    <mergeCell ref="B845:G845"/>
    <mergeCell ref="B860:G860"/>
    <mergeCell ref="B796:G796"/>
    <mergeCell ref="B809:G809"/>
    <mergeCell ref="B825:G825"/>
    <mergeCell ref="B826:G826"/>
    <mergeCell ref="B834:G834"/>
    <mergeCell ref="B835:G835"/>
    <mergeCell ref="B841:G841"/>
    <mergeCell ref="B486:G486"/>
    <mergeCell ref="A582:S582"/>
    <mergeCell ref="B534:G534"/>
    <mergeCell ref="B864:G864"/>
    <mergeCell ref="B867:G867"/>
    <mergeCell ref="B868:G868"/>
    <mergeCell ref="B874:G874"/>
    <mergeCell ref="B876:G876"/>
    <mergeCell ref="B878:G878"/>
    <mergeCell ref="B880:G880"/>
    <mergeCell ref="B882:G882"/>
    <mergeCell ref="B883:G883"/>
    <mergeCell ref="B872:G872"/>
    <mergeCell ref="B886:G886"/>
    <mergeCell ref="B887:G887"/>
    <mergeCell ref="B889:G889"/>
    <mergeCell ref="B890:G890"/>
    <mergeCell ref="B894:G894"/>
    <mergeCell ref="B896:G896"/>
    <mergeCell ref="B897:G897"/>
    <mergeCell ref="B900:G900"/>
    <mergeCell ref="B903:G903"/>
    <mergeCell ref="B905:G905"/>
    <mergeCell ref="B908:G908"/>
    <mergeCell ref="B909:G909"/>
    <mergeCell ref="B916:G916"/>
    <mergeCell ref="B917:G917"/>
    <mergeCell ref="B929:G929"/>
    <mergeCell ref="B930:G930"/>
    <mergeCell ref="B926:G926"/>
    <mergeCell ref="B933:G933"/>
    <mergeCell ref="B935:G935"/>
    <mergeCell ref="B937:G937"/>
    <mergeCell ref="B938:G938"/>
    <mergeCell ref="B945:G945"/>
    <mergeCell ref="B947:G947"/>
    <mergeCell ref="B949:G949"/>
    <mergeCell ref="B958:G958"/>
    <mergeCell ref="B961:G961"/>
    <mergeCell ref="B963:G963"/>
    <mergeCell ref="B968:G968"/>
    <mergeCell ref="B956:G956"/>
    <mergeCell ref="B969:G969"/>
    <mergeCell ref="B973:G973"/>
    <mergeCell ref="B974:G974"/>
    <mergeCell ref="B978:G978"/>
    <mergeCell ref="B979:G979"/>
    <mergeCell ref="B986:G986"/>
    <mergeCell ref="B990:G990"/>
    <mergeCell ref="B992:G992"/>
    <mergeCell ref="B993:G993"/>
    <mergeCell ref="B996:G996"/>
    <mergeCell ref="B997:G997"/>
    <mergeCell ref="B1007:G1007"/>
    <mergeCell ref="B1008:G1008"/>
    <mergeCell ref="B1013:G1013"/>
    <mergeCell ref="B1014:G1014"/>
    <mergeCell ref="B1016:G1016"/>
    <mergeCell ref="B1017:G1017"/>
    <mergeCell ref="B1025:G1025"/>
    <mergeCell ref="B1021:G1021"/>
    <mergeCell ref="B1022:G1022"/>
    <mergeCell ref="B1065:G1065"/>
    <mergeCell ref="A1066:S1066"/>
    <mergeCell ref="B1067:G1067"/>
    <mergeCell ref="B1026:G1026"/>
    <mergeCell ref="B1028:G1028"/>
    <mergeCell ref="B1029:G1029"/>
    <mergeCell ref="B1032:G1032"/>
    <mergeCell ref="B1033:G1033"/>
    <mergeCell ref="B1038:G1038"/>
    <mergeCell ref="B1039:G1039"/>
    <mergeCell ref="B1041:G1041"/>
    <mergeCell ref="B1043:G1043"/>
    <mergeCell ref="B1044:G1044"/>
    <mergeCell ref="B1048:G1048"/>
    <mergeCell ref="B1060:G1060"/>
    <mergeCell ref="B1061:G1061"/>
    <mergeCell ref="B1063:G1063"/>
    <mergeCell ref="A1064:S1064"/>
    <mergeCell ref="A1083:S1083"/>
    <mergeCell ref="A1084:S1084"/>
    <mergeCell ref="B1085:G1085"/>
    <mergeCell ref="B1086:G1086"/>
    <mergeCell ref="B1255:G1255"/>
    <mergeCell ref="B1267:G1267"/>
    <mergeCell ref="B1269:G1269"/>
    <mergeCell ref="B1295:G1295"/>
    <mergeCell ref="B1068:G1068"/>
    <mergeCell ref="B1069:G1069"/>
    <mergeCell ref="A1075:S1075"/>
    <mergeCell ref="B1076:G1076"/>
    <mergeCell ref="B1077:G1077"/>
    <mergeCell ref="B1078:G1078"/>
    <mergeCell ref="B1080:G1080"/>
    <mergeCell ref="B1081:G1081"/>
    <mergeCell ref="B1082:G1082"/>
    <mergeCell ref="B1308:G1308"/>
    <mergeCell ref="B1322:G1322"/>
    <mergeCell ref="B1323:G1323"/>
    <mergeCell ref="B1331:G1331"/>
    <mergeCell ref="B1332:G1332"/>
    <mergeCell ref="B1338:G1338"/>
    <mergeCell ref="B1339:G1339"/>
    <mergeCell ref="B1341:G1341"/>
    <mergeCell ref="B1342:G1342"/>
    <mergeCell ref="B1320:G1320"/>
    <mergeCell ref="B1357:G1357"/>
    <mergeCell ref="B1360:G1360"/>
    <mergeCell ref="B1361:G1361"/>
    <mergeCell ref="B1364:G1364"/>
    <mergeCell ref="B1365:G1365"/>
    <mergeCell ref="B1369:G1369"/>
    <mergeCell ref="B1372:G1372"/>
    <mergeCell ref="B1373:G1373"/>
    <mergeCell ref="B1375:G1375"/>
    <mergeCell ref="B1367:G1367"/>
    <mergeCell ref="B1379:G1379"/>
    <mergeCell ref="B1380:G1380"/>
    <mergeCell ref="B1383:G1383"/>
    <mergeCell ref="B1384:G1384"/>
    <mergeCell ref="B1386:G1386"/>
    <mergeCell ref="B1387:G1387"/>
    <mergeCell ref="B1389:G1389"/>
    <mergeCell ref="B1391:G1391"/>
    <mergeCell ref="B1392:G1392"/>
    <mergeCell ref="B1395:G1395"/>
    <mergeCell ref="B1398:G1398"/>
    <mergeCell ref="B1400:G1400"/>
    <mergeCell ref="B1403:G1403"/>
    <mergeCell ref="B1404:G1404"/>
    <mergeCell ref="B1414:G1414"/>
    <mergeCell ref="B1415:G1415"/>
    <mergeCell ref="B1426:G1426"/>
    <mergeCell ref="B1427:G1427"/>
    <mergeCell ref="B1423:G1423"/>
    <mergeCell ref="B1430:G1430"/>
    <mergeCell ref="B1432:G1432"/>
    <mergeCell ref="B1434:G1434"/>
    <mergeCell ref="B1435:G1435"/>
    <mergeCell ref="B1447:G1447"/>
    <mergeCell ref="B1449:G1449"/>
    <mergeCell ref="B1451:G1451"/>
    <mergeCell ref="B1458:G1458"/>
    <mergeCell ref="B1459:G1459"/>
    <mergeCell ref="B1461:G1461"/>
    <mergeCell ref="B1466:G1466"/>
    <mergeCell ref="B1467:G1467"/>
    <mergeCell ref="B1471:G1471"/>
    <mergeCell ref="B1472:G1472"/>
    <mergeCell ref="B1476:G1476"/>
    <mergeCell ref="B1477:G1477"/>
    <mergeCell ref="B1483:G1483"/>
    <mergeCell ref="B1485:G1485"/>
    <mergeCell ref="B1487:G1487"/>
    <mergeCell ref="B1488:G1488"/>
    <mergeCell ref="B1490:G1490"/>
    <mergeCell ref="B1491:G1491"/>
    <mergeCell ref="B1501:G1501"/>
    <mergeCell ref="B1502:G1502"/>
    <mergeCell ref="B1507:G1507"/>
    <mergeCell ref="B1508:G1508"/>
    <mergeCell ref="B1510:G1510"/>
    <mergeCell ref="B1520:G1520"/>
    <mergeCell ref="B1522:G1522"/>
    <mergeCell ref="B1523:G1523"/>
    <mergeCell ref="B1527:G1527"/>
    <mergeCell ref="B1528:G1528"/>
    <mergeCell ref="B1533:G1533"/>
    <mergeCell ref="B1534:G1534"/>
    <mergeCell ref="B1516:G1516"/>
    <mergeCell ref="B1517:G1517"/>
    <mergeCell ref="B1525:G1525"/>
    <mergeCell ref="B341:G341"/>
    <mergeCell ref="B1377:G1377"/>
    <mergeCell ref="B1579:G1579"/>
    <mergeCell ref="B1580:G1580"/>
    <mergeCell ref="A1564:S1564"/>
    <mergeCell ref="B1565:G1565"/>
    <mergeCell ref="B1566:G1566"/>
    <mergeCell ref="B1567:G1567"/>
    <mergeCell ref="A1573:S1573"/>
    <mergeCell ref="B1574:G1574"/>
    <mergeCell ref="B1575:G1575"/>
    <mergeCell ref="B1576:G1576"/>
    <mergeCell ref="B1578:G1578"/>
    <mergeCell ref="B1536:G1536"/>
    <mergeCell ref="B1538:G1538"/>
    <mergeCell ref="B1541:G1541"/>
    <mergeCell ref="B1545:G1545"/>
    <mergeCell ref="B1557:G1557"/>
    <mergeCell ref="B1558:G1558"/>
    <mergeCell ref="B1560:G1560"/>
    <mergeCell ref="A1562:S1562"/>
    <mergeCell ref="B1563:G1563"/>
    <mergeCell ref="B1511:G1511"/>
    <mergeCell ref="B1519:G1519"/>
  </mergeCells>
  <printOptions horizontalCentered="1"/>
  <pageMargins left="0.19685039370078741" right="0.19685039370078741" top="0.98425196850393704" bottom="0.39370078740157483" header="0.78740157480314965" footer="0"/>
  <pageSetup paperSize="9" scale="22" firstPageNumber="2" fitToHeight="0" orientation="landscape" useFirstPageNumber="1" r:id="rId11"/>
  <headerFooter>
    <oddHeader>&amp;C&amp;14&amp;P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1537"/>
  <sheetViews>
    <sheetView view="pageBreakPreview" zoomScale="68" zoomScaleSheetLayoutView="68" workbookViewId="0">
      <pane xSplit="2" ySplit="6" topLeftCell="C514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8.85546875" defaultRowHeight="15"/>
  <cols>
    <col min="1" max="1" width="4.85546875" style="13" customWidth="1"/>
    <col min="2" max="2" width="30.7109375" style="1" customWidth="1"/>
    <col min="3" max="3" width="14.7109375" style="1" customWidth="1"/>
    <col min="4" max="4" width="13.5703125" style="1" customWidth="1"/>
    <col min="5" max="5" width="13.7109375" style="1" customWidth="1"/>
    <col min="6" max="6" width="14.7109375" style="1" customWidth="1"/>
    <col min="7" max="7" width="11.7109375" style="1" customWidth="1"/>
    <col min="8" max="8" width="11.85546875" style="1" customWidth="1"/>
    <col min="9" max="9" width="12.7109375" style="1" customWidth="1"/>
    <col min="10" max="10" width="12.140625" style="1" customWidth="1"/>
    <col min="11" max="11" width="14.42578125" style="25" customWidth="1"/>
    <col min="12" max="12" width="11.42578125" style="22" customWidth="1"/>
    <col min="13" max="13" width="16.140625" style="1" customWidth="1"/>
    <col min="14" max="14" width="11.5703125" style="22" customWidth="1"/>
    <col min="15" max="15" width="14.85546875" style="25" customWidth="1"/>
    <col min="16" max="16" width="8.28515625" style="22" customWidth="1"/>
    <col min="17" max="17" width="12.85546875" style="25" customWidth="1"/>
    <col min="18" max="18" width="11.5703125" style="22" customWidth="1"/>
    <col min="19" max="19" width="12.7109375" style="1" customWidth="1"/>
    <col min="20" max="20" width="7.5703125" style="22" customWidth="1"/>
    <col min="21" max="21" width="10.28515625" style="1" customWidth="1"/>
    <col min="22" max="22" width="13.140625" style="283" hidden="1" customWidth="1"/>
    <col min="23" max="24" width="12.28515625" style="283" customWidth="1"/>
    <col min="25" max="26" width="12.5703125" style="1" customWidth="1"/>
    <col min="27" max="28" width="11.140625" style="1" customWidth="1"/>
    <col min="29" max="30" width="11.28515625" style="1" customWidth="1"/>
    <col min="31" max="32" width="14" style="1" customWidth="1"/>
    <col min="33" max="35" width="10.7109375" style="1" customWidth="1"/>
    <col min="36" max="16384" width="8.85546875" style="1"/>
  </cols>
  <sheetData>
    <row r="1" spans="1:49" s="17" customFormat="1" ht="15.75">
      <c r="A1" s="1416" t="s">
        <v>39</v>
      </c>
      <c r="B1" s="1416"/>
      <c r="C1" s="1416"/>
      <c r="D1" s="1416"/>
      <c r="E1" s="1416"/>
      <c r="F1" s="1416"/>
      <c r="G1" s="1416"/>
      <c r="H1" s="1416"/>
      <c r="I1" s="1416"/>
      <c r="J1" s="1416"/>
      <c r="K1" s="1416"/>
      <c r="L1" s="1416"/>
      <c r="M1" s="1416"/>
      <c r="N1" s="1416"/>
      <c r="O1" s="1416"/>
      <c r="P1" s="1416"/>
      <c r="Q1" s="1416"/>
      <c r="R1" s="1416"/>
      <c r="S1" s="1416"/>
      <c r="T1" s="1416"/>
      <c r="U1" s="1416"/>
      <c r="V1" s="279"/>
      <c r="W1" s="279"/>
      <c r="X1" s="279"/>
    </row>
    <row r="2" spans="1:49" s="17" customFormat="1" ht="17.45" customHeight="1">
      <c r="A2" s="1417" t="s">
        <v>0</v>
      </c>
      <c r="B2" s="1417" t="s">
        <v>22</v>
      </c>
      <c r="C2" s="1417" t="s">
        <v>459</v>
      </c>
      <c r="D2" s="1418" t="s">
        <v>558</v>
      </c>
      <c r="E2" s="1419"/>
      <c r="F2" s="1419"/>
      <c r="G2" s="1419"/>
      <c r="H2" s="1419"/>
      <c r="I2" s="1419"/>
      <c r="J2" s="1419"/>
      <c r="K2" s="1419"/>
      <c r="L2" s="1419"/>
      <c r="M2" s="1419"/>
      <c r="N2" s="1419"/>
      <c r="O2" s="1419"/>
      <c r="P2" s="1419"/>
      <c r="Q2" s="1419"/>
      <c r="R2" s="1419"/>
      <c r="S2" s="1419"/>
      <c r="T2" s="1419"/>
      <c r="U2" s="1420"/>
      <c r="V2" s="280"/>
      <c r="W2" s="280"/>
      <c r="X2" s="280"/>
    </row>
    <row r="3" spans="1:49" s="17" customFormat="1">
      <c r="A3" s="1417"/>
      <c r="B3" s="1417"/>
      <c r="C3" s="1417"/>
      <c r="D3" s="1417" t="s">
        <v>559</v>
      </c>
      <c r="E3" s="1417"/>
      <c r="F3" s="1417"/>
      <c r="G3" s="1417"/>
      <c r="H3" s="1417"/>
      <c r="I3" s="1417"/>
      <c r="J3" s="1417"/>
      <c r="K3" s="1417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280"/>
      <c r="W3" s="280"/>
      <c r="X3" s="280"/>
    </row>
    <row r="4" spans="1:49" s="17" customFormat="1" ht="102" customHeight="1">
      <c r="A4" s="1417"/>
      <c r="B4" s="1417"/>
      <c r="C4" s="1417"/>
      <c r="D4" s="444" t="s">
        <v>556</v>
      </c>
      <c r="E4" s="445" t="s">
        <v>549</v>
      </c>
      <c r="F4" s="445" t="s">
        <v>550</v>
      </c>
      <c r="G4" s="445" t="s">
        <v>551</v>
      </c>
      <c r="H4" s="445" t="s">
        <v>552</v>
      </c>
      <c r="I4" s="445" t="s">
        <v>553</v>
      </c>
      <c r="J4" s="445" t="s">
        <v>554</v>
      </c>
      <c r="K4" s="444" t="s">
        <v>555</v>
      </c>
      <c r="L4" s="1415" t="s">
        <v>215</v>
      </c>
      <c r="M4" s="1415"/>
      <c r="N4" s="1415" t="s">
        <v>216</v>
      </c>
      <c r="O4" s="1415"/>
      <c r="P4" s="1415" t="s">
        <v>217</v>
      </c>
      <c r="Q4" s="1415"/>
      <c r="R4" s="1415" t="s">
        <v>436</v>
      </c>
      <c r="S4" s="1415"/>
      <c r="T4" s="1415" t="s">
        <v>557</v>
      </c>
      <c r="U4" s="1415"/>
      <c r="V4" s="280"/>
      <c r="W4" s="280" t="s">
        <v>576</v>
      </c>
      <c r="X4" s="280" t="s">
        <v>591</v>
      </c>
      <c r="Y4" s="272" t="s">
        <v>69</v>
      </c>
      <c r="Z4" s="273" t="s">
        <v>605</v>
      </c>
      <c r="AA4" s="273" t="s">
        <v>606</v>
      </c>
      <c r="AB4" s="273" t="s">
        <v>467</v>
      </c>
      <c r="AC4" s="272" t="s">
        <v>468</v>
      </c>
      <c r="AD4" s="273" t="s">
        <v>607</v>
      </c>
      <c r="AE4" s="627" t="s">
        <v>720</v>
      </c>
      <c r="AF4" s="273"/>
      <c r="AG4" s="272"/>
      <c r="AH4" s="273"/>
    </row>
    <row r="5" spans="1:49">
      <c r="A5" s="1417"/>
      <c r="B5" s="1417"/>
      <c r="C5" s="393" t="s">
        <v>17</v>
      </c>
      <c r="D5" s="393"/>
      <c r="E5" s="393"/>
      <c r="F5" s="393"/>
      <c r="G5" s="393"/>
      <c r="H5" s="393"/>
      <c r="I5" s="393"/>
      <c r="J5" s="393"/>
      <c r="K5" s="187" t="s">
        <v>17</v>
      </c>
      <c r="L5" s="395" t="s">
        <v>23</v>
      </c>
      <c r="M5" s="393" t="s">
        <v>17</v>
      </c>
      <c r="N5" s="395" t="s">
        <v>21</v>
      </c>
      <c r="O5" s="187" t="s">
        <v>17</v>
      </c>
      <c r="P5" s="395" t="s">
        <v>21</v>
      </c>
      <c r="Q5" s="187" t="s">
        <v>17</v>
      </c>
      <c r="R5" s="395" t="s">
        <v>21</v>
      </c>
      <c r="S5" s="393" t="s">
        <v>17</v>
      </c>
      <c r="T5" s="395" t="s">
        <v>24</v>
      </c>
      <c r="U5" s="285" t="s">
        <v>17</v>
      </c>
      <c r="V5" s="280"/>
      <c r="W5" s="280"/>
      <c r="X5" s="280"/>
      <c r="AD5" s="3"/>
      <c r="AF5" s="861" t="s">
        <v>858</v>
      </c>
      <c r="AG5" s="3" t="s">
        <v>975</v>
      </c>
    </row>
    <row r="6" spans="1:49">
      <c r="A6" s="189">
        <v>1</v>
      </c>
      <c r="B6" s="189">
        <v>2</v>
      </c>
      <c r="C6" s="189">
        <v>3</v>
      </c>
      <c r="D6" s="189">
        <v>4</v>
      </c>
      <c r="E6" s="189">
        <v>5</v>
      </c>
      <c r="F6" s="189">
        <v>6</v>
      </c>
      <c r="G6" s="189">
        <v>7</v>
      </c>
      <c r="H6" s="189">
        <v>8</v>
      </c>
      <c r="I6" s="189">
        <v>9</v>
      </c>
      <c r="J6" s="189">
        <v>10</v>
      </c>
      <c r="K6" s="190">
        <v>11</v>
      </c>
      <c r="L6" s="190">
        <v>12</v>
      </c>
      <c r="M6" s="190">
        <v>13</v>
      </c>
      <c r="N6" s="190">
        <v>14</v>
      </c>
      <c r="O6" s="190">
        <v>15</v>
      </c>
      <c r="P6" s="190">
        <v>16</v>
      </c>
      <c r="Q6" s="190">
        <v>17</v>
      </c>
      <c r="R6" s="190">
        <v>18</v>
      </c>
      <c r="S6" s="190">
        <v>19</v>
      </c>
      <c r="T6" s="190">
        <v>20</v>
      </c>
      <c r="U6" s="286">
        <v>21</v>
      </c>
      <c r="V6" s="281"/>
      <c r="W6" s="281"/>
      <c r="X6" s="281"/>
    </row>
    <row r="7" spans="1:49">
      <c r="A7" s="191"/>
      <c r="B7" s="191" t="s">
        <v>42</v>
      </c>
      <c r="C7" s="192">
        <f>C8+C177+C194+C196+C222+C235+C251+C260+C272+C275+C294+C298+C311+C315+C322+C328+C342+C353+C366+C374+C419+C424+C429+C440+C444+C456+C501+C506+C509+C516+C519+C526+C532+C537+C544+C556</f>
        <v>688029148.84000003</v>
      </c>
      <c r="D7" s="192"/>
      <c r="E7" s="192"/>
      <c r="F7" s="192"/>
      <c r="G7" s="192"/>
      <c r="H7" s="192"/>
      <c r="I7" s="192"/>
      <c r="J7" s="192"/>
      <c r="K7" s="192" t="e">
        <f>K8+K177+K194+K196+K222+K235+K251+K260+K272+K275+K294+K298+K311+K315+K322+K328+K342+K353+K366+K374+K419+K424+K429+K440+K444+K456+K501+K506+K509+K516+K519+K526+K532+K537+K544+K556</f>
        <v>#REF!</v>
      </c>
      <c r="L7" s="193">
        <v>79</v>
      </c>
      <c r="M7" s="192">
        <f>M8+M177+M194+M196+M222+M235+M251+M260+M272+M275+M294+M298+M311+M315+M322+M328+M342+M353+M366+M374+M419+M424+M429+M440+M444+M456+M501+M506+M509+M516+M519+M526+M532+M537+M544+M556</f>
        <v>109722398</v>
      </c>
      <c r="N7" s="192">
        <f>N8+N177+N194+N196+N222+N235+N251+N260+N272+N275+N294+N298+N311+N315+N322+N328+N342+N353+N366+N374+N419+N424+N429+N440+N444+N456+N501+N506+N509+N516+N519+N526+N532+N537+N544+N556</f>
        <v>181088.71</v>
      </c>
      <c r="O7" s="192">
        <f>O8+O177+O194+O196+O222+O235+O251+O260+O272+O275+O294+O298+O311+O315+O322+O328+O342+O353+O366+O374+O419+O424+O429+O440+O444+O456+O501+O506+O509+O516+O519+O526+O532+O537+O544+O556</f>
        <v>407329726.71000004</v>
      </c>
      <c r="P7" s="192">
        <v>682</v>
      </c>
      <c r="Q7" s="192">
        <f>Q8+Q177+Q194+Q196+Q222+Q235+Q251+Q260+Q272+Q275+Q294+Q298+Q311+Q315+Q322+Q328+Q342+Q353+Q366+Q374+Q419+Q424+Q429+Q440+Q444+Q456+Q501+Q506+Q509+Q516+Q519+Q526+Q532+Q537+Q544+Q556</f>
        <v>662518</v>
      </c>
      <c r="R7" s="192">
        <v>41826.129999999997</v>
      </c>
      <c r="S7" s="192">
        <f>S8+S177+S194+S196+S222+S235+S251+S260+S272+S275+S294+S298+S311+S315+S322+S328+S342+S353+S366+S374+S419+S424+S429+S440+S444+S456+S501+S506+S509+S516+S519+S526+S532+S537+S544+S556</f>
        <v>57577828.790000007</v>
      </c>
      <c r="T7" s="259">
        <v>212</v>
      </c>
      <c r="U7" s="287">
        <f>U8+U177+U194+U196+U222+U235+U251+U260+U272+U275+U294+U298+U311+U315+U322+U328+U342+U353+U366+U374+U419+U424+U429+U440+U444+U456+U501+U506+U509+U516+U519+U526+U532+U537+U544+U556</f>
        <v>728274</v>
      </c>
      <c r="V7" s="282"/>
      <c r="W7" s="282"/>
      <c r="X7" s="282"/>
    </row>
    <row r="8" spans="1:49" ht="18.75" customHeight="1">
      <c r="A8" s="430"/>
      <c r="B8" s="431" t="s">
        <v>89</v>
      </c>
      <c r="C8" s="432">
        <f>SUM(C9:C176)</f>
        <v>336230870.63</v>
      </c>
      <c r="D8" s="432"/>
      <c r="E8" s="432"/>
      <c r="F8" s="432"/>
      <c r="G8" s="432"/>
      <c r="H8" s="432"/>
      <c r="I8" s="432"/>
      <c r="J8" s="432"/>
      <c r="K8" s="432" t="e">
        <f>SUM(K9:K176)</f>
        <v>#REF!</v>
      </c>
      <c r="L8" s="433">
        <v>45</v>
      </c>
      <c r="M8" s="432">
        <f>SUM(M9:M176)</f>
        <v>84665172</v>
      </c>
      <c r="N8" s="432">
        <f t="shared" ref="N8:R8" si="0">SUM(N9:N176)</f>
        <v>64824.649999999994</v>
      </c>
      <c r="O8" s="432">
        <f>SUM(O9:O176)</f>
        <v>127943364.07000001</v>
      </c>
      <c r="P8" s="432">
        <f t="shared" si="0"/>
        <v>682</v>
      </c>
      <c r="Q8" s="432">
        <f>SUM(Q9:Q176)</f>
        <v>662518</v>
      </c>
      <c r="R8" s="432">
        <f t="shared" si="0"/>
        <v>29106.850000000002</v>
      </c>
      <c r="S8" s="432">
        <f>SUM(S9:S176)</f>
        <v>38255949.950000003</v>
      </c>
      <c r="T8" s="433">
        <v>0</v>
      </c>
      <c r="U8" s="434">
        <v>0</v>
      </c>
      <c r="V8" s="436"/>
      <c r="W8" s="436"/>
      <c r="X8" s="436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</row>
    <row r="9" spans="1:49" s="59" customFormat="1">
      <c r="A9" s="198">
        <v>1</v>
      </c>
      <c r="B9" s="195" t="s">
        <v>324</v>
      </c>
      <c r="C9" s="196">
        <v>5982216</v>
      </c>
      <c r="D9" s="196"/>
      <c r="E9" s="196"/>
      <c r="F9" s="196"/>
      <c r="G9" s="196"/>
      <c r="H9" s="196"/>
      <c r="I9" s="196"/>
      <c r="J9" s="196"/>
      <c r="K9" s="196">
        <v>0</v>
      </c>
      <c r="L9" s="194">
        <v>0</v>
      </c>
      <c r="M9" s="196">
        <v>0</v>
      </c>
      <c r="N9" s="196">
        <v>0</v>
      </c>
      <c r="O9" s="196">
        <v>0</v>
      </c>
      <c r="P9" s="194">
        <v>0</v>
      </c>
      <c r="Q9" s="196">
        <v>0</v>
      </c>
      <c r="R9" s="199">
        <v>4158.84</v>
      </c>
      <c r="S9" s="196">
        <v>5982216</v>
      </c>
      <c r="T9" s="197">
        <v>0</v>
      </c>
      <c r="U9" s="288">
        <v>0</v>
      </c>
      <c r="V9" s="282">
        <f>C9-'часть 1'!L20</f>
        <v>0</v>
      </c>
      <c r="W9" s="282"/>
      <c r="X9" s="28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296"/>
    </row>
    <row r="10" spans="1:49" s="89" customFormat="1">
      <c r="A10" s="198">
        <v>2</v>
      </c>
      <c r="B10" s="195" t="s">
        <v>325</v>
      </c>
      <c r="C10" s="196">
        <v>9379653</v>
      </c>
      <c r="D10" s="196"/>
      <c r="E10" s="196"/>
      <c r="F10" s="196"/>
      <c r="G10" s="196"/>
      <c r="H10" s="196"/>
      <c r="I10" s="196"/>
      <c r="J10" s="196"/>
      <c r="K10" s="196">
        <v>0</v>
      </c>
      <c r="L10" s="194">
        <v>5</v>
      </c>
      <c r="M10" s="196">
        <v>9379653</v>
      </c>
      <c r="N10" s="196">
        <v>0</v>
      </c>
      <c r="O10" s="196">
        <v>0</v>
      </c>
      <c r="P10" s="194">
        <v>0</v>
      </c>
      <c r="Q10" s="196">
        <v>0</v>
      </c>
      <c r="R10" s="197">
        <v>0</v>
      </c>
      <c r="S10" s="196">
        <v>0</v>
      </c>
      <c r="T10" s="197">
        <v>0</v>
      </c>
      <c r="U10" s="288">
        <v>0</v>
      </c>
      <c r="V10" s="282">
        <f>C10-'часть 1'!L21</f>
        <v>0</v>
      </c>
      <c r="W10" s="282"/>
      <c r="X10" s="28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296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</row>
    <row r="11" spans="1:49" s="59" customFormat="1">
      <c r="A11" s="198">
        <v>3</v>
      </c>
      <c r="B11" s="195" t="s">
        <v>321</v>
      </c>
      <c r="C11" s="196">
        <v>3763756</v>
      </c>
      <c r="D11" s="196"/>
      <c r="E11" s="196"/>
      <c r="F11" s="196"/>
      <c r="G11" s="196"/>
      <c r="H11" s="196"/>
      <c r="I11" s="196"/>
      <c r="J11" s="196"/>
      <c r="K11" s="196">
        <v>0</v>
      </c>
      <c r="L11" s="194">
        <v>2</v>
      </c>
      <c r="M11" s="196">
        <v>3763756</v>
      </c>
      <c r="N11" s="196">
        <v>0</v>
      </c>
      <c r="O11" s="196">
        <v>0</v>
      </c>
      <c r="P11" s="194">
        <v>0</v>
      </c>
      <c r="Q11" s="196">
        <v>0</v>
      </c>
      <c r="R11" s="200">
        <v>0</v>
      </c>
      <c r="S11" s="196">
        <v>0</v>
      </c>
      <c r="T11" s="197">
        <v>0</v>
      </c>
      <c r="U11" s="288">
        <v>0</v>
      </c>
      <c r="V11" s="282">
        <f>C11-'часть 1'!L22</f>
        <v>0</v>
      </c>
      <c r="W11" s="282"/>
      <c r="X11" s="28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296"/>
    </row>
    <row r="12" spans="1:49" s="59" customFormat="1">
      <c r="A12" s="198">
        <v>4</v>
      </c>
      <c r="B12" s="195" t="s">
        <v>346</v>
      </c>
      <c r="C12" s="196">
        <v>1095812</v>
      </c>
      <c r="D12" s="196"/>
      <c r="E12" s="196"/>
      <c r="F12" s="196"/>
      <c r="G12" s="196"/>
      <c r="H12" s="196"/>
      <c r="I12" s="196"/>
      <c r="J12" s="196"/>
      <c r="K12" s="196">
        <v>1095812</v>
      </c>
      <c r="L12" s="194">
        <v>0</v>
      </c>
      <c r="M12" s="196">
        <v>0</v>
      </c>
      <c r="N12" s="196">
        <v>0</v>
      </c>
      <c r="O12" s="196">
        <v>0</v>
      </c>
      <c r="P12" s="194">
        <v>0</v>
      </c>
      <c r="Q12" s="196">
        <v>0</v>
      </c>
      <c r="R12" s="200">
        <v>0</v>
      </c>
      <c r="S12" s="196">
        <v>0</v>
      </c>
      <c r="T12" s="197">
        <v>0</v>
      </c>
      <c r="U12" s="288">
        <v>0</v>
      </c>
      <c r="V12" s="282">
        <f>C12-'часть 1'!L23</f>
        <v>0</v>
      </c>
      <c r="W12" s="282"/>
      <c r="X12" s="28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296"/>
    </row>
    <row r="13" spans="1:49" s="59" customFormat="1">
      <c r="A13" s="198">
        <v>5</v>
      </c>
      <c r="B13" s="195" t="s">
        <v>322</v>
      </c>
      <c r="C13" s="196">
        <v>5619141</v>
      </c>
      <c r="D13" s="196"/>
      <c r="E13" s="196"/>
      <c r="F13" s="196"/>
      <c r="G13" s="196"/>
      <c r="H13" s="196"/>
      <c r="I13" s="196"/>
      <c r="J13" s="196"/>
      <c r="K13" s="196">
        <v>0</v>
      </c>
      <c r="L13" s="194">
        <v>3</v>
      </c>
      <c r="M13" s="196">
        <v>5619141</v>
      </c>
      <c r="N13" s="196">
        <v>0</v>
      </c>
      <c r="O13" s="196">
        <v>0</v>
      </c>
      <c r="P13" s="194">
        <v>0</v>
      </c>
      <c r="Q13" s="196">
        <v>0</v>
      </c>
      <c r="R13" s="200">
        <v>0</v>
      </c>
      <c r="S13" s="196">
        <v>0</v>
      </c>
      <c r="T13" s="197">
        <v>0</v>
      </c>
      <c r="U13" s="288">
        <v>0</v>
      </c>
      <c r="V13" s="282">
        <f>C13-'часть 1'!L24</f>
        <v>0</v>
      </c>
      <c r="W13" s="282"/>
      <c r="X13" s="28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296"/>
    </row>
    <row r="14" spans="1:49" s="59" customFormat="1">
      <c r="A14" s="198">
        <v>6</v>
      </c>
      <c r="B14" s="195" t="s">
        <v>320</v>
      </c>
      <c r="C14" s="196">
        <v>3748388</v>
      </c>
      <c r="D14" s="196"/>
      <c r="E14" s="196"/>
      <c r="F14" s="196"/>
      <c r="G14" s="196"/>
      <c r="H14" s="196"/>
      <c r="I14" s="196"/>
      <c r="J14" s="196"/>
      <c r="K14" s="196">
        <v>0</v>
      </c>
      <c r="L14" s="194">
        <v>2</v>
      </c>
      <c r="M14" s="196">
        <v>3748388</v>
      </c>
      <c r="N14" s="196">
        <v>0</v>
      </c>
      <c r="O14" s="196">
        <v>0</v>
      </c>
      <c r="P14" s="194">
        <v>0</v>
      </c>
      <c r="Q14" s="196">
        <v>0</v>
      </c>
      <c r="R14" s="197">
        <v>0</v>
      </c>
      <c r="S14" s="196">
        <v>0</v>
      </c>
      <c r="T14" s="197">
        <v>0</v>
      </c>
      <c r="U14" s="288">
        <v>0</v>
      </c>
      <c r="V14" s="282">
        <f>C14-'часть 1'!L25</f>
        <v>0</v>
      </c>
      <c r="W14" s="282"/>
      <c r="X14" s="28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296"/>
    </row>
    <row r="15" spans="1:49" s="59" customFormat="1">
      <c r="A15" s="198">
        <v>7</v>
      </c>
      <c r="B15" s="195" t="s">
        <v>327</v>
      </c>
      <c r="C15" s="196">
        <v>15157748</v>
      </c>
      <c r="D15" s="196"/>
      <c r="E15" s="196"/>
      <c r="F15" s="196"/>
      <c r="G15" s="196"/>
      <c r="H15" s="196"/>
      <c r="I15" s="196"/>
      <c r="J15" s="196"/>
      <c r="K15" s="196">
        <v>0</v>
      </c>
      <c r="L15" s="194">
        <v>8</v>
      </c>
      <c r="M15" s="196">
        <f>C15</f>
        <v>15157748</v>
      </c>
      <c r="N15" s="196">
        <v>0</v>
      </c>
      <c r="O15" s="196">
        <v>0</v>
      </c>
      <c r="P15" s="194">
        <v>0</v>
      </c>
      <c r="Q15" s="196">
        <v>0</v>
      </c>
      <c r="R15" s="197">
        <v>0</v>
      </c>
      <c r="S15" s="196">
        <v>0</v>
      </c>
      <c r="T15" s="197">
        <v>0</v>
      </c>
      <c r="U15" s="288">
        <v>0</v>
      </c>
      <c r="V15" s="282">
        <f>C15-'часть 1'!L26</f>
        <v>0</v>
      </c>
      <c r="W15" s="282"/>
      <c r="X15" s="28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296"/>
    </row>
    <row r="16" spans="1:49" s="59" customFormat="1">
      <c r="A16" s="198">
        <v>8</v>
      </c>
      <c r="B16" s="195" t="s">
        <v>323</v>
      </c>
      <c r="C16" s="196">
        <v>1030213</v>
      </c>
      <c r="D16" s="196"/>
      <c r="E16" s="196"/>
      <c r="F16" s="196"/>
      <c r="G16" s="196"/>
      <c r="H16" s="196"/>
      <c r="I16" s="196"/>
      <c r="J16" s="196"/>
      <c r="K16" s="196">
        <v>0</v>
      </c>
      <c r="L16" s="194">
        <v>0</v>
      </c>
      <c r="M16" s="196">
        <v>0</v>
      </c>
      <c r="N16" s="196">
        <v>513.79999999999995</v>
      </c>
      <c r="O16" s="199">
        <f>C16</f>
        <v>1030213</v>
      </c>
      <c r="P16" s="194">
        <v>0</v>
      </c>
      <c r="Q16" s="196">
        <v>0</v>
      </c>
      <c r="R16" s="200">
        <v>0</v>
      </c>
      <c r="S16" s="196">
        <v>0</v>
      </c>
      <c r="T16" s="197">
        <v>0</v>
      </c>
      <c r="U16" s="288">
        <v>0</v>
      </c>
      <c r="V16" s="282">
        <f>C16-'часть 1'!L27</f>
        <v>0</v>
      </c>
      <c r="W16" s="282"/>
      <c r="X16" s="28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296"/>
    </row>
    <row r="17" spans="1:49" s="59" customFormat="1">
      <c r="A17" s="198">
        <v>9</v>
      </c>
      <c r="B17" s="195" t="s">
        <v>319</v>
      </c>
      <c r="C17" s="196">
        <v>530465</v>
      </c>
      <c r="D17" s="196"/>
      <c r="E17" s="196"/>
      <c r="F17" s="196"/>
      <c r="G17" s="196"/>
      <c r="H17" s="196"/>
      <c r="I17" s="196"/>
      <c r="J17" s="196"/>
      <c r="K17" s="196" t="e">
        <f>#REF!</f>
        <v>#REF!</v>
      </c>
      <c r="L17" s="194">
        <v>0</v>
      </c>
      <c r="M17" s="196">
        <v>0</v>
      </c>
      <c r="N17" s="199">
        <v>0</v>
      </c>
      <c r="O17" s="196">
        <v>0</v>
      </c>
      <c r="P17" s="194">
        <v>0</v>
      </c>
      <c r="Q17" s="196">
        <v>0</v>
      </c>
      <c r="R17" s="200">
        <v>0</v>
      </c>
      <c r="S17" s="196">
        <v>0</v>
      </c>
      <c r="T17" s="197">
        <v>0</v>
      </c>
      <c r="U17" s="288">
        <v>0</v>
      </c>
      <c r="V17" s="282">
        <f>C17-'часть 1'!L28</f>
        <v>0</v>
      </c>
      <c r="W17" s="282"/>
      <c r="X17" s="28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296"/>
    </row>
    <row r="18" spans="1:49" s="59" customFormat="1">
      <c r="A18" s="198">
        <v>10</v>
      </c>
      <c r="B18" s="195" t="s">
        <v>326</v>
      </c>
      <c r="C18" s="196">
        <v>1983854</v>
      </c>
      <c r="D18" s="196"/>
      <c r="E18" s="196"/>
      <c r="F18" s="196"/>
      <c r="G18" s="196"/>
      <c r="H18" s="196"/>
      <c r="I18" s="196"/>
      <c r="J18" s="196"/>
      <c r="K18" s="196">
        <v>0</v>
      </c>
      <c r="L18" s="194">
        <v>0</v>
      </c>
      <c r="M18" s="196">
        <v>0</v>
      </c>
      <c r="N18" s="196">
        <v>1000</v>
      </c>
      <c r="O18" s="196">
        <v>1983854</v>
      </c>
      <c r="P18" s="194">
        <v>0</v>
      </c>
      <c r="Q18" s="196">
        <v>0</v>
      </c>
      <c r="R18" s="197">
        <v>0</v>
      </c>
      <c r="S18" s="196">
        <v>0</v>
      </c>
      <c r="T18" s="197">
        <v>0</v>
      </c>
      <c r="U18" s="288">
        <v>0</v>
      </c>
      <c r="V18" s="282">
        <f>C18-'часть 1'!L29</f>
        <v>0</v>
      </c>
      <c r="W18" s="282"/>
      <c r="X18" s="28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296"/>
    </row>
    <row r="19" spans="1:49" s="59" customFormat="1">
      <c r="A19" s="198">
        <v>11</v>
      </c>
      <c r="B19" s="195" t="s">
        <v>388</v>
      </c>
      <c r="C19" s="196">
        <v>1206304</v>
      </c>
      <c r="D19" s="196"/>
      <c r="E19" s="196"/>
      <c r="F19" s="196"/>
      <c r="G19" s="196"/>
      <c r="H19" s="196"/>
      <c r="I19" s="196"/>
      <c r="J19" s="196"/>
      <c r="K19" s="196">
        <v>0</v>
      </c>
      <c r="L19" s="194">
        <v>0</v>
      </c>
      <c r="M19" s="196">
        <v>0</v>
      </c>
      <c r="N19" s="196">
        <v>576</v>
      </c>
      <c r="O19" s="196">
        <v>1206304</v>
      </c>
      <c r="P19" s="194">
        <v>0</v>
      </c>
      <c r="Q19" s="196">
        <v>0</v>
      </c>
      <c r="R19" s="197">
        <v>0</v>
      </c>
      <c r="S19" s="196">
        <v>0</v>
      </c>
      <c r="T19" s="197">
        <v>0</v>
      </c>
      <c r="U19" s="288">
        <v>0</v>
      </c>
      <c r="V19" s="282">
        <f>C19-'часть 1'!L30</f>
        <v>0</v>
      </c>
      <c r="W19" s="282"/>
      <c r="X19" s="28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296"/>
    </row>
    <row r="20" spans="1:49" s="59" customFormat="1" ht="30">
      <c r="A20" s="198">
        <v>12</v>
      </c>
      <c r="B20" s="195" t="s">
        <v>419</v>
      </c>
      <c r="C20" s="196">
        <v>402530.2</v>
      </c>
      <c r="D20" s="196"/>
      <c r="E20" s="196"/>
      <c r="F20" s="196"/>
      <c r="G20" s="196"/>
      <c r="H20" s="196"/>
      <c r="I20" s="196"/>
      <c r="J20" s="196"/>
      <c r="K20" s="196">
        <v>402530.2</v>
      </c>
      <c r="L20" s="194">
        <v>0</v>
      </c>
      <c r="M20" s="196">
        <v>0</v>
      </c>
      <c r="N20" s="196">
        <v>0</v>
      </c>
      <c r="O20" s="196">
        <v>0</v>
      </c>
      <c r="P20" s="194">
        <v>0</v>
      </c>
      <c r="Q20" s="196">
        <v>0</v>
      </c>
      <c r="R20" s="197">
        <v>0</v>
      </c>
      <c r="S20" s="196">
        <v>0</v>
      </c>
      <c r="T20" s="197">
        <v>0</v>
      </c>
      <c r="U20" s="288">
        <v>0</v>
      </c>
      <c r="V20" s="282">
        <f>C20-'часть 1'!L31</f>
        <v>0</v>
      </c>
      <c r="W20" s="282"/>
      <c r="X20" s="28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296"/>
    </row>
    <row r="21" spans="1:49" s="59" customFormat="1">
      <c r="A21" s="198">
        <v>13</v>
      </c>
      <c r="B21" s="195" t="s">
        <v>387</v>
      </c>
      <c r="C21" s="196">
        <v>2861497</v>
      </c>
      <c r="D21" s="196"/>
      <c r="E21" s="196"/>
      <c r="F21" s="196"/>
      <c r="G21" s="196"/>
      <c r="H21" s="196"/>
      <c r="I21" s="196"/>
      <c r="J21" s="196"/>
      <c r="K21" s="196">
        <v>0</v>
      </c>
      <c r="L21" s="194">
        <v>0</v>
      </c>
      <c r="M21" s="196">
        <v>0</v>
      </c>
      <c r="N21" s="196">
        <v>1450</v>
      </c>
      <c r="O21" s="196">
        <v>2861497</v>
      </c>
      <c r="P21" s="194">
        <v>0</v>
      </c>
      <c r="Q21" s="196">
        <v>0</v>
      </c>
      <c r="R21" s="197">
        <v>0</v>
      </c>
      <c r="S21" s="196">
        <v>0</v>
      </c>
      <c r="T21" s="197">
        <v>0</v>
      </c>
      <c r="U21" s="288">
        <v>0</v>
      </c>
      <c r="V21" s="282">
        <f>C21-'часть 1'!L32</f>
        <v>0</v>
      </c>
      <c r="W21" s="282"/>
      <c r="X21" s="28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296"/>
    </row>
    <row r="22" spans="1:49" s="59" customFormat="1">
      <c r="A22" s="198">
        <v>14</v>
      </c>
      <c r="B22" s="195" t="s">
        <v>334</v>
      </c>
      <c r="C22" s="196">
        <v>1535065.47</v>
      </c>
      <c r="D22" s="196"/>
      <c r="E22" s="196"/>
      <c r="F22" s="196"/>
      <c r="G22" s="196"/>
      <c r="H22" s="196"/>
      <c r="I22" s="196"/>
      <c r="J22" s="196"/>
      <c r="K22" s="196">
        <v>0</v>
      </c>
      <c r="L22" s="194">
        <v>0</v>
      </c>
      <c r="M22" s="196">
        <v>0</v>
      </c>
      <c r="N22" s="196">
        <v>0</v>
      </c>
      <c r="O22" s="196">
        <v>0</v>
      </c>
      <c r="P22" s="194">
        <v>0</v>
      </c>
      <c r="Q22" s="196">
        <v>0</v>
      </c>
      <c r="R22" s="196">
        <v>1641</v>
      </c>
      <c r="S22" s="196">
        <v>1535065.47</v>
      </c>
      <c r="T22" s="197">
        <v>0</v>
      </c>
      <c r="U22" s="288">
        <v>0</v>
      </c>
      <c r="V22" s="282">
        <f>C22-'часть 1'!L33</f>
        <v>0</v>
      </c>
      <c r="W22" s="282"/>
      <c r="X22" s="28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296"/>
    </row>
    <row r="23" spans="1:49" s="59" customFormat="1">
      <c r="A23" s="198">
        <v>15</v>
      </c>
      <c r="B23" s="195" t="s">
        <v>330</v>
      </c>
      <c r="C23" s="196">
        <v>930534</v>
      </c>
      <c r="D23" s="196"/>
      <c r="E23" s="196"/>
      <c r="F23" s="196"/>
      <c r="G23" s="196"/>
      <c r="H23" s="196"/>
      <c r="I23" s="196"/>
      <c r="J23" s="196"/>
      <c r="K23" s="196">
        <v>930534</v>
      </c>
      <c r="L23" s="194">
        <v>0</v>
      </c>
      <c r="M23" s="196">
        <v>0</v>
      </c>
      <c r="N23" s="196">
        <v>0</v>
      </c>
      <c r="O23" s="196">
        <v>0</v>
      </c>
      <c r="P23" s="194">
        <v>0</v>
      </c>
      <c r="Q23" s="196">
        <v>0</v>
      </c>
      <c r="R23" s="200">
        <v>0</v>
      </c>
      <c r="S23" s="196">
        <v>0</v>
      </c>
      <c r="T23" s="197">
        <v>0</v>
      </c>
      <c r="U23" s="288">
        <v>0</v>
      </c>
      <c r="V23" s="282">
        <f>C23-'часть 1'!L34</f>
        <v>0</v>
      </c>
      <c r="W23" s="282"/>
      <c r="X23" s="282"/>
      <c r="Y23" s="4"/>
      <c r="Z23" s="12"/>
      <c r="AA23" s="12"/>
      <c r="AB23" s="12"/>
      <c r="AC23" s="12"/>
      <c r="AD23" s="12"/>
      <c r="AE23" s="12"/>
      <c r="AF23" s="12"/>
      <c r="AG23" s="12"/>
      <c r="AH23" s="12"/>
      <c r="AI23" s="296"/>
    </row>
    <row r="24" spans="1:49" s="59" customFormat="1">
      <c r="A24" s="198">
        <v>16</v>
      </c>
      <c r="B24" s="195" t="s">
        <v>328</v>
      </c>
      <c r="C24" s="196">
        <v>662518</v>
      </c>
      <c r="D24" s="196"/>
      <c r="E24" s="196"/>
      <c r="F24" s="196"/>
      <c r="G24" s="196"/>
      <c r="H24" s="196"/>
      <c r="I24" s="196"/>
      <c r="J24" s="196"/>
      <c r="K24" s="196">
        <v>0</v>
      </c>
      <c r="L24" s="194">
        <v>0</v>
      </c>
      <c r="M24" s="196">
        <v>0</v>
      </c>
      <c r="N24" s="196">
        <v>0</v>
      </c>
      <c r="O24" s="196">
        <v>0</v>
      </c>
      <c r="P24" s="196">
        <v>682</v>
      </c>
      <c r="Q24" s="196">
        <f>C24</f>
        <v>662518</v>
      </c>
      <c r="R24" s="197">
        <v>0</v>
      </c>
      <c r="S24" s="196">
        <v>0</v>
      </c>
      <c r="T24" s="197">
        <v>0</v>
      </c>
      <c r="U24" s="288">
        <v>0</v>
      </c>
      <c r="V24" s="282">
        <f>C24-'часть 1'!L35</f>
        <v>0</v>
      </c>
      <c r="W24" s="282"/>
      <c r="X24" s="28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296"/>
    </row>
    <row r="25" spans="1:49" s="59" customFormat="1">
      <c r="A25" s="198">
        <v>17</v>
      </c>
      <c r="B25" s="195" t="s">
        <v>333</v>
      </c>
      <c r="C25" s="196">
        <v>2346663</v>
      </c>
      <c r="D25" s="196"/>
      <c r="E25" s="196"/>
      <c r="F25" s="196"/>
      <c r="G25" s="196"/>
      <c r="H25" s="196"/>
      <c r="I25" s="196"/>
      <c r="J25" s="196"/>
      <c r="K25" s="196">
        <v>2346663</v>
      </c>
      <c r="L25" s="194">
        <v>0</v>
      </c>
      <c r="M25" s="196">
        <v>0</v>
      </c>
      <c r="N25" s="199">
        <v>0</v>
      </c>
      <c r="O25" s="196">
        <v>0</v>
      </c>
      <c r="P25" s="194">
        <v>0</v>
      </c>
      <c r="Q25" s="196">
        <v>0</v>
      </c>
      <c r="R25" s="200">
        <v>0</v>
      </c>
      <c r="S25" s="196">
        <v>0</v>
      </c>
      <c r="T25" s="197">
        <v>0</v>
      </c>
      <c r="U25" s="288">
        <v>0</v>
      </c>
      <c r="V25" s="282">
        <f>C25-'часть 1'!L36</f>
        <v>0</v>
      </c>
      <c r="W25" s="282"/>
      <c r="X25" s="282"/>
      <c r="Y25" s="12"/>
      <c r="Z25" s="12"/>
      <c r="AA25" s="12"/>
      <c r="AB25" s="12"/>
      <c r="AC25" s="12"/>
      <c r="AD25" s="12"/>
      <c r="AE25" s="15"/>
      <c r="AF25" s="12"/>
      <c r="AG25" s="12"/>
      <c r="AH25" s="12"/>
      <c r="AI25" s="296"/>
    </row>
    <row r="26" spans="1:49" s="59" customFormat="1">
      <c r="A26" s="198">
        <v>18</v>
      </c>
      <c r="B26" s="195" t="s">
        <v>331</v>
      </c>
      <c r="C26" s="196">
        <v>727019</v>
      </c>
      <c r="D26" s="196"/>
      <c r="E26" s="196"/>
      <c r="F26" s="196"/>
      <c r="G26" s="196"/>
      <c r="H26" s="196"/>
      <c r="I26" s="196"/>
      <c r="J26" s="196"/>
      <c r="K26" s="196">
        <v>727019</v>
      </c>
      <c r="L26" s="194">
        <v>0</v>
      </c>
      <c r="M26" s="196">
        <v>0</v>
      </c>
      <c r="N26" s="196">
        <v>0</v>
      </c>
      <c r="O26" s="196">
        <v>0</v>
      </c>
      <c r="P26" s="194">
        <v>0</v>
      </c>
      <c r="Q26" s="196">
        <v>0</v>
      </c>
      <c r="R26" s="200">
        <v>0</v>
      </c>
      <c r="S26" s="196">
        <v>0</v>
      </c>
      <c r="T26" s="197">
        <v>0</v>
      </c>
      <c r="U26" s="288">
        <v>0</v>
      </c>
      <c r="V26" s="282">
        <f>C26-'часть 1'!L37</f>
        <v>0</v>
      </c>
      <c r="W26" s="282"/>
      <c r="X26" s="28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96"/>
    </row>
    <row r="27" spans="1:49" s="59" customFormat="1">
      <c r="A27" s="198">
        <v>19</v>
      </c>
      <c r="B27" s="195" t="s">
        <v>329</v>
      </c>
      <c r="C27" s="196">
        <v>538121</v>
      </c>
      <c r="D27" s="196"/>
      <c r="E27" s="196"/>
      <c r="F27" s="196"/>
      <c r="G27" s="196"/>
      <c r="H27" s="196"/>
      <c r="I27" s="196"/>
      <c r="J27" s="196"/>
      <c r="K27" s="196">
        <v>538121</v>
      </c>
      <c r="L27" s="194">
        <v>0</v>
      </c>
      <c r="M27" s="196">
        <v>0</v>
      </c>
      <c r="N27" s="196">
        <v>0</v>
      </c>
      <c r="O27" s="196">
        <v>0</v>
      </c>
      <c r="P27" s="194">
        <v>0</v>
      </c>
      <c r="Q27" s="196">
        <v>0</v>
      </c>
      <c r="R27" s="197">
        <v>0</v>
      </c>
      <c r="S27" s="196">
        <v>0</v>
      </c>
      <c r="T27" s="197">
        <v>0</v>
      </c>
      <c r="U27" s="288">
        <v>0</v>
      </c>
      <c r="V27" s="282">
        <f>C27-'часть 1'!L38</f>
        <v>0</v>
      </c>
      <c r="W27" s="282"/>
      <c r="X27" s="282"/>
      <c r="Y27" s="4"/>
      <c r="Z27" s="12"/>
      <c r="AA27" s="12"/>
      <c r="AB27" s="12"/>
      <c r="AC27" s="12"/>
      <c r="AD27" s="12"/>
      <c r="AE27" s="12"/>
      <c r="AF27" s="12"/>
      <c r="AG27" s="12"/>
      <c r="AH27" s="12"/>
      <c r="AI27" s="296"/>
    </row>
    <row r="28" spans="1:49" s="59" customFormat="1">
      <c r="A28" s="198">
        <v>20</v>
      </c>
      <c r="B28" s="195" t="s">
        <v>332</v>
      </c>
      <c r="C28" s="196">
        <v>1756852</v>
      </c>
      <c r="D28" s="196"/>
      <c r="E28" s="196"/>
      <c r="F28" s="196"/>
      <c r="G28" s="196"/>
      <c r="H28" s="196"/>
      <c r="I28" s="196"/>
      <c r="J28" s="196"/>
      <c r="K28" s="196">
        <v>0</v>
      </c>
      <c r="L28" s="194">
        <v>0</v>
      </c>
      <c r="M28" s="196">
        <v>0</v>
      </c>
      <c r="N28" s="196">
        <v>891</v>
      </c>
      <c r="O28" s="196">
        <v>1756852</v>
      </c>
      <c r="P28" s="194">
        <v>0</v>
      </c>
      <c r="Q28" s="196">
        <v>0</v>
      </c>
      <c r="R28" s="197">
        <v>0</v>
      </c>
      <c r="S28" s="196">
        <v>0</v>
      </c>
      <c r="T28" s="197">
        <v>0</v>
      </c>
      <c r="U28" s="288">
        <v>0</v>
      </c>
      <c r="V28" s="282">
        <f>C28-'часть 1'!L39</f>
        <v>0</v>
      </c>
      <c r="W28" s="282"/>
      <c r="X28" s="28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296"/>
    </row>
    <row r="29" spans="1:49" s="59" customFormat="1">
      <c r="A29" s="198">
        <v>21</v>
      </c>
      <c r="B29" s="195" t="s">
        <v>316</v>
      </c>
      <c r="C29" s="196">
        <v>676398.28</v>
      </c>
      <c r="D29" s="196"/>
      <c r="E29" s="196"/>
      <c r="F29" s="196"/>
      <c r="G29" s="196"/>
      <c r="H29" s="196"/>
      <c r="I29" s="196"/>
      <c r="J29" s="196"/>
      <c r="K29" s="196">
        <v>0</v>
      </c>
      <c r="L29" s="194">
        <v>0</v>
      </c>
      <c r="M29" s="196">
        <v>0</v>
      </c>
      <c r="N29" s="196">
        <v>0</v>
      </c>
      <c r="O29" s="196">
        <v>0</v>
      </c>
      <c r="P29" s="194">
        <v>0</v>
      </c>
      <c r="Q29" s="196">
        <v>0</v>
      </c>
      <c r="R29" s="196">
        <v>1444</v>
      </c>
      <c r="S29" s="196">
        <v>676398.28</v>
      </c>
      <c r="T29" s="197">
        <v>0</v>
      </c>
      <c r="U29" s="288">
        <v>0</v>
      </c>
      <c r="V29" s="282">
        <f>C29-'часть 1'!L40</f>
        <v>0</v>
      </c>
      <c r="W29" s="282"/>
      <c r="X29" s="28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296"/>
    </row>
    <row r="30" spans="1:49" s="59" customFormat="1">
      <c r="A30" s="198">
        <v>22</v>
      </c>
      <c r="B30" s="195" t="s">
        <v>313</v>
      </c>
      <c r="C30" s="196">
        <v>766539</v>
      </c>
      <c r="D30" s="196"/>
      <c r="E30" s="196"/>
      <c r="F30" s="196"/>
      <c r="G30" s="196"/>
      <c r="H30" s="196"/>
      <c r="I30" s="196"/>
      <c r="J30" s="196"/>
      <c r="K30" s="196">
        <v>0</v>
      </c>
      <c r="L30" s="194">
        <v>0</v>
      </c>
      <c r="M30" s="196">
        <v>0</v>
      </c>
      <c r="N30" s="196">
        <v>378.5</v>
      </c>
      <c r="O30" s="196">
        <v>766539</v>
      </c>
      <c r="P30" s="194">
        <v>0</v>
      </c>
      <c r="Q30" s="196">
        <v>0</v>
      </c>
      <c r="R30" s="197">
        <v>0</v>
      </c>
      <c r="S30" s="196">
        <v>0</v>
      </c>
      <c r="T30" s="197">
        <v>0</v>
      </c>
      <c r="U30" s="288">
        <v>0</v>
      </c>
      <c r="V30" s="282">
        <f>C30-'часть 1'!L41</f>
        <v>0</v>
      </c>
      <c r="W30" s="282"/>
      <c r="X30" s="28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296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</row>
    <row r="31" spans="1:49" s="59" customFormat="1">
      <c r="A31" s="198">
        <v>23</v>
      </c>
      <c r="B31" s="195" t="s">
        <v>312</v>
      </c>
      <c r="C31" s="196">
        <v>1186114</v>
      </c>
      <c r="D31" s="196"/>
      <c r="E31" s="196"/>
      <c r="F31" s="196"/>
      <c r="G31" s="196"/>
      <c r="H31" s="196"/>
      <c r="I31" s="196"/>
      <c r="J31" s="196"/>
      <c r="K31" s="196">
        <v>0</v>
      </c>
      <c r="L31" s="194">
        <v>0</v>
      </c>
      <c r="M31" s="196">
        <v>0</v>
      </c>
      <c r="N31" s="196">
        <v>586.29999999999995</v>
      </c>
      <c r="O31" s="196">
        <v>1186114</v>
      </c>
      <c r="P31" s="194">
        <v>0</v>
      </c>
      <c r="Q31" s="196">
        <v>0</v>
      </c>
      <c r="R31" s="197">
        <v>0</v>
      </c>
      <c r="S31" s="196">
        <v>0</v>
      </c>
      <c r="T31" s="197">
        <v>0</v>
      </c>
      <c r="U31" s="288">
        <v>0</v>
      </c>
      <c r="V31" s="282">
        <f>C31-'часть 1'!L42</f>
        <v>0</v>
      </c>
      <c r="W31" s="282"/>
      <c r="X31" s="28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296"/>
    </row>
    <row r="32" spans="1:49" s="89" customFormat="1">
      <c r="A32" s="198">
        <v>24</v>
      </c>
      <c r="B32" s="195" t="s">
        <v>311</v>
      </c>
      <c r="C32" s="196">
        <v>178272.59</v>
      </c>
      <c r="D32" s="196"/>
      <c r="E32" s="196"/>
      <c r="F32" s="196"/>
      <c r="G32" s="196"/>
      <c r="H32" s="196"/>
      <c r="I32" s="196"/>
      <c r="J32" s="196"/>
      <c r="K32" s="196">
        <v>178272.59</v>
      </c>
      <c r="L32" s="194">
        <v>0</v>
      </c>
      <c r="M32" s="196">
        <v>0</v>
      </c>
      <c r="N32" s="199">
        <v>0</v>
      </c>
      <c r="O32" s="196">
        <v>0</v>
      </c>
      <c r="P32" s="194">
        <v>0</v>
      </c>
      <c r="Q32" s="196">
        <v>0</v>
      </c>
      <c r="R32" s="200">
        <v>0</v>
      </c>
      <c r="S32" s="196">
        <v>0</v>
      </c>
      <c r="T32" s="197">
        <v>0</v>
      </c>
      <c r="U32" s="288">
        <v>0</v>
      </c>
      <c r="V32" s="282">
        <f>C32-'часть 1'!L43</f>
        <v>0</v>
      </c>
      <c r="W32" s="282"/>
      <c r="X32" s="28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296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</row>
    <row r="33" spans="1:49" s="59" customFormat="1">
      <c r="A33" s="198">
        <v>25</v>
      </c>
      <c r="B33" s="195" t="s">
        <v>315</v>
      </c>
      <c r="C33" s="196">
        <v>1087116</v>
      </c>
      <c r="D33" s="196"/>
      <c r="E33" s="196"/>
      <c r="F33" s="196"/>
      <c r="G33" s="196"/>
      <c r="H33" s="196"/>
      <c r="I33" s="196"/>
      <c r="J33" s="196"/>
      <c r="K33" s="196" t="e">
        <f>#REF!</f>
        <v>#REF!</v>
      </c>
      <c r="L33" s="194">
        <v>0</v>
      </c>
      <c r="M33" s="196">
        <v>0</v>
      </c>
      <c r="N33" s="196">
        <v>0</v>
      </c>
      <c r="O33" s="196">
        <v>0</v>
      </c>
      <c r="P33" s="194">
        <v>0</v>
      </c>
      <c r="Q33" s="196">
        <v>0</v>
      </c>
      <c r="R33" s="197">
        <v>0</v>
      </c>
      <c r="S33" s="196">
        <v>0</v>
      </c>
      <c r="T33" s="197">
        <v>0</v>
      </c>
      <c r="U33" s="288">
        <v>0</v>
      </c>
      <c r="V33" s="282">
        <f>C33-'часть 1'!L44</f>
        <v>0</v>
      </c>
      <c r="W33" s="282"/>
      <c r="X33" s="28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296"/>
    </row>
    <row r="34" spans="1:49" s="59" customFormat="1">
      <c r="A34" s="198">
        <v>26</v>
      </c>
      <c r="B34" s="195" t="s">
        <v>351</v>
      </c>
      <c r="C34" s="196">
        <v>1411363</v>
      </c>
      <c r="D34" s="196"/>
      <c r="E34" s="196"/>
      <c r="F34" s="196"/>
      <c r="G34" s="196"/>
      <c r="H34" s="196"/>
      <c r="I34" s="196"/>
      <c r="J34" s="196"/>
      <c r="K34" s="196">
        <v>0</v>
      </c>
      <c r="L34" s="194">
        <v>0</v>
      </c>
      <c r="M34" s="196">
        <v>0</v>
      </c>
      <c r="N34" s="196">
        <v>702</v>
      </c>
      <c r="O34" s="196">
        <v>1411363</v>
      </c>
      <c r="P34" s="194">
        <v>0</v>
      </c>
      <c r="Q34" s="196">
        <v>0</v>
      </c>
      <c r="R34" s="197">
        <v>0</v>
      </c>
      <c r="S34" s="196">
        <v>0</v>
      </c>
      <c r="T34" s="197">
        <v>0</v>
      </c>
      <c r="U34" s="288">
        <v>0</v>
      </c>
      <c r="V34" s="282">
        <f>C34-'часть 1'!L45</f>
        <v>0</v>
      </c>
      <c r="W34" s="282"/>
      <c r="X34" s="28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296"/>
    </row>
    <row r="35" spans="1:49" s="59" customFormat="1">
      <c r="A35" s="198">
        <v>27</v>
      </c>
      <c r="B35" s="195" t="s">
        <v>314</v>
      </c>
      <c r="C35" s="196">
        <v>1136666</v>
      </c>
      <c r="D35" s="196"/>
      <c r="E35" s="196"/>
      <c r="F35" s="196"/>
      <c r="G35" s="196"/>
      <c r="H35" s="196"/>
      <c r="I35" s="196"/>
      <c r="J35" s="196"/>
      <c r="K35" s="196">
        <v>0</v>
      </c>
      <c r="L35" s="194">
        <v>0</v>
      </c>
      <c r="M35" s="196">
        <v>0</v>
      </c>
      <c r="N35" s="196">
        <v>552</v>
      </c>
      <c r="O35" s="196">
        <v>1136666</v>
      </c>
      <c r="P35" s="194">
        <v>0</v>
      </c>
      <c r="Q35" s="196">
        <v>0</v>
      </c>
      <c r="R35" s="200">
        <v>0</v>
      </c>
      <c r="S35" s="196">
        <v>0</v>
      </c>
      <c r="T35" s="197">
        <v>0</v>
      </c>
      <c r="U35" s="288">
        <v>0</v>
      </c>
      <c r="V35" s="282">
        <f>C35-'часть 1'!L46</f>
        <v>0</v>
      </c>
      <c r="W35" s="282"/>
      <c r="X35" s="28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296"/>
    </row>
    <row r="36" spans="1:49" s="59" customFormat="1">
      <c r="A36" s="198">
        <v>28</v>
      </c>
      <c r="B36" s="195" t="s">
        <v>369</v>
      </c>
      <c r="C36" s="196">
        <v>1385674</v>
      </c>
      <c r="D36" s="196"/>
      <c r="E36" s="196"/>
      <c r="F36" s="196"/>
      <c r="G36" s="196"/>
      <c r="H36" s="196"/>
      <c r="I36" s="196"/>
      <c r="J36" s="196"/>
      <c r="K36" s="196">
        <v>1385674</v>
      </c>
      <c r="L36" s="194">
        <v>0</v>
      </c>
      <c r="M36" s="196">
        <v>0</v>
      </c>
      <c r="N36" s="196">
        <v>0</v>
      </c>
      <c r="O36" s="196">
        <v>0</v>
      </c>
      <c r="P36" s="194">
        <v>0</v>
      </c>
      <c r="Q36" s="196">
        <v>0</v>
      </c>
      <c r="R36" s="197">
        <v>0</v>
      </c>
      <c r="S36" s="196">
        <v>0</v>
      </c>
      <c r="T36" s="197">
        <v>0</v>
      </c>
      <c r="U36" s="288">
        <v>0</v>
      </c>
      <c r="V36" s="282">
        <f>C36-'часть 1'!L47</f>
        <v>0</v>
      </c>
      <c r="W36" s="282"/>
      <c r="X36" s="28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296"/>
    </row>
    <row r="37" spans="1:49" s="59" customFormat="1">
      <c r="A37" s="198">
        <v>29</v>
      </c>
      <c r="B37" s="195" t="s">
        <v>370</v>
      </c>
      <c r="C37" s="196">
        <v>4619990</v>
      </c>
      <c r="D37" s="196"/>
      <c r="E37" s="196"/>
      <c r="F37" s="196"/>
      <c r="G37" s="196"/>
      <c r="H37" s="196"/>
      <c r="I37" s="196"/>
      <c r="J37" s="196"/>
      <c r="K37" s="196">
        <v>0</v>
      </c>
      <c r="L37" s="194">
        <v>0</v>
      </c>
      <c r="M37" s="196">
        <v>0</v>
      </c>
      <c r="N37" s="196">
        <v>2319</v>
      </c>
      <c r="O37" s="196">
        <v>4619990</v>
      </c>
      <c r="P37" s="194">
        <v>0</v>
      </c>
      <c r="Q37" s="196">
        <v>0</v>
      </c>
      <c r="R37" s="200">
        <v>0</v>
      </c>
      <c r="S37" s="196">
        <v>0</v>
      </c>
      <c r="T37" s="197">
        <v>0</v>
      </c>
      <c r="U37" s="288">
        <v>0</v>
      </c>
      <c r="V37" s="282">
        <f>C37-'часть 1'!L48</f>
        <v>0</v>
      </c>
      <c r="W37" s="282"/>
      <c r="X37" s="28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296"/>
    </row>
    <row r="38" spans="1:49" s="59" customFormat="1">
      <c r="A38" s="198">
        <v>30</v>
      </c>
      <c r="B38" s="195" t="s">
        <v>373</v>
      </c>
      <c r="C38" s="196">
        <v>1865304</v>
      </c>
      <c r="D38" s="196"/>
      <c r="E38" s="196"/>
      <c r="F38" s="196"/>
      <c r="G38" s="196"/>
      <c r="H38" s="196"/>
      <c r="I38" s="196"/>
      <c r="J38" s="196"/>
      <c r="K38" s="196">
        <v>0</v>
      </c>
      <c r="L38" s="194">
        <v>0</v>
      </c>
      <c r="M38" s="196">
        <v>0</v>
      </c>
      <c r="N38" s="196">
        <v>924</v>
      </c>
      <c r="O38" s="196">
        <v>1865304</v>
      </c>
      <c r="P38" s="194">
        <v>0</v>
      </c>
      <c r="Q38" s="196">
        <v>0</v>
      </c>
      <c r="R38" s="197">
        <v>0</v>
      </c>
      <c r="S38" s="196">
        <v>0</v>
      </c>
      <c r="T38" s="197">
        <v>0</v>
      </c>
      <c r="U38" s="288">
        <v>0</v>
      </c>
      <c r="V38" s="282">
        <f>C38-'часть 1'!L49</f>
        <v>0</v>
      </c>
      <c r="W38" s="282"/>
      <c r="X38" s="28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296"/>
    </row>
    <row r="39" spans="1:49" s="59" customFormat="1">
      <c r="A39" s="198">
        <v>31</v>
      </c>
      <c r="B39" s="195" t="s">
        <v>381</v>
      </c>
      <c r="C39" s="196">
        <v>1870910</v>
      </c>
      <c r="D39" s="196"/>
      <c r="E39" s="196"/>
      <c r="F39" s="196"/>
      <c r="G39" s="196"/>
      <c r="H39" s="196"/>
      <c r="I39" s="196"/>
      <c r="J39" s="196"/>
      <c r="K39" s="196">
        <v>0</v>
      </c>
      <c r="L39" s="194">
        <v>0</v>
      </c>
      <c r="M39" s="196">
        <v>0</v>
      </c>
      <c r="N39" s="196">
        <v>946.3</v>
      </c>
      <c r="O39" s="196">
        <v>1870910</v>
      </c>
      <c r="P39" s="194">
        <v>0</v>
      </c>
      <c r="Q39" s="196">
        <v>0</v>
      </c>
      <c r="R39" s="197">
        <v>0</v>
      </c>
      <c r="S39" s="196">
        <v>0</v>
      </c>
      <c r="T39" s="197">
        <v>0</v>
      </c>
      <c r="U39" s="288">
        <v>0</v>
      </c>
      <c r="V39" s="282">
        <f>C39-'часть 1'!L50</f>
        <v>0</v>
      </c>
      <c r="W39" s="282"/>
      <c r="X39" s="28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296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s="59" customFormat="1">
      <c r="A40" s="198">
        <v>32</v>
      </c>
      <c r="B40" s="195" t="s">
        <v>382</v>
      </c>
      <c r="C40" s="196">
        <v>1533757</v>
      </c>
      <c r="D40" s="196"/>
      <c r="E40" s="196"/>
      <c r="F40" s="196"/>
      <c r="G40" s="196"/>
      <c r="H40" s="196"/>
      <c r="I40" s="196"/>
      <c r="J40" s="196"/>
      <c r="K40" s="196">
        <v>0</v>
      </c>
      <c r="L40" s="194">
        <v>0</v>
      </c>
      <c r="M40" s="196">
        <v>0</v>
      </c>
      <c r="N40" s="196">
        <v>772.9</v>
      </c>
      <c r="O40" s="196">
        <v>1533757</v>
      </c>
      <c r="P40" s="194">
        <v>0</v>
      </c>
      <c r="Q40" s="196">
        <v>0</v>
      </c>
      <c r="R40" s="197">
        <v>0</v>
      </c>
      <c r="S40" s="196">
        <v>0</v>
      </c>
      <c r="T40" s="197">
        <v>0</v>
      </c>
      <c r="U40" s="288">
        <v>0</v>
      </c>
      <c r="V40" s="282">
        <f>C40-'часть 1'!L51</f>
        <v>0</v>
      </c>
      <c r="W40" s="282"/>
      <c r="X40" s="28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296"/>
    </row>
    <row r="41" spans="1:49">
      <c r="A41" s="194">
        <v>33</v>
      </c>
      <c r="B41" s="195" t="s">
        <v>371</v>
      </c>
      <c r="C41" s="196">
        <v>939858</v>
      </c>
      <c r="D41" s="196"/>
      <c r="E41" s="196"/>
      <c r="F41" s="196"/>
      <c r="G41" s="196"/>
      <c r="H41" s="196"/>
      <c r="I41" s="196"/>
      <c r="J41" s="196"/>
      <c r="K41" s="196">
        <v>939858</v>
      </c>
      <c r="L41" s="194">
        <v>0</v>
      </c>
      <c r="M41" s="196">
        <v>0</v>
      </c>
      <c r="N41" s="196">
        <v>0</v>
      </c>
      <c r="O41" s="196">
        <v>0</v>
      </c>
      <c r="P41" s="194">
        <v>0</v>
      </c>
      <c r="Q41" s="196">
        <v>0</v>
      </c>
      <c r="R41" s="200">
        <v>0</v>
      </c>
      <c r="S41" s="196">
        <v>0</v>
      </c>
      <c r="T41" s="197">
        <v>0</v>
      </c>
      <c r="U41" s="288">
        <v>0</v>
      </c>
      <c r="V41" s="282">
        <f>C41-'часть 1'!L52</f>
        <v>0</v>
      </c>
      <c r="W41" s="282"/>
      <c r="X41" s="28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296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</row>
    <row r="42" spans="1:49" s="59" customFormat="1">
      <c r="A42" s="198">
        <v>34</v>
      </c>
      <c r="B42" s="195" t="s">
        <v>377</v>
      </c>
      <c r="C42" s="196">
        <v>2368392</v>
      </c>
      <c r="D42" s="196"/>
      <c r="E42" s="196"/>
      <c r="F42" s="196"/>
      <c r="G42" s="196"/>
      <c r="H42" s="196"/>
      <c r="I42" s="196"/>
      <c r="J42" s="196"/>
      <c r="K42" s="196">
        <v>0</v>
      </c>
      <c r="L42" s="194">
        <v>0</v>
      </c>
      <c r="M42" s="196">
        <v>0</v>
      </c>
      <c r="N42" s="196">
        <v>1200</v>
      </c>
      <c r="O42" s="199">
        <v>2368392</v>
      </c>
      <c r="P42" s="194">
        <v>0</v>
      </c>
      <c r="Q42" s="196">
        <v>0</v>
      </c>
      <c r="R42" s="197">
        <v>0</v>
      </c>
      <c r="S42" s="196">
        <v>0</v>
      </c>
      <c r="T42" s="197">
        <v>0</v>
      </c>
      <c r="U42" s="288">
        <v>0</v>
      </c>
      <c r="V42" s="282">
        <f>C42-'часть 1'!L53</f>
        <v>0</v>
      </c>
      <c r="W42" s="282"/>
      <c r="X42" s="28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296"/>
    </row>
    <row r="43" spans="1:49" s="89" customFormat="1">
      <c r="A43" s="198">
        <v>35</v>
      </c>
      <c r="B43" s="195" t="s">
        <v>378</v>
      </c>
      <c r="C43" s="196">
        <v>2433930.91</v>
      </c>
      <c r="D43" s="196"/>
      <c r="E43" s="196"/>
      <c r="F43" s="196"/>
      <c r="G43" s="196"/>
      <c r="H43" s="196"/>
      <c r="I43" s="196"/>
      <c r="J43" s="196"/>
      <c r="K43" s="196">
        <v>1478520.9100000001</v>
      </c>
      <c r="L43" s="194">
        <v>0</v>
      </c>
      <c r="M43" s="196">
        <v>0</v>
      </c>
      <c r="N43" s="196">
        <v>526.79999999999995</v>
      </c>
      <c r="O43" s="196">
        <v>955410</v>
      </c>
      <c r="P43" s="194">
        <v>0</v>
      </c>
      <c r="Q43" s="196">
        <v>0</v>
      </c>
      <c r="R43" s="200">
        <v>0</v>
      </c>
      <c r="S43" s="196">
        <v>0</v>
      </c>
      <c r="T43" s="197">
        <v>0</v>
      </c>
      <c r="U43" s="288">
        <v>0</v>
      </c>
      <c r="V43" s="282">
        <f>C43-'часть 1'!L54</f>
        <v>0</v>
      </c>
      <c r="W43" s="282"/>
      <c r="X43" s="28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296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</row>
    <row r="44" spans="1:49" s="59" customFormat="1">
      <c r="A44" s="198">
        <v>36</v>
      </c>
      <c r="B44" s="195" t="s">
        <v>383</v>
      </c>
      <c r="C44" s="196">
        <v>1721850</v>
      </c>
      <c r="D44" s="196"/>
      <c r="E44" s="196"/>
      <c r="F44" s="196"/>
      <c r="G44" s="196"/>
      <c r="H44" s="196"/>
      <c r="I44" s="196"/>
      <c r="J44" s="196"/>
      <c r="K44" s="196">
        <v>0</v>
      </c>
      <c r="L44" s="194">
        <v>0</v>
      </c>
      <c r="M44" s="196">
        <v>0</v>
      </c>
      <c r="N44" s="196">
        <v>868.68</v>
      </c>
      <c r="O44" s="196">
        <v>1721850</v>
      </c>
      <c r="P44" s="194">
        <v>0</v>
      </c>
      <c r="Q44" s="196">
        <v>0</v>
      </c>
      <c r="R44" s="197">
        <v>0</v>
      </c>
      <c r="S44" s="196">
        <v>0</v>
      </c>
      <c r="T44" s="197">
        <v>0</v>
      </c>
      <c r="U44" s="288">
        <v>0</v>
      </c>
      <c r="V44" s="282">
        <f>C44-'часть 1'!L55</f>
        <v>0</v>
      </c>
      <c r="W44" s="282"/>
      <c r="X44" s="28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296"/>
    </row>
    <row r="45" spans="1:49" s="59" customFormat="1">
      <c r="A45" s="198">
        <v>37</v>
      </c>
      <c r="B45" s="195" t="s">
        <v>368</v>
      </c>
      <c r="C45" s="196">
        <v>814117</v>
      </c>
      <c r="D45" s="196"/>
      <c r="E45" s="196"/>
      <c r="F45" s="196"/>
      <c r="G45" s="196"/>
      <c r="H45" s="196"/>
      <c r="I45" s="196"/>
      <c r="J45" s="196"/>
      <c r="K45" s="196">
        <v>814117</v>
      </c>
      <c r="L45" s="194">
        <v>0</v>
      </c>
      <c r="M45" s="196">
        <v>0</v>
      </c>
      <c r="N45" s="196">
        <v>0</v>
      </c>
      <c r="O45" s="196">
        <v>0</v>
      </c>
      <c r="P45" s="194">
        <v>0</v>
      </c>
      <c r="Q45" s="196">
        <v>0</v>
      </c>
      <c r="R45" s="197">
        <v>0</v>
      </c>
      <c r="S45" s="196">
        <v>0</v>
      </c>
      <c r="T45" s="197">
        <v>0</v>
      </c>
      <c r="U45" s="288">
        <v>0</v>
      </c>
      <c r="V45" s="282">
        <f>C45-'часть 1'!L56</f>
        <v>0</v>
      </c>
      <c r="W45" s="282"/>
      <c r="X45" s="28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296"/>
    </row>
    <row r="46" spans="1:49" s="59" customFormat="1">
      <c r="A46" s="198">
        <v>38</v>
      </c>
      <c r="B46" s="195" t="s">
        <v>375</v>
      </c>
      <c r="C46" s="196">
        <v>3045081</v>
      </c>
      <c r="D46" s="196"/>
      <c r="E46" s="196"/>
      <c r="F46" s="196"/>
      <c r="G46" s="196"/>
      <c r="H46" s="196"/>
      <c r="I46" s="196"/>
      <c r="J46" s="196"/>
      <c r="K46" s="196">
        <v>0</v>
      </c>
      <c r="L46" s="194">
        <v>0</v>
      </c>
      <c r="M46" s="196">
        <v>0</v>
      </c>
      <c r="N46" s="196">
        <v>0</v>
      </c>
      <c r="O46" s="196">
        <v>0</v>
      </c>
      <c r="P46" s="194">
        <v>0</v>
      </c>
      <c r="Q46" s="196">
        <v>0</v>
      </c>
      <c r="R46" s="196">
        <v>2108</v>
      </c>
      <c r="S46" s="196">
        <v>3045081</v>
      </c>
      <c r="T46" s="197">
        <v>0</v>
      </c>
      <c r="U46" s="288">
        <v>0</v>
      </c>
      <c r="V46" s="282">
        <f>C46-'часть 1'!L57</f>
        <v>0</v>
      </c>
      <c r="W46" s="282"/>
      <c r="X46" s="28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296"/>
    </row>
    <row r="47" spans="1:49" s="59" customFormat="1">
      <c r="A47" s="198">
        <v>39</v>
      </c>
      <c r="B47" s="195" t="s">
        <v>380</v>
      </c>
      <c r="C47" s="196">
        <v>2244806</v>
      </c>
      <c r="D47" s="196"/>
      <c r="E47" s="196"/>
      <c r="F47" s="196"/>
      <c r="G47" s="196"/>
      <c r="H47" s="196"/>
      <c r="I47" s="196"/>
      <c r="J47" s="196"/>
      <c r="K47" s="196">
        <v>0</v>
      </c>
      <c r="L47" s="194">
        <v>0</v>
      </c>
      <c r="M47" s="196">
        <v>0</v>
      </c>
      <c r="N47" s="199">
        <v>1120</v>
      </c>
      <c r="O47" s="196">
        <v>2244806</v>
      </c>
      <c r="P47" s="194">
        <v>0</v>
      </c>
      <c r="Q47" s="196">
        <v>0</v>
      </c>
      <c r="R47" s="200">
        <v>0</v>
      </c>
      <c r="S47" s="196">
        <v>0</v>
      </c>
      <c r="T47" s="197">
        <v>0</v>
      </c>
      <c r="U47" s="288">
        <v>0</v>
      </c>
      <c r="V47" s="282">
        <f>C47-'часть 1'!L58</f>
        <v>0</v>
      </c>
      <c r="W47" s="282"/>
      <c r="X47" s="28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296"/>
    </row>
    <row r="48" spans="1:49" s="59" customFormat="1">
      <c r="A48" s="198">
        <v>40</v>
      </c>
      <c r="B48" s="195" t="s">
        <v>374</v>
      </c>
      <c r="C48" s="196">
        <v>1361273</v>
      </c>
      <c r="D48" s="196"/>
      <c r="E48" s="196"/>
      <c r="F48" s="196"/>
      <c r="G48" s="196"/>
      <c r="H48" s="196"/>
      <c r="I48" s="196"/>
      <c r="J48" s="196"/>
      <c r="K48" s="196">
        <v>347471</v>
      </c>
      <c r="L48" s="194">
        <v>0</v>
      </c>
      <c r="M48" s="196">
        <v>0</v>
      </c>
      <c r="N48" s="196">
        <v>0</v>
      </c>
      <c r="O48" s="196">
        <v>0</v>
      </c>
      <c r="P48" s="194">
        <v>0</v>
      </c>
      <c r="Q48" s="196">
        <v>0</v>
      </c>
      <c r="R48" s="196">
        <v>1105</v>
      </c>
      <c r="S48" s="196">
        <v>1013802</v>
      </c>
      <c r="T48" s="197">
        <v>0</v>
      </c>
      <c r="U48" s="288">
        <v>0</v>
      </c>
      <c r="V48" s="282">
        <f>C48-'часть 1'!L59</f>
        <v>0</v>
      </c>
      <c r="W48" s="282"/>
      <c r="X48" s="28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296"/>
    </row>
    <row r="49" spans="1:49" s="59" customFormat="1">
      <c r="A49" s="198">
        <v>41</v>
      </c>
      <c r="B49" s="195" t="s">
        <v>376</v>
      </c>
      <c r="C49" s="196">
        <v>2421596</v>
      </c>
      <c r="D49" s="196"/>
      <c r="E49" s="196"/>
      <c r="F49" s="196"/>
      <c r="G49" s="196"/>
      <c r="H49" s="196"/>
      <c r="I49" s="196"/>
      <c r="J49" s="196"/>
      <c r="K49" s="196">
        <v>0</v>
      </c>
      <c r="L49" s="194">
        <v>0</v>
      </c>
      <c r="M49" s="196">
        <v>0</v>
      </c>
      <c r="N49" s="196">
        <v>1230.72</v>
      </c>
      <c r="O49" s="199">
        <v>2421596</v>
      </c>
      <c r="P49" s="194">
        <v>0</v>
      </c>
      <c r="Q49" s="196">
        <v>0</v>
      </c>
      <c r="R49" s="197">
        <v>0</v>
      </c>
      <c r="S49" s="196">
        <v>0</v>
      </c>
      <c r="T49" s="197">
        <v>0</v>
      </c>
      <c r="U49" s="288">
        <v>0</v>
      </c>
      <c r="V49" s="282">
        <f>C49-'часть 1'!L60</f>
        <v>0</v>
      </c>
      <c r="W49" s="282"/>
      <c r="X49" s="28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296"/>
    </row>
    <row r="50" spans="1:49" s="59" customFormat="1">
      <c r="A50" s="198">
        <v>42</v>
      </c>
      <c r="B50" s="195" t="s">
        <v>379</v>
      </c>
      <c r="C50" s="196">
        <v>2056315</v>
      </c>
      <c r="D50" s="196"/>
      <c r="E50" s="196"/>
      <c r="F50" s="196"/>
      <c r="G50" s="196"/>
      <c r="H50" s="196"/>
      <c r="I50" s="196"/>
      <c r="J50" s="196"/>
      <c r="K50" s="196">
        <v>0</v>
      </c>
      <c r="L50" s="194">
        <v>0</v>
      </c>
      <c r="M50" s="196">
        <v>0</v>
      </c>
      <c r="N50" s="196">
        <v>978</v>
      </c>
      <c r="O50" s="196">
        <v>2056315</v>
      </c>
      <c r="P50" s="194">
        <v>0</v>
      </c>
      <c r="Q50" s="196">
        <v>0</v>
      </c>
      <c r="R50" s="200">
        <v>0</v>
      </c>
      <c r="S50" s="196">
        <v>0</v>
      </c>
      <c r="T50" s="197">
        <v>0</v>
      </c>
      <c r="U50" s="288">
        <v>0</v>
      </c>
      <c r="V50" s="282">
        <f>C50-'часть 1'!L61</f>
        <v>0</v>
      </c>
      <c r="W50" s="282"/>
      <c r="X50" s="28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296"/>
    </row>
    <row r="51" spans="1:49" s="59" customFormat="1">
      <c r="A51" s="198">
        <v>43</v>
      </c>
      <c r="B51" s="195" t="s">
        <v>372</v>
      </c>
      <c r="C51" s="196">
        <v>9473593</v>
      </c>
      <c r="D51" s="196"/>
      <c r="E51" s="196"/>
      <c r="F51" s="196"/>
      <c r="G51" s="196"/>
      <c r="H51" s="196"/>
      <c r="I51" s="196"/>
      <c r="J51" s="196"/>
      <c r="K51" s="196">
        <v>0</v>
      </c>
      <c r="L51" s="194">
        <v>5</v>
      </c>
      <c r="M51" s="196">
        <v>9473593</v>
      </c>
      <c r="N51" s="196">
        <v>0</v>
      </c>
      <c r="O51" s="196">
        <v>0</v>
      </c>
      <c r="P51" s="194">
        <v>0</v>
      </c>
      <c r="Q51" s="196">
        <v>0</v>
      </c>
      <c r="R51" s="197">
        <v>0</v>
      </c>
      <c r="S51" s="196">
        <v>0</v>
      </c>
      <c r="T51" s="197">
        <v>0</v>
      </c>
      <c r="U51" s="288">
        <v>0</v>
      </c>
      <c r="V51" s="282">
        <f>C51-'часть 1'!L62</f>
        <v>0</v>
      </c>
      <c r="W51" s="282"/>
      <c r="X51" s="28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296"/>
    </row>
    <row r="52" spans="1:49" s="59" customFormat="1">
      <c r="A52" s="198">
        <v>44</v>
      </c>
      <c r="B52" s="195" t="s">
        <v>344</v>
      </c>
      <c r="C52" s="196">
        <v>4441828</v>
      </c>
      <c r="D52" s="196"/>
      <c r="E52" s="196"/>
      <c r="F52" s="196"/>
      <c r="G52" s="196"/>
      <c r="H52" s="196"/>
      <c r="I52" s="196"/>
      <c r="J52" s="196"/>
      <c r="K52" s="196">
        <v>0</v>
      </c>
      <c r="L52" s="194">
        <v>0</v>
      </c>
      <c r="M52" s="196">
        <v>0</v>
      </c>
      <c r="N52" s="196">
        <v>0</v>
      </c>
      <c r="O52" s="196">
        <v>0</v>
      </c>
      <c r="P52" s="194">
        <v>0</v>
      </c>
      <c r="Q52" s="196">
        <v>0</v>
      </c>
      <c r="R52" s="196">
        <v>3081.4</v>
      </c>
      <c r="S52" s="196">
        <v>4441828</v>
      </c>
      <c r="T52" s="197">
        <v>0</v>
      </c>
      <c r="U52" s="288">
        <v>0</v>
      </c>
      <c r="V52" s="282">
        <f>C52-'часть 1'!L63</f>
        <v>0</v>
      </c>
      <c r="W52" s="282"/>
      <c r="X52" s="28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296"/>
    </row>
    <row r="53" spans="1:49" s="59" customFormat="1">
      <c r="A53" s="198">
        <v>45</v>
      </c>
      <c r="B53" s="195" t="s">
        <v>348</v>
      </c>
      <c r="C53" s="196">
        <v>3051089</v>
      </c>
      <c r="D53" s="196"/>
      <c r="E53" s="196"/>
      <c r="F53" s="196"/>
      <c r="G53" s="196"/>
      <c r="H53" s="196"/>
      <c r="I53" s="196"/>
      <c r="J53" s="196"/>
      <c r="K53" s="196">
        <v>0</v>
      </c>
      <c r="L53" s="194">
        <v>0</v>
      </c>
      <c r="M53" s="196">
        <v>0</v>
      </c>
      <c r="N53" s="196">
        <v>1549</v>
      </c>
      <c r="O53" s="196">
        <v>3051089</v>
      </c>
      <c r="P53" s="194">
        <v>0</v>
      </c>
      <c r="Q53" s="196">
        <v>0</v>
      </c>
      <c r="R53" s="197">
        <v>0</v>
      </c>
      <c r="S53" s="196">
        <v>0</v>
      </c>
      <c r="T53" s="197">
        <v>0</v>
      </c>
      <c r="U53" s="288">
        <v>0</v>
      </c>
      <c r="V53" s="282">
        <f>C53-'часть 1'!L64</f>
        <v>0</v>
      </c>
      <c r="W53" s="282"/>
      <c r="X53" s="28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296"/>
    </row>
    <row r="54" spans="1:49" s="59" customFormat="1">
      <c r="A54" s="198">
        <v>46</v>
      </c>
      <c r="B54" s="195" t="s">
        <v>386</v>
      </c>
      <c r="C54" s="196">
        <v>869749</v>
      </c>
      <c r="D54" s="196"/>
      <c r="E54" s="196"/>
      <c r="F54" s="196"/>
      <c r="G54" s="196"/>
      <c r="H54" s="196"/>
      <c r="I54" s="196"/>
      <c r="J54" s="196"/>
      <c r="K54" s="196">
        <v>0</v>
      </c>
      <c r="L54" s="194">
        <v>0</v>
      </c>
      <c r="M54" s="196">
        <v>0</v>
      </c>
      <c r="N54" s="196">
        <v>431.5</v>
      </c>
      <c r="O54" s="196">
        <f>C54</f>
        <v>869749</v>
      </c>
      <c r="P54" s="194">
        <v>0</v>
      </c>
      <c r="Q54" s="196">
        <v>0</v>
      </c>
      <c r="R54" s="197">
        <v>0</v>
      </c>
      <c r="S54" s="196">
        <v>0</v>
      </c>
      <c r="T54" s="197">
        <v>0</v>
      </c>
      <c r="U54" s="288">
        <v>0</v>
      </c>
      <c r="V54" s="282">
        <f>C54-'часть 1'!L65</f>
        <v>0</v>
      </c>
      <c r="W54" s="282"/>
      <c r="X54" s="28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296"/>
    </row>
    <row r="55" spans="1:49" s="59" customFormat="1">
      <c r="A55" s="198">
        <v>47</v>
      </c>
      <c r="B55" s="195" t="s">
        <v>461</v>
      </c>
      <c r="C55" s="196">
        <v>869880</v>
      </c>
      <c r="D55" s="196"/>
      <c r="E55" s="196"/>
      <c r="F55" s="196"/>
      <c r="G55" s="196"/>
      <c r="H55" s="196"/>
      <c r="I55" s="196"/>
      <c r="J55" s="196"/>
      <c r="K55" s="196">
        <v>0</v>
      </c>
      <c r="L55" s="194">
        <v>0</v>
      </c>
      <c r="M55" s="196">
        <v>0</v>
      </c>
      <c r="N55" s="196">
        <v>431.5</v>
      </c>
      <c r="O55" s="199">
        <f>C55</f>
        <v>869880</v>
      </c>
      <c r="P55" s="194">
        <v>0</v>
      </c>
      <c r="Q55" s="196">
        <v>0</v>
      </c>
      <c r="R55" s="200">
        <v>0</v>
      </c>
      <c r="S55" s="196">
        <v>0</v>
      </c>
      <c r="T55" s="197">
        <v>0</v>
      </c>
      <c r="U55" s="288">
        <v>0</v>
      </c>
      <c r="V55" s="282">
        <f>C55-'часть 1'!L66</f>
        <v>0</v>
      </c>
      <c r="W55" s="282"/>
      <c r="X55" s="28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296"/>
    </row>
    <row r="56" spans="1:49" s="59" customFormat="1" ht="30">
      <c r="A56" s="198">
        <v>48</v>
      </c>
      <c r="B56" s="195" t="s">
        <v>462</v>
      </c>
      <c r="C56" s="196">
        <v>172302</v>
      </c>
      <c r="D56" s="196"/>
      <c r="E56" s="196"/>
      <c r="F56" s="196"/>
      <c r="G56" s="196"/>
      <c r="H56" s="196"/>
      <c r="I56" s="196"/>
      <c r="J56" s="196"/>
      <c r="K56" s="196">
        <v>172302</v>
      </c>
      <c r="L56" s="194">
        <v>0</v>
      </c>
      <c r="M56" s="196">
        <v>0</v>
      </c>
      <c r="N56" s="196">
        <v>0</v>
      </c>
      <c r="O56" s="196">
        <v>0</v>
      </c>
      <c r="P56" s="194">
        <v>0</v>
      </c>
      <c r="Q56" s="196">
        <v>0</v>
      </c>
      <c r="R56" s="197">
        <v>0</v>
      </c>
      <c r="S56" s="196">
        <v>0</v>
      </c>
      <c r="T56" s="197">
        <v>0</v>
      </c>
      <c r="U56" s="288">
        <v>0</v>
      </c>
      <c r="V56" s="282">
        <f>C56-'часть 1'!L67</f>
        <v>0</v>
      </c>
      <c r="W56" s="282"/>
      <c r="X56" s="28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296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</row>
    <row r="57" spans="1:49" s="59" customFormat="1">
      <c r="A57" s="198">
        <v>49</v>
      </c>
      <c r="B57" s="195" t="s">
        <v>389</v>
      </c>
      <c r="C57" s="196">
        <v>3706393</v>
      </c>
      <c r="D57" s="196"/>
      <c r="E57" s="196"/>
      <c r="F57" s="196"/>
      <c r="G57" s="196"/>
      <c r="H57" s="196"/>
      <c r="I57" s="196"/>
      <c r="J57" s="196"/>
      <c r="K57" s="196" t="e">
        <f>#REF!</f>
        <v>#REF!</v>
      </c>
      <c r="L57" s="194">
        <v>0</v>
      </c>
      <c r="M57" s="196">
        <v>0</v>
      </c>
      <c r="N57" s="196">
        <v>0</v>
      </c>
      <c r="O57" s="196">
        <v>0</v>
      </c>
      <c r="P57" s="194">
        <v>0</v>
      </c>
      <c r="Q57" s="196">
        <v>0</v>
      </c>
      <c r="R57" s="197">
        <v>0</v>
      </c>
      <c r="S57" s="196">
        <v>0</v>
      </c>
      <c r="T57" s="197">
        <v>0</v>
      </c>
      <c r="U57" s="288">
        <v>0</v>
      </c>
      <c r="V57" s="282">
        <f>C57-'часть 1'!L68</f>
        <v>0</v>
      </c>
      <c r="W57" s="282"/>
      <c r="X57" s="28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296"/>
    </row>
    <row r="58" spans="1:49" s="59" customFormat="1">
      <c r="A58" s="198">
        <v>50</v>
      </c>
      <c r="B58" s="195" t="s">
        <v>317</v>
      </c>
      <c r="C58" s="196">
        <v>698585</v>
      </c>
      <c r="D58" s="196"/>
      <c r="E58" s="196"/>
      <c r="F58" s="196"/>
      <c r="G58" s="196"/>
      <c r="H58" s="196"/>
      <c r="I58" s="196"/>
      <c r="J58" s="196"/>
      <c r="K58" s="196">
        <v>698585</v>
      </c>
      <c r="L58" s="194">
        <v>0</v>
      </c>
      <c r="M58" s="196">
        <v>0</v>
      </c>
      <c r="N58" s="199">
        <v>0</v>
      </c>
      <c r="O58" s="196">
        <v>0</v>
      </c>
      <c r="P58" s="194">
        <v>0</v>
      </c>
      <c r="Q58" s="196">
        <v>0</v>
      </c>
      <c r="R58" s="200">
        <v>0</v>
      </c>
      <c r="S58" s="196">
        <v>0</v>
      </c>
      <c r="T58" s="197">
        <v>0</v>
      </c>
      <c r="U58" s="288">
        <v>0</v>
      </c>
      <c r="V58" s="282">
        <f>C58-'часть 1'!L69</f>
        <v>0</v>
      </c>
      <c r="W58" s="282"/>
      <c r="X58" s="28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296"/>
    </row>
    <row r="59" spans="1:49" s="59" customFormat="1">
      <c r="A59" s="198">
        <v>51</v>
      </c>
      <c r="B59" s="195" t="s">
        <v>384</v>
      </c>
      <c r="C59" s="196">
        <v>951740</v>
      </c>
      <c r="D59" s="196"/>
      <c r="E59" s="196"/>
      <c r="F59" s="196"/>
      <c r="G59" s="196"/>
      <c r="H59" s="196"/>
      <c r="I59" s="196"/>
      <c r="J59" s="196"/>
      <c r="K59" s="196">
        <v>0</v>
      </c>
      <c r="L59" s="194">
        <v>0</v>
      </c>
      <c r="M59" s="196">
        <v>0</v>
      </c>
      <c r="N59" s="196">
        <v>471.1</v>
      </c>
      <c r="O59" s="196">
        <v>951740</v>
      </c>
      <c r="P59" s="194">
        <v>0</v>
      </c>
      <c r="Q59" s="196">
        <v>0</v>
      </c>
      <c r="R59" s="197">
        <v>0</v>
      </c>
      <c r="S59" s="196">
        <v>0</v>
      </c>
      <c r="T59" s="197">
        <v>0</v>
      </c>
      <c r="U59" s="288">
        <v>0</v>
      </c>
      <c r="V59" s="282">
        <f>C59-'часть 1'!L70</f>
        <v>0</v>
      </c>
      <c r="W59" s="282"/>
      <c r="X59" s="28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296"/>
    </row>
    <row r="60" spans="1:49">
      <c r="A60" s="198">
        <v>52</v>
      </c>
      <c r="B60" s="195" t="s">
        <v>247</v>
      </c>
      <c r="C60" s="196">
        <v>2056139</v>
      </c>
      <c r="D60" s="196"/>
      <c r="E60" s="196"/>
      <c r="F60" s="196"/>
      <c r="G60" s="196"/>
      <c r="H60" s="196"/>
      <c r="I60" s="196"/>
      <c r="J60" s="196"/>
      <c r="K60" s="196">
        <v>0</v>
      </c>
      <c r="L60" s="194">
        <v>0</v>
      </c>
      <c r="M60" s="196">
        <v>0</v>
      </c>
      <c r="N60" s="196">
        <v>1020</v>
      </c>
      <c r="O60" s="196">
        <v>2056139</v>
      </c>
      <c r="P60" s="194">
        <v>0</v>
      </c>
      <c r="Q60" s="196">
        <v>0</v>
      </c>
      <c r="R60" s="200">
        <v>0</v>
      </c>
      <c r="S60" s="196">
        <v>0</v>
      </c>
      <c r="T60" s="197">
        <v>0</v>
      </c>
      <c r="U60" s="288">
        <v>0</v>
      </c>
      <c r="V60" s="282">
        <f>C60-'часть 1'!L71</f>
        <v>0</v>
      </c>
      <c r="W60" s="282"/>
      <c r="X60" s="28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296"/>
    </row>
    <row r="61" spans="1:49">
      <c r="A61" s="198">
        <v>53</v>
      </c>
      <c r="B61" s="195" t="s">
        <v>274</v>
      </c>
      <c r="C61" s="196">
        <v>1321356</v>
      </c>
      <c r="D61" s="196"/>
      <c r="E61" s="196"/>
      <c r="F61" s="196"/>
      <c r="G61" s="196"/>
      <c r="H61" s="196"/>
      <c r="I61" s="196"/>
      <c r="J61" s="196"/>
      <c r="K61" s="196">
        <v>0</v>
      </c>
      <c r="L61" s="194">
        <v>0</v>
      </c>
      <c r="M61" s="196">
        <v>0</v>
      </c>
      <c r="N61" s="196">
        <v>662</v>
      </c>
      <c r="O61" s="199">
        <v>1321356</v>
      </c>
      <c r="P61" s="194">
        <v>0</v>
      </c>
      <c r="Q61" s="196">
        <v>0</v>
      </c>
      <c r="R61" s="197">
        <v>0</v>
      </c>
      <c r="S61" s="196">
        <v>0</v>
      </c>
      <c r="T61" s="197">
        <v>0</v>
      </c>
      <c r="U61" s="288">
        <v>0</v>
      </c>
      <c r="V61" s="282">
        <f>C61-'часть 1'!L72</f>
        <v>0</v>
      </c>
      <c r="W61" s="282"/>
      <c r="X61" s="28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296"/>
    </row>
    <row r="62" spans="1:49" ht="30">
      <c r="A62" s="198">
        <v>54</v>
      </c>
      <c r="B62" s="195" t="s">
        <v>338</v>
      </c>
      <c r="C62" s="196">
        <v>1679278</v>
      </c>
      <c r="D62" s="196"/>
      <c r="E62" s="196"/>
      <c r="F62" s="196"/>
      <c r="G62" s="196"/>
      <c r="H62" s="196"/>
      <c r="I62" s="196"/>
      <c r="J62" s="196"/>
      <c r="K62" s="196">
        <v>355519</v>
      </c>
      <c r="L62" s="194">
        <v>0</v>
      </c>
      <c r="M62" s="196">
        <v>0</v>
      </c>
      <c r="N62" s="196">
        <v>663.3</v>
      </c>
      <c r="O62" s="196">
        <v>1323759</v>
      </c>
      <c r="P62" s="194">
        <v>0</v>
      </c>
      <c r="Q62" s="196">
        <v>0</v>
      </c>
      <c r="R62" s="197">
        <v>0</v>
      </c>
      <c r="S62" s="196">
        <v>0</v>
      </c>
      <c r="T62" s="197">
        <v>0</v>
      </c>
      <c r="U62" s="288">
        <v>0</v>
      </c>
      <c r="V62" s="282">
        <f>C62-'часть 1'!L73</f>
        <v>0</v>
      </c>
      <c r="W62" s="282"/>
      <c r="X62" s="282"/>
      <c r="Y62" s="12"/>
      <c r="Z62" s="12"/>
      <c r="AA62" s="12"/>
      <c r="AB62" s="12"/>
      <c r="AC62" s="12"/>
      <c r="AD62" s="12"/>
      <c r="AE62" s="12"/>
      <c r="AF62" s="12"/>
      <c r="AG62" s="4"/>
      <c r="AH62" s="12"/>
      <c r="AI62" s="296"/>
    </row>
    <row r="63" spans="1:49" s="11" customFormat="1">
      <c r="A63" s="198">
        <v>55</v>
      </c>
      <c r="B63" s="195" t="s">
        <v>272</v>
      </c>
      <c r="C63" s="196">
        <v>1100896</v>
      </c>
      <c r="D63" s="196"/>
      <c r="E63" s="196"/>
      <c r="F63" s="196"/>
      <c r="G63" s="196"/>
      <c r="H63" s="196"/>
      <c r="I63" s="196"/>
      <c r="J63" s="196"/>
      <c r="K63" s="196">
        <v>0</v>
      </c>
      <c r="L63" s="194">
        <v>0</v>
      </c>
      <c r="M63" s="196">
        <v>0</v>
      </c>
      <c r="N63" s="196">
        <v>549</v>
      </c>
      <c r="O63" s="199">
        <v>1100896</v>
      </c>
      <c r="P63" s="194">
        <v>0</v>
      </c>
      <c r="Q63" s="196">
        <v>0</v>
      </c>
      <c r="R63" s="197">
        <v>0</v>
      </c>
      <c r="S63" s="196">
        <v>0</v>
      </c>
      <c r="T63" s="197">
        <v>0</v>
      </c>
      <c r="U63" s="288">
        <v>0</v>
      </c>
      <c r="V63" s="282">
        <f>C63-'часть 1'!L74</f>
        <v>0</v>
      </c>
      <c r="W63" s="282"/>
      <c r="X63" s="28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296"/>
    </row>
    <row r="64" spans="1:49" ht="30">
      <c r="A64" s="198">
        <v>56</v>
      </c>
      <c r="B64" s="195" t="s">
        <v>337</v>
      </c>
      <c r="C64" s="196">
        <v>1729707</v>
      </c>
      <c r="D64" s="196"/>
      <c r="E64" s="196"/>
      <c r="F64" s="196"/>
      <c r="G64" s="196"/>
      <c r="H64" s="196"/>
      <c r="I64" s="196"/>
      <c r="J64" s="196"/>
      <c r="K64" s="196">
        <v>630140</v>
      </c>
      <c r="L64" s="194">
        <v>0</v>
      </c>
      <c r="M64" s="196">
        <v>0</v>
      </c>
      <c r="N64" s="196">
        <v>0</v>
      </c>
      <c r="O64" s="196">
        <v>0</v>
      </c>
      <c r="P64" s="194">
        <v>0</v>
      </c>
      <c r="Q64" s="196">
        <v>0</v>
      </c>
      <c r="R64" s="196">
        <v>760.3</v>
      </c>
      <c r="S64" s="196">
        <v>1099567</v>
      </c>
      <c r="T64" s="197">
        <v>0</v>
      </c>
      <c r="U64" s="288">
        <v>0</v>
      </c>
      <c r="V64" s="282">
        <f>C64-'часть 1'!L75</f>
        <v>0</v>
      </c>
      <c r="W64" s="282"/>
      <c r="X64" s="28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296"/>
    </row>
    <row r="65" spans="1:38" s="59" customFormat="1">
      <c r="A65" s="198">
        <v>57</v>
      </c>
      <c r="B65" s="195" t="s">
        <v>257</v>
      </c>
      <c r="C65" s="196">
        <v>451222.57</v>
      </c>
      <c r="D65" s="196"/>
      <c r="E65" s="196"/>
      <c r="F65" s="196"/>
      <c r="G65" s="196"/>
      <c r="H65" s="196"/>
      <c r="I65" s="196"/>
      <c r="J65" s="196"/>
      <c r="K65" s="196">
        <v>451222.57</v>
      </c>
      <c r="L65" s="194">
        <v>0</v>
      </c>
      <c r="M65" s="196">
        <v>0</v>
      </c>
      <c r="N65" s="196">
        <v>0</v>
      </c>
      <c r="O65" s="196">
        <v>0</v>
      </c>
      <c r="P65" s="194">
        <v>0</v>
      </c>
      <c r="Q65" s="196">
        <v>0</v>
      </c>
      <c r="R65" s="197">
        <v>0</v>
      </c>
      <c r="S65" s="196">
        <v>0</v>
      </c>
      <c r="T65" s="197">
        <v>0</v>
      </c>
      <c r="U65" s="288">
        <v>0</v>
      </c>
      <c r="V65" s="282">
        <f>C65-'часть 1'!L76</f>
        <v>0</v>
      </c>
      <c r="W65" s="282"/>
      <c r="X65" s="282"/>
      <c r="Y65" s="12"/>
      <c r="Z65" s="12"/>
      <c r="AA65" s="4"/>
      <c r="AB65" s="12"/>
      <c r="AC65" s="12"/>
      <c r="AD65" s="12"/>
      <c r="AE65" s="12"/>
      <c r="AF65" s="12"/>
      <c r="AG65" s="12"/>
      <c r="AH65" s="12"/>
      <c r="AI65" s="296"/>
    </row>
    <row r="66" spans="1:38" ht="30">
      <c r="A66" s="198">
        <v>58</v>
      </c>
      <c r="B66" s="195" t="s">
        <v>307</v>
      </c>
      <c r="C66" s="196">
        <v>703675.57</v>
      </c>
      <c r="D66" s="196"/>
      <c r="E66" s="196"/>
      <c r="F66" s="196"/>
      <c r="G66" s="196"/>
      <c r="H66" s="196"/>
      <c r="I66" s="196"/>
      <c r="J66" s="196"/>
      <c r="K66" s="196">
        <v>0</v>
      </c>
      <c r="L66" s="194">
        <v>0</v>
      </c>
      <c r="M66" s="196">
        <v>0</v>
      </c>
      <c r="N66" s="196">
        <v>378</v>
      </c>
      <c r="O66" s="196">
        <v>703675.57</v>
      </c>
      <c r="P66" s="194">
        <v>0</v>
      </c>
      <c r="Q66" s="196">
        <v>0</v>
      </c>
      <c r="R66" s="197">
        <v>0</v>
      </c>
      <c r="S66" s="196">
        <v>0</v>
      </c>
      <c r="T66" s="197">
        <v>0</v>
      </c>
      <c r="U66" s="288">
        <v>0</v>
      </c>
      <c r="V66" s="282">
        <f>C66-'часть 1'!L77</f>
        <v>0</v>
      </c>
      <c r="W66" s="282"/>
      <c r="X66" s="28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296"/>
    </row>
    <row r="67" spans="1:38">
      <c r="A67" s="198">
        <v>59</v>
      </c>
      <c r="B67" s="195" t="s">
        <v>268</v>
      </c>
      <c r="C67" s="196">
        <v>1053533.22</v>
      </c>
      <c r="D67" s="196"/>
      <c r="E67" s="196"/>
      <c r="F67" s="196"/>
      <c r="G67" s="196"/>
      <c r="H67" s="196"/>
      <c r="I67" s="196"/>
      <c r="J67" s="196"/>
      <c r="K67" s="196">
        <v>1053533.22</v>
      </c>
      <c r="L67" s="194">
        <v>0</v>
      </c>
      <c r="M67" s="196">
        <v>0</v>
      </c>
      <c r="N67" s="196">
        <v>0</v>
      </c>
      <c r="O67" s="196">
        <v>0</v>
      </c>
      <c r="P67" s="194">
        <v>0</v>
      </c>
      <c r="Q67" s="196">
        <v>0</v>
      </c>
      <c r="R67" s="197">
        <v>0</v>
      </c>
      <c r="S67" s="196">
        <v>0</v>
      </c>
      <c r="T67" s="197">
        <v>0</v>
      </c>
      <c r="U67" s="288">
        <v>0</v>
      </c>
      <c r="V67" s="282">
        <f>C67-'часть 1'!L78</f>
        <v>0</v>
      </c>
      <c r="W67" s="282"/>
      <c r="X67" s="28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296"/>
      <c r="AJ67" s="11"/>
      <c r="AK67" s="11"/>
      <c r="AL67" s="11"/>
    </row>
    <row r="68" spans="1:38">
      <c r="A68" s="198">
        <v>60</v>
      </c>
      <c r="B68" s="195" t="s">
        <v>246</v>
      </c>
      <c r="C68" s="196">
        <v>1253738</v>
      </c>
      <c r="D68" s="196"/>
      <c r="E68" s="196"/>
      <c r="F68" s="196"/>
      <c r="G68" s="196"/>
      <c r="H68" s="196"/>
      <c r="I68" s="196"/>
      <c r="J68" s="196"/>
      <c r="K68" s="196">
        <v>0</v>
      </c>
      <c r="L68" s="194">
        <v>0</v>
      </c>
      <c r="M68" s="196">
        <v>0</v>
      </c>
      <c r="N68" s="196">
        <v>622</v>
      </c>
      <c r="O68" s="196">
        <v>1253738</v>
      </c>
      <c r="P68" s="194">
        <v>0</v>
      </c>
      <c r="Q68" s="196">
        <v>0</v>
      </c>
      <c r="R68" s="200">
        <v>0</v>
      </c>
      <c r="S68" s="196">
        <v>0</v>
      </c>
      <c r="T68" s="197">
        <v>0</v>
      </c>
      <c r="U68" s="288">
        <v>0</v>
      </c>
      <c r="V68" s="282">
        <f>C68-'часть 1'!L79</f>
        <v>0</v>
      </c>
      <c r="W68" s="282"/>
      <c r="X68" s="28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296"/>
    </row>
    <row r="69" spans="1:38" s="11" customFormat="1">
      <c r="A69" s="198">
        <v>61</v>
      </c>
      <c r="B69" s="195" t="s">
        <v>470</v>
      </c>
      <c r="C69" s="196">
        <v>1870046</v>
      </c>
      <c r="D69" s="196"/>
      <c r="E69" s="196"/>
      <c r="F69" s="196"/>
      <c r="G69" s="196"/>
      <c r="H69" s="196"/>
      <c r="I69" s="196"/>
      <c r="J69" s="196"/>
      <c r="K69" s="196">
        <v>0</v>
      </c>
      <c r="L69" s="194">
        <v>1</v>
      </c>
      <c r="M69" s="196">
        <v>1870046</v>
      </c>
      <c r="N69" s="196">
        <v>0</v>
      </c>
      <c r="O69" s="196">
        <v>0</v>
      </c>
      <c r="P69" s="194">
        <v>0</v>
      </c>
      <c r="Q69" s="196">
        <v>0</v>
      </c>
      <c r="R69" s="197">
        <v>0</v>
      </c>
      <c r="S69" s="196">
        <v>0</v>
      </c>
      <c r="T69" s="197">
        <v>0</v>
      </c>
      <c r="U69" s="288">
        <v>0</v>
      </c>
      <c r="V69" s="282">
        <f>C69-'часть 1'!L80</f>
        <v>0</v>
      </c>
      <c r="W69" s="282"/>
      <c r="X69" s="28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296"/>
      <c r="AJ69" s="1"/>
      <c r="AK69" s="1"/>
      <c r="AL69" s="1"/>
    </row>
    <row r="70" spans="1:38">
      <c r="A70" s="198">
        <v>62</v>
      </c>
      <c r="B70" s="195" t="s">
        <v>350</v>
      </c>
      <c r="C70" s="196">
        <v>3720676</v>
      </c>
      <c r="D70" s="196"/>
      <c r="E70" s="196"/>
      <c r="F70" s="196"/>
      <c r="G70" s="196"/>
      <c r="H70" s="196"/>
      <c r="I70" s="196"/>
      <c r="J70" s="196"/>
      <c r="K70" s="196">
        <v>0</v>
      </c>
      <c r="L70" s="194">
        <v>2</v>
      </c>
      <c r="M70" s="196">
        <v>3720676</v>
      </c>
      <c r="N70" s="196">
        <v>0</v>
      </c>
      <c r="O70" s="196">
        <v>0</v>
      </c>
      <c r="P70" s="194">
        <v>0</v>
      </c>
      <c r="Q70" s="196">
        <v>0</v>
      </c>
      <c r="R70" s="197">
        <v>0</v>
      </c>
      <c r="S70" s="196">
        <v>0</v>
      </c>
      <c r="T70" s="197">
        <v>0</v>
      </c>
      <c r="U70" s="288">
        <v>0</v>
      </c>
      <c r="V70" s="282">
        <f>C70-'часть 1'!L81</f>
        <v>0</v>
      </c>
      <c r="W70" s="282"/>
      <c r="X70" s="28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296"/>
    </row>
    <row r="71" spans="1:38">
      <c r="A71" s="198">
        <v>63</v>
      </c>
      <c r="B71" s="195" t="s">
        <v>251</v>
      </c>
      <c r="C71" s="196">
        <v>3687908</v>
      </c>
      <c r="D71" s="196"/>
      <c r="E71" s="196"/>
      <c r="F71" s="196"/>
      <c r="G71" s="196"/>
      <c r="H71" s="196"/>
      <c r="I71" s="196"/>
      <c r="J71" s="196"/>
      <c r="K71" s="196">
        <v>3687908</v>
      </c>
      <c r="L71" s="194">
        <v>0</v>
      </c>
      <c r="M71" s="196">
        <v>0</v>
      </c>
      <c r="N71" s="196">
        <v>0</v>
      </c>
      <c r="O71" s="196">
        <v>0</v>
      </c>
      <c r="P71" s="194">
        <v>0</v>
      </c>
      <c r="Q71" s="196">
        <v>0</v>
      </c>
      <c r="R71" s="200">
        <v>0</v>
      </c>
      <c r="S71" s="196">
        <v>0</v>
      </c>
      <c r="T71" s="197">
        <v>0</v>
      </c>
      <c r="U71" s="288">
        <v>0</v>
      </c>
      <c r="V71" s="282">
        <f>C71-'часть 1'!L82</f>
        <v>0</v>
      </c>
      <c r="W71" s="282"/>
      <c r="X71" s="282"/>
      <c r="Y71" s="12"/>
      <c r="Z71" s="12"/>
      <c r="AA71" s="12"/>
      <c r="AB71" s="12"/>
      <c r="AC71" s="12"/>
      <c r="AD71" s="12"/>
      <c r="AE71" s="64"/>
      <c r="AF71" s="12"/>
      <c r="AG71" s="12"/>
      <c r="AH71" s="12"/>
      <c r="AI71" s="296"/>
    </row>
    <row r="72" spans="1:38">
      <c r="A72" s="198">
        <v>64</v>
      </c>
      <c r="B72" s="195" t="s">
        <v>226</v>
      </c>
      <c r="C72" s="196">
        <v>1760967.35</v>
      </c>
      <c r="D72" s="196"/>
      <c r="E72" s="196"/>
      <c r="F72" s="196"/>
      <c r="G72" s="196"/>
      <c r="H72" s="196"/>
      <c r="I72" s="196"/>
      <c r="J72" s="196"/>
      <c r="K72" s="196">
        <v>0</v>
      </c>
      <c r="L72" s="194">
        <v>0</v>
      </c>
      <c r="M72" s="196">
        <v>0</v>
      </c>
      <c r="N72" s="196">
        <v>881</v>
      </c>
      <c r="O72" s="196">
        <v>1760967.35</v>
      </c>
      <c r="P72" s="194">
        <v>0</v>
      </c>
      <c r="Q72" s="196">
        <v>0</v>
      </c>
      <c r="R72" s="200">
        <v>0</v>
      </c>
      <c r="S72" s="196">
        <v>0</v>
      </c>
      <c r="T72" s="197">
        <v>0</v>
      </c>
      <c r="U72" s="288">
        <v>0</v>
      </c>
      <c r="V72" s="282">
        <f>C72-'часть 1'!L83</f>
        <v>0</v>
      </c>
      <c r="W72" s="282"/>
      <c r="X72" s="28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296"/>
    </row>
    <row r="73" spans="1:38">
      <c r="A73" s="198">
        <v>65</v>
      </c>
      <c r="B73" s="195" t="s">
        <v>271</v>
      </c>
      <c r="C73" s="196">
        <v>881947</v>
      </c>
      <c r="D73" s="196"/>
      <c r="E73" s="196"/>
      <c r="F73" s="196"/>
      <c r="G73" s="196"/>
      <c r="H73" s="196"/>
      <c r="I73" s="196"/>
      <c r="J73" s="196"/>
      <c r="K73" s="196">
        <v>881947</v>
      </c>
      <c r="L73" s="194">
        <v>0</v>
      </c>
      <c r="M73" s="196">
        <v>0</v>
      </c>
      <c r="N73" s="196">
        <v>0</v>
      </c>
      <c r="O73" s="196">
        <v>0</v>
      </c>
      <c r="P73" s="194">
        <v>0</v>
      </c>
      <c r="Q73" s="196">
        <v>0</v>
      </c>
      <c r="R73" s="197">
        <v>0</v>
      </c>
      <c r="S73" s="196">
        <v>0</v>
      </c>
      <c r="T73" s="197">
        <v>0</v>
      </c>
      <c r="U73" s="288">
        <v>0</v>
      </c>
      <c r="V73" s="282">
        <f>C73-'часть 1'!L84</f>
        <v>0</v>
      </c>
      <c r="W73" s="282"/>
      <c r="X73" s="282"/>
      <c r="Y73" s="4"/>
      <c r="Z73" s="12"/>
      <c r="AA73" s="12"/>
      <c r="AB73" s="12"/>
      <c r="AC73" s="12"/>
      <c r="AD73" s="12"/>
      <c r="AE73" s="12"/>
      <c r="AF73" s="12"/>
      <c r="AG73" s="12"/>
      <c r="AH73" s="12"/>
      <c r="AI73" s="296"/>
    </row>
    <row r="74" spans="1:38">
      <c r="A74" s="198">
        <v>66</v>
      </c>
      <c r="B74" s="195" t="s">
        <v>287</v>
      </c>
      <c r="C74" s="196">
        <v>517739</v>
      </c>
      <c r="D74" s="196"/>
      <c r="E74" s="196"/>
      <c r="F74" s="196"/>
      <c r="G74" s="196"/>
      <c r="H74" s="196"/>
      <c r="I74" s="196"/>
      <c r="J74" s="196"/>
      <c r="K74" s="196">
        <v>0</v>
      </c>
      <c r="L74" s="194">
        <v>0</v>
      </c>
      <c r="M74" s="196">
        <v>0</v>
      </c>
      <c r="N74" s="196">
        <v>252</v>
      </c>
      <c r="O74" s="199">
        <v>517739</v>
      </c>
      <c r="P74" s="194">
        <v>0</v>
      </c>
      <c r="Q74" s="196">
        <v>0</v>
      </c>
      <c r="R74" s="197">
        <v>0</v>
      </c>
      <c r="S74" s="196">
        <v>0</v>
      </c>
      <c r="T74" s="197">
        <v>0</v>
      </c>
      <c r="U74" s="288">
        <v>0</v>
      </c>
      <c r="V74" s="282">
        <f>C74-'часть 1'!L85</f>
        <v>0</v>
      </c>
      <c r="W74" s="282"/>
      <c r="X74" s="28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296"/>
    </row>
    <row r="75" spans="1:38">
      <c r="A75" s="198">
        <v>67</v>
      </c>
      <c r="B75" s="195" t="s">
        <v>289</v>
      </c>
      <c r="C75" s="196">
        <v>1728895</v>
      </c>
      <c r="D75" s="196"/>
      <c r="E75" s="196"/>
      <c r="F75" s="196"/>
      <c r="G75" s="196"/>
      <c r="H75" s="196"/>
      <c r="I75" s="196"/>
      <c r="J75" s="196"/>
      <c r="K75" s="196">
        <v>0</v>
      </c>
      <c r="L75" s="194">
        <v>0</v>
      </c>
      <c r="M75" s="196">
        <v>0</v>
      </c>
      <c r="N75" s="196">
        <v>873.06</v>
      </c>
      <c r="O75" s="196">
        <v>1728895</v>
      </c>
      <c r="P75" s="201">
        <v>0</v>
      </c>
      <c r="Q75" s="196">
        <v>0</v>
      </c>
      <c r="R75" s="200">
        <v>0</v>
      </c>
      <c r="S75" s="196">
        <v>0</v>
      </c>
      <c r="T75" s="197">
        <v>0</v>
      </c>
      <c r="U75" s="288">
        <v>0</v>
      </c>
      <c r="V75" s="282">
        <f>C75-'часть 1'!L86</f>
        <v>0</v>
      </c>
      <c r="W75" s="282"/>
      <c r="X75" s="28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296"/>
    </row>
    <row r="76" spans="1:38">
      <c r="A76" s="198">
        <v>68</v>
      </c>
      <c r="B76" s="195" t="s">
        <v>259</v>
      </c>
      <c r="C76" s="196">
        <v>682529</v>
      </c>
      <c r="D76" s="196"/>
      <c r="E76" s="196"/>
      <c r="F76" s="196"/>
      <c r="G76" s="196"/>
      <c r="H76" s="196"/>
      <c r="I76" s="196"/>
      <c r="J76" s="196"/>
      <c r="K76" s="196">
        <v>0</v>
      </c>
      <c r="L76" s="194">
        <v>0</v>
      </c>
      <c r="M76" s="196">
        <v>0</v>
      </c>
      <c r="N76" s="196">
        <v>335.6</v>
      </c>
      <c r="O76" s="196">
        <v>682529</v>
      </c>
      <c r="P76" s="194">
        <v>0</v>
      </c>
      <c r="Q76" s="196">
        <v>0</v>
      </c>
      <c r="R76" s="197">
        <v>0</v>
      </c>
      <c r="S76" s="196">
        <v>0</v>
      </c>
      <c r="T76" s="197">
        <v>0</v>
      </c>
      <c r="U76" s="288">
        <v>0</v>
      </c>
      <c r="V76" s="282">
        <f>C76-'часть 1'!L87</f>
        <v>0</v>
      </c>
      <c r="W76" s="282"/>
      <c r="X76" s="28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296"/>
    </row>
    <row r="77" spans="1:38">
      <c r="A77" s="198">
        <v>69</v>
      </c>
      <c r="B77" s="195" t="s">
        <v>291</v>
      </c>
      <c r="C77" s="196">
        <v>582157</v>
      </c>
      <c r="D77" s="196"/>
      <c r="E77" s="196"/>
      <c r="F77" s="196"/>
      <c r="G77" s="196"/>
      <c r="H77" s="196"/>
      <c r="I77" s="196"/>
      <c r="J77" s="196"/>
      <c r="K77" s="196">
        <v>0</v>
      </c>
      <c r="L77" s="194">
        <v>0</v>
      </c>
      <c r="M77" s="196">
        <v>0</v>
      </c>
      <c r="N77" s="196">
        <v>285</v>
      </c>
      <c r="O77" s="196">
        <v>582157</v>
      </c>
      <c r="P77" s="194">
        <v>0</v>
      </c>
      <c r="Q77" s="196">
        <v>0</v>
      </c>
      <c r="R77" s="200">
        <v>0</v>
      </c>
      <c r="S77" s="196">
        <v>0</v>
      </c>
      <c r="T77" s="197">
        <v>0</v>
      </c>
      <c r="U77" s="288">
        <v>0</v>
      </c>
      <c r="V77" s="282">
        <f>C77-'часть 1'!L88</f>
        <v>0</v>
      </c>
      <c r="W77" s="282"/>
      <c r="X77" s="28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296"/>
    </row>
    <row r="78" spans="1:38">
      <c r="A78" s="198">
        <v>70</v>
      </c>
      <c r="B78" s="195" t="s">
        <v>224</v>
      </c>
      <c r="C78" s="196">
        <v>701704</v>
      </c>
      <c r="D78" s="196"/>
      <c r="E78" s="196"/>
      <c r="F78" s="196"/>
      <c r="G78" s="196"/>
      <c r="H78" s="196"/>
      <c r="I78" s="196"/>
      <c r="J78" s="196"/>
      <c r="K78" s="196">
        <v>701704</v>
      </c>
      <c r="L78" s="194">
        <v>0</v>
      </c>
      <c r="M78" s="196">
        <v>0</v>
      </c>
      <c r="N78" s="199">
        <v>0</v>
      </c>
      <c r="O78" s="196">
        <v>0</v>
      </c>
      <c r="P78" s="194">
        <v>0</v>
      </c>
      <c r="Q78" s="196">
        <v>0</v>
      </c>
      <c r="R78" s="200">
        <v>0</v>
      </c>
      <c r="S78" s="196">
        <v>0</v>
      </c>
      <c r="T78" s="197">
        <v>0</v>
      </c>
      <c r="U78" s="288">
        <v>0</v>
      </c>
      <c r="V78" s="282">
        <f>C78-'часть 1'!L89</f>
        <v>0</v>
      </c>
      <c r="W78" s="282"/>
      <c r="X78" s="282"/>
      <c r="Y78" s="4"/>
      <c r="Z78" s="12"/>
      <c r="AA78" s="12"/>
      <c r="AB78" s="12"/>
      <c r="AC78" s="12"/>
      <c r="AD78" s="12"/>
      <c r="AE78" s="12"/>
      <c r="AF78" s="12"/>
      <c r="AG78" s="12"/>
      <c r="AH78" s="12"/>
      <c r="AI78" s="296"/>
    </row>
    <row r="79" spans="1:38">
      <c r="A79" s="198">
        <v>71</v>
      </c>
      <c r="B79" s="195" t="s">
        <v>261</v>
      </c>
      <c r="C79" s="196">
        <v>1969149</v>
      </c>
      <c r="D79" s="196"/>
      <c r="E79" s="196"/>
      <c r="F79" s="196"/>
      <c r="G79" s="196"/>
      <c r="H79" s="196"/>
      <c r="I79" s="196"/>
      <c r="J79" s="196"/>
      <c r="K79" s="196">
        <v>0</v>
      </c>
      <c r="L79" s="194">
        <v>0</v>
      </c>
      <c r="M79" s="196">
        <v>0</v>
      </c>
      <c r="N79" s="196">
        <v>995.8</v>
      </c>
      <c r="O79" s="196">
        <v>1969149</v>
      </c>
      <c r="P79" s="194">
        <v>0</v>
      </c>
      <c r="Q79" s="196">
        <v>0</v>
      </c>
      <c r="R79" s="197">
        <v>0</v>
      </c>
      <c r="S79" s="196">
        <v>0</v>
      </c>
      <c r="T79" s="197">
        <v>0</v>
      </c>
      <c r="U79" s="288">
        <v>0</v>
      </c>
      <c r="V79" s="282">
        <f>C79-'часть 1'!L90</f>
        <v>0</v>
      </c>
      <c r="W79" s="282"/>
      <c r="X79" s="28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296"/>
    </row>
    <row r="80" spans="1:38">
      <c r="A80" s="198">
        <v>72</v>
      </c>
      <c r="B80" s="195" t="s">
        <v>239</v>
      </c>
      <c r="C80" s="196">
        <v>1023088</v>
      </c>
      <c r="D80" s="196"/>
      <c r="E80" s="196"/>
      <c r="F80" s="196"/>
      <c r="G80" s="196"/>
      <c r="H80" s="196"/>
      <c r="I80" s="196"/>
      <c r="J80" s="196"/>
      <c r="K80" s="196">
        <v>0</v>
      </c>
      <c r="L80" s="194">
        <v>0</v>
      </c>
      <c r="M80" s="196">
        <v>0</v>
      </c>
      <c r="N80" s="196">
        <v>0</v>
      </c>
      <c r="O80" s="196">
        <v>0</v>
      </c>
      <c r="P80" s="194">
        <v>0</v>
      </c>
      <c r="Q80" s="196">
        <v>0</v>
      </c>
      <c r="R80" s="196">
        <v>694</v>
      </c>
      <c r="S80" s="199">
        <v>1023088</v>
      </c>
      <c r="T80" s="197">
        <v>0</v>
      </c>
      <c r="U80" s="288">
        <v>0</v>
      </c>
      <c r="V80" s="282">
        <f>C80-'часть 1'!L91</f>
        <v>0</v>
      </c>
      <c r="W80" s="282"/>
      <c r="X80" s="28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296"/>
    </row>
    <row r="81" spans="1:35">
      <c r="A81" s="198">
        <v>73</v>
      </c>
      <c r="B81" s="195" t="s">
        <v>336</v>
      </c>
      <c r="C81" s="196">
        <v>3334570</v>
      </c>
      <c r="D81" s="196"/>
      <c r="E81" s="196"/>
      <c r="F81" s="196"/>
      <c r="G81" s="196"/>
      <c r="H81" s="196"/>
      <c r="I81" s="196"/>
      <c r="J81" s="196"/>
      <c r="K81" s="196" t="e">
        <f>#REF!</f>
        <v>#REF!</v>
      </c>
      <c r="L81" s="194">
        <v>0</v>
      </c>
      <c r="M81" s="196">
        <v>0</v>
      </c>
      <c r="N81" s="199">
        <v>0</v>
      </c>
      <c r="O81" s="196">
        <v>0</v>
      </c>
      <c r="P81" s="194">
        <v>0</v>
      </c>
      <c r="Q81" s="196">
        <v>0</v>
      </c>
      <c r="R81" s="197">
        <v>0</v>
      </c>
      <c r="S81" s="196">
        <v>0</v>
      </c>
      <c r="T81" s="197">
        <v>0</v>
      </c>
      <c r="U81" s="288">
        <v>0</v>
      </c>
      <c r="V81" s="282">
        <f>C81-'часть 1'!L92</f>
        <v>0</v>
      </c>
      <c r="W81" s="282"/>
      <c r="X81" s="282"/>
      <c r="Y81" s="12"/>
      <c r="Z81" s="12"/>
      <c r="AA81" s="12"/>
      <c r="AB81" s="12"/>
      <c r="AC81" s="12"/>
      <c r="AD81" s="12"/>
      <c r="AE81" s="15"/>
      <c r="AF81" s="12"/>
      <c r="AG81" s="12"/>
      <c r="AH81" s="12"/>
      <c r="AI81" s="296"/>
    </row>
    <row r="82" spans="1:35">
      <c r="A82" s="198">
        <v>74</v>
      </c>
      <c r="B82" s="195" t="s">
        <v>306</v>
      </c>
      <c r="C82" s="196">
        <v>1127374.33</v>
      </c>
      <c r="D82" s="196"/>
      <c r="E82" s="196"/>
      <c r="F82" s="196"/>
      <c r="G82" s="196"/>
      <c r="H82" s="196"/>
      <c r="I82" s="196"/>
      <c r="J82" s="196"/>
      <c r="K82" s="196">
        <v>1127374.33</v>
      </c>
      <c r="L82" s="194">
        <v>0</v>
      </c>
      <c r="M82" s="196">
        <v>0</v>
      </c>
      <c r="N82" s="196">
        <v>0</v>
      </c>
      <c r="O82" s="196">
        <v>0</v>
      </c>
      <c r="P82" s="194">
        <v>0</v>
      </c>
      <c r="Q82" s="196">
        <v>0</v>
      </c>
      <c r="R82" s="197">
        <v>0</v>
      </c>
      <c r="S82" s="196">
        <v>0</v>
      </c>
      <c r="T82" s="197">
        <v>0</v>
      </c>
      <c r="U82" s="288">
        <v>0</v>
      </c>
      <c r="V82" s="282">
        <f>C82-'часть 1'!L93</f>
        <v>0</v>
      </c>
      <c r="W82" s="282"/>
      <c r="X82" s="28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296"/>
    </row>
    <row r="83" spans="1:35">
      <c r="A83" s="198">
        <v>75</v>
      </c>
      <c r="B83" s="195" t="s">
        <v>234</v>
      </c>
      <c r="C83" s="196">
        <v>1161456</v>
      </c>
      <c r="D83" s="196"/>
      <c r="E83" s="196"/>
      <c r="F83" s="196"/>
      <c r="G83" s="196"/>
      <c r="H83" s="196"/>
      <c r="I83" s="196"/>
      <c r="J83" s="196"/>
      <c r="K83" s="196">
        <v>1161456</v>
      </c>
      <c r="L83" s="194">
        <v>0</v>
      </c>
      <c r="M83" s="196">
        <v>0</v>
      </c>
      <c r="N83" s="196">
        <v>0</v>
      </c>
      <c r="O83" s="196">
        <v>0</v>
      </c>
      <c r="P83" s="194">
        <v>0</v>
      </c>
      <c r="Q83" s="196">
        <v>0</v>
      </c>
      <c r="R83" s="197">
        <v>0</v>
      </c>
      <c r="S83" s="196">
        <v>0</v>
      </c>
      <c r="T83" s="197">
        <v>0</v>
      </c>
      <c r="U83" s="288">
        <v>0</v>
      </c>
      <c r="V83" s="282">
        <f>C83-'часть 1'!L94</f>
        <v>0</v>
      </c>
      <c r="W83" s="282"/>
      <c r="X83" s="28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296"/>
    </row>
    <row r="84" spans="1:35">
      <c r="A84" s="198">
        <v>76</v>
      </c>
      <c r="B84" s="195" t="s">
        <v>277</v>
      </c>
      <c r="C84" s="196">
        <v>1197250.23</v>
      </c>
      <c r="D84" s="196"/>
      <c r="E84" s="196"/>
      <c r="F84" s="196"/>
      <c r="G84" s="196"/>
      <c r="H84" s="196"/>
      <c r="I84" s="196"/>
      <c r="J84" s="196"/>
      <c r="K84" s="196">
        <v>1197250.23</v>
      </c>
      <c r="L84" s="194">
        <v>0</v>
      </c>
      <c r="M84" s="196">
        <v>0</v>
      </c>
      <c r="N84" s="199">
        <v>0</v>
      </c>
      <c r="O84" s="196">
        <v>0</v>
      </c>
      <c r="P84" s="194">
        <v>0</v>
      </c>
      <c r="Q84" s="196">
        <v>0</v>
      </c>
      <c r="R84" s="197">
        <v>0</v>
      </c>
      <c r="S84" s="196">
        <v>0</v>
      </c>
      <c r="T84" s="197">
        <v>0</v>
      </c>
      <c r="U84" s="288">
        <v>0</v>
      </c>
      <c r="V84" s="282">
        <f>C84-'часть 1'!L95</f>
        <v>0</v>
      </c>
      <c r="W84" s="282"/>
      <c r="X84" s="28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296"/>
    </row>
    <row r="85" spans="1:35">
      <c r="A85" s="198">
        <v>77</v>
      </c>
      <c r="B85" s="195" t="s">
        <v>303</v>
      </c>
      <c r="C85" s="196">
        <v>2784233</v>
      </c>
      <c r="D85" s="196"/>
      <c r="E85" s="196"/>
      <c r="F85" s="196"/>
      <c r="G85" s="196"/>
      <c r="H85" s="196"/>
      <c r="I85" s="196"/>
      <c r="J85" s="196"/>
      <c r="K85" s="196">
        <v>0</v>
      </c>
      <c r="L85" s="194">
        <v>0</v>
      </c>
      <c r="M85" s="196">
        <v>0</v>
      </c>
      <c r="N85" s="196">
        <v>1391</v>
      </c>
      <c r="O85" s="196">
        <v>2784233</v>
      </c>
      <c r="P85" s="194">
        <v>0</v>
      </c>
      <c r="Q85" s="196">
        <v>0</v>
      </c>
      <c r="R85" s="197">
        <v>0</v>
      </c>
      <c r="S85" s="196">
        <v>0</v>
      </c>
      <c r="T85" s="197">
        <v>0</v>
      </c>
      <c r="U85" s="288">
        <v>0</v>
      </c>
      <c r="V85" s="282">
        <f>C85-'часть 1'!L96</f>
        <v>0</v>
      </c>
      <c r="W85" s="282"/>
      <c r="X85" s="28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296"/>
    </row>
    <row r="86" spans="1:35">
      <c r="A86" s="198">
        <v>78</v>
      </c>
      <c r="B86" s="195" t="s">
        <v>293</v>
      </c>
      <c r="C86" s="196">
        <v>2369961</v>
      </c>
      <c r="D86" s="196"/>
      <c r="E86" s="196"/>
      <c r="F86" s="196"/>
      <c r="G86" s="196"/>
      <c r="H86" s="196"/>
      <c r="I86" s="196"/>
      <c r="J86" s="196"/>
      <c r="K86" s="196">
        <v>2369961</v>
      </c>
      <c r="L86" s="194">
        <v>0</v>
      </c>
      <c r="M86" s="196">
        <v>0</v>
      </c>
      <c r="N86" s="196">
        <v>0</v>
      </c>
      <c r="O86" s="196">
        <v>0</v>
      </c>
      <c r="P86" s="194">
        <v>0</v>
      </c>
      <c r="Q86" s="196">
        <v>0</v>
      </c>
      <c r="R86" s="200">
        <v>0</v>
      </c>
      <c r="S86" s="196">
        <v>0</v>
      </c>
      <c r="T86" s="197">
        <v>0</v>
      </c>
      <c r="U86" s="288">
        <v>0</v>
      </c>
      <c r="V86" s="282">
        <f>C86-'часть 1'!L97</f>
        <v>0</v>
      </c>
      <c r="W86" s="282"/>
      <c r="X86" s="28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296"/>
    </row>
    <row r="87" spans="1:35">
      <c r="A87" s="198">
        <v>79</v>
      </c>
      <c r="B87" s="195" t="s">
        <v>463</v>
      </c>
      <c r="C87" s="196">
        <v>672819</v>
      </c>
      <c r="D87" s="196"/>
      <c r="E87" s="196"/>
      <c r="F87" s="196"/>
      <c r="G87" s="196"/>
      <c r="H87" s="196"/>
      <c r="I87" s="196"/>
      <c r="J87" s="196"/>
      <c r="K87" s="196">
        <v>0</v>
      </c>
      <c r="L87" s="194">
        <v>0</v>
      </c>
      <c r="M87" s="196">
        <v>0</v>
      </c>
      <c r="N87" s="196">
        <v>331.4</v>
      </c>
      <c r="O87" s="196">
        <v>672819</v>
      </c>
      <c r="P87" s="194">
        <v>0</v>
      </c>
      <c r="Q87" s="196">
        <v>0</v>
      </c>
      <c r="R87" s="200">
        <v>0</v>
      </c>
      <c r="S87" s="196">
        <v>0</v>
      </c>
      <c r="T87" s="197">
        <v>0</v>
      </c>
      <c r="U87" s="288">
        <v>0</v>
      </c>
      <c r="V87" s="282">
        <f>C87-'часть 1'!L98</f>
        <v>0</v>
      </c>
      <c r="W87" s="282"/>
      <c r="X87" s="28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296"/>
    </row>
    <row r="88" spans="1:35">
      <c r="A88" s="198">
        <v>80</v>
      </c>
      <c r="B88" s="195" t="s">
        <v>340</v>
      </c>
      <c r="C88" s="196">
        <v>1651491</v>
      </c>
      <c r="D88" s="196"/>
      <c r="E88" s="196"/>
      <c r="F88" s="196"/>
      <c r="G88" s="196"/>
      <c r="H88" s="196"/>
      <c r="I88" s="196"/>
      <c r="J88" s="196"/>
      <c r="K88" s="196">
        <v>1651491</v>
      </c>
      <c r="L88" s="194">
        <v>0</v>
      </c>
      <c r="M88" s="196">
        <v>0</v>
      </c>
      <c r="N88" s="196">
        <v>0</v>
      </c>
      <c r="O88" s="196">
        <v>0</v>
      </c>
      <c r="P88" s="194">
        <v>0</v>
      </c>
      <c r="Q88" s="196">
        <v>0</v>
      </c>
      <c r="R88" s="197">
        <v>0</v>
      </c>
      <c r="S88" s="196">
        <v>0</v>
      </c>
      <c r="T88" s="197">
        <v>0</v>
      </c>
      <c r="U88" s="288">
        <v>0</v>
      </c>
      <c r="V88" s="282">
        <f>C88-'часть 1'!L99</f>
        <v>0</v>
      </c>
      <c r="W88" s="282"/>
      <c r="X88" s="28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296"/>
    </row>
    <row r="89" spans="1:35">
      <c r="A89" s="198">
        <v>81</v>
      </c>
      <c r="B89" s="195" t="s">
        <v>254</v>
      </c>
      <c r="C89" s="196">
        <v>1432926</v>
      </c>
      <c r="D89" s="196"/>
      <c r="E89" s="196"/>
      <c r="F89" s="196"/>
      <c r="G89" s="196"/>
      <c r="H89" s="196"/>
      <c r="I89" s="196"/>
      <c r="J89" s="196"/>
      <c r="K89" s="196">
        <v>0</v>
      </c>
      <c r="L89" s="194">
        <v>0</v>
      </c>
      <c r="M89" s="196">
        <v>0</v>
      </c>
      <c r="N89" s="196">
        <v>710.73</v>
      </c>
      <c r="O89" s="196">
        <v>1432926</v>
      </c>
      <c r="P89" s="194">
        <v>0</v>
      </c>
      <c r="Q89" s="196">
        <v>0</v>
      </c>
      <c r="R89" s="200">
        <v>0</v>
      </c>
      <c r="S89" s="196">
        <v>0</v>
      </c>
      <c r="T89" s="197">
        <v>0</v>
      </c>
      <c r="U89" s="288">
        <v>0</v>
      </c>
      <c r="V89" s="282">
        <f>C89-'часть 1'!L100</f>
        <v>0</v>
      </c>
      <c r="W89" s="282"/>
      <c r="X89" s="28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296"/>
    </row>
    <row r="90" spans="1:35">
      <c r="A90" s="198">
        <v>82</v>
      </c>
      <c r="B90" s="195" t="s">
        <v>343</v>
      </c>
      <c r="C90" s="196">
        <v>1137886</v>
      </c>
      <c r="D90" s="196"/>
      <c r="E90" s="196"/>
      <c r="F90" s="196"/>
      <c r="G90" s="196"/>
      <c r="H90" s="196"/>
      <c r="I90" s="196"/>
      <c r="J90" s="196"/>
      <c r="K90" s="196">
        <v>0</v>
      </c>
      <c r="L90" s="194">
        <v>0</v>
      </c>
      <c r="M90" s="196">
        <v>0</v>
      </c>
      <c r="N90" s="196">
        <v>0</v>
      </c>
      <c r="O90" s="196">
        <v>0</v>
      </c>
      <c r="P90" s="194">
        <v>0</v>
      </c>
      <c r="Q90" s="196">
        <v>0</v>
      </c>
      <c r="R90" s="199">
        <v>785.5</v>
      </c>
      <c r="S90" s="196">
        <v>1137886</v>
      </c>
      <c r="T90" s="197">
        <v>0</v>
      </c>
      <c r="U90" s="288">
        <v>0</v>
      </c>
      <c r="V90" s="282">
        <f>C90-'часть 1'!L101</f>
        <v>0</v>
      </c>
      <c r="W90" s="282"/>
      <c r="X90" s="28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296"/>
    </row>
    <row r="91" spans="1:35">
      <c r="A91" s="198">
        <v>83</v>
      </c>
      <c r="B91" s="195" t="s">
        <v>305</v>
      </c>
      <c r="C91" s="196">
        <v>1814838</v>
      </c>
      <c r="D91" s="196"/>
      <c r="E91" s="196"/>
      <c r="F91" s="196"/>
      <c r="G91" s="196"/>
      <c r="H91" s="196"/>
      <c r="I91" s="196"/>
      <c r="J91" s="196"/>
      <c r="K91" s="196">
        <v>0</v>
      </c>
      <c r="L91" s="194">
        <v>0</v>
      </c>
      <c r="M91" s="196">
        <v>0</v>
      </c>
      <c r="N91" s="196">
        <v>917</v>
      </c>
      <c r="O91" s="196">
        <v>1814838</v>
      </c>
      <c r="P91" s="194">
        <v>0</v>
      </c>
      <c r="Q91" s="196">
        <v>0</v>
      </c>
      <c r="R91" s="197">
        <v>0</v>
      </c>
      <c r="S91" s="196">
        <v>0</v>
      </c>
      <c r="T91" s="197">
        <v>0</v>
      </c>
      <c r="U91" s="288">
        <v>0</v>
      </c>
      <c r="V91" s="282">
        <f>C91-'часть 1'!L102</f>
        <v>0</v>
      </c>
      <c r="W91" s="282"/>
      <c r="X91" s="28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296"/>
    </row>
    <row r="92" spans="1:35">
      <c r="A92" s="198">
        <v>84</v>
      </c>
      <c r="B92" s="195" t="s">
        <v>345</v>
      </c>
      <c r="C92" s="196">
        <v>1544359.54</v>
      </c>
      <c r="D92" s="196"/>
      <c r="E92" s="196"/>
      <c r="F92" s="196"/>
      <c r="G92" s="196"/>
      <c r="H92" s="196"/>
      <c r="I92" s="196"/>
      <c r="J92" s="196"/>
      <c r="K92" s="196">
        <v>1544359.54</v>
      </c>
      <c r="L92" s="194">
        <v>0</v>
      </c>
      <c r="M92" s="196">
        <v>0</v>
      </c>
      <c r="N92" s="196">
        <v>0</v>
      </c>
      <c r="O92" s="196">
        <v>0</v>
      </c>
      <c r="P92" s="194">
        <v>0</v>
      </c>
      <c r="Q92" s="196">
        <v>0</v>
      </c>
      <c r="R92" s="197">
        <v>0</v>
      </c>
      <c r="S92" s="196">
        <v>0</v>
      </c>
      <c r="T92" s="197">
        <v>0</v>
      </c>
      <c r="U92" s="288">
        <v>0</v>
      </c>
      <c r="V92" s="282">
        <f>C92-'часть 1'!L103</f>
        <v>0</v>
      </c>
      <c r="W92" s="282"/>
      <c r="X92" s="28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297"/>
    </row>
    <row r="93" spans="1:35" ht="30">
      <c r="A93" s="198">
        <v>85</v>
      </c>
      <c r="B93" s="195" t="s">
        <v>454</v>
      </c>
      <c r="C93" s="196">
        <v>1787034</v>
      </c>
      <c r="D93" s="196"/>
      <c r="E93" s="196"/>
      <c r="F93" s="196"/>
      <c r="G93" s="196"/>
      <c r="H93" s="196"/>
      <c r="I93" s="196"/>
      <c r="J93" s="196"/>
      <c r="K93" s="196">
        <v>0</v>
      </c>
      <c r="L93" s="194">
        <v>1</v>
      </c>
      <c r="M93" s="196">
        <v>1787034</v>
      </c>
      <c r="N93" s="196">
        <v>0</v>
      </c>
      <c r="O93" s="196">
        <v>0</v>
      </c>
      <c r="P93" s="194">
        <v>0</v>
      </c>
      <c r="Q93" s="196">
        <v>0</v>
      </c>
      <c r="R93" s="200">
        <v>0</v>
      </c>
      <c r="S93" s="196">
        <v>0</v>
      </c>
      <c r="T93" s="197">
        <v>0</v>
      </c>
      <c r="U93" s="288">
        <v>0</v>
      </c>
      <c r="V93" s="282">
        <f>C93-'часть 1'!L104</f>
        <v>0</v>
      </c>
      <c r="W93" s="282"/>
      <c r="X93" s="28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296"/>
    </row>
    <row r="94" spans="1:35" ht="30">
      <c r="A94" s="198">
        <v>86</v>
      </c>
      <c r="B94" s="195" t="s">
        <v>455</v>
      </c>
      <c r="C94" s="196">
        <v>437998.57</v>
      </c>
      <c r="D94" s="196"/>
      <c r="E94" s="196"/>
      <c r="F94" s="196"/>
      <c r="G94" s="196"/>
      <c r="H94" s="196"/>
      <c r="I94" s="196"/>
      <c r="J94" s="196"/>
      <c r="K94" s="196">
        <v>437998.57</v>
      </c>
      <c r="L94" s="194">
        <v>0</v>
      </c>
      <c r="M94" s="196">
        <v>0</v>
      </c>
      <c r="N94" s="199">
        <v>0</v>
      </c>
      <c r="O94" s="196">
        <v>0</v>
      </c>
      <c r="P94" s="194">
        <v>0</v>
      </c>
      <c r="Q94" s="196">
        <v>0</v>
      </c>
      <c r="R94" s="200">
        <v>0</v>
      </c>
      <c r="S94" s="196">
        <v>0</v>
      </c>
      <c r="T94" s="197">
        <v>0</v>
      </c>
      <c r="U94" s="288">
        <v>0</v>
      </c>
      <c r="V94" s="282">
        <f>C94-'часть 1'!L105</f>
        <v>0</v>
      </c>
      <c r="W94" s="282"/>
      <c r="X94" s="28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296"/>
    </row>
    <row r="95" spans="1:35" ht="30">
      <c r="A95" s="198">
        <v>87</v>
      </c>
      <c r="B95" s="195" t="s">
        <v>456</v>
      </c>
      <c r="C95" s="196">
        <v>1116228</v>
      </c>
      <c r="D95" s="196"/>
      <c r="E95" s="196"/>
      <c r="F95" s="196"/>
      <c r="G95" s="196"/>
      <c r="H95" s="196"/>
      <c r="I95" s="196"/>
      <c r="J95" s="196"/>
      <c r="K95" s="196">
        <v>0</v>
      </c>
      <c r="L95" s="194">
        <v>0</v>
      </c>
      <c r="M95" s="196">
        <v>0</v>
      </c>
      <c r="N95" s="196">
        <v>734</v>
      </c>
      <c r="O95" s="196">
        <v>1116228</v>
      </c>
      <c r="P95" s="194">
        <v>0</v>
      </c>
      <c r="Q95" s="196">
        <v>0</v>
      </c>
      <c r="R95" s="200">
        <v>0</v>
      </c>
      <c r="S95" s="196">
        <v>0</v>
      </c>
      <c r="T95" s="197">
        <v>0</v>
      </c>
      <c r="U95" s="288">
        <v>0</v>
      </c>
      <c r="V95" s="282">
        <f>C95-'часть 1'!L106</f>
        <v>0</v>
      </c>
      <c r="W95" s="282"/>
      <c r="X95" s="28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296"/>
    </row>
    <row r="96" spans="1:35" ht="30">
      <c r="A96" s="198">
        <v>88</v>
      </c>
      <c r="B96" s="195" t="s">
        <v>457</v>
      </c>
      <c r="C96" s="196">
        <v>1313728</v>
      </c>
      <c r="D96" s="196"/>
      <c r="E96" s="196"/>
      <c r="F96" s="196"/>
      <c r="G96" s="196"/>
      <c r="H96" s="196"/>
      <c r="I96" s="196"/>
      <c r="J96" s="196"/>
      <c r="K96" s="196">
        <v>0</v>
      </c>
      <c r="L96" s="194">
        <v>0</v>
      </c>
      <c r="M96" s="196">
        <v>0</v>
      </c>
      <c r="N96" s="199">
        <v>660.7</v>
      </c>
      <c r="O96" s="196">
        <v>1313728</v>
      </c>
      <c r="P96" s="194">
        <v>0</v>
      </c>
      <c r="Q96" s="196">
        <v>0</v>
      </c>
      <c r="R96" s="197">
        <v>0</v>
      </c>
      <c r="S96" s="196">
        <v>0</v>
      </c>
      <c r="T96" s="197">
        <v>0</v>
      </c>
      <c r="U96" s="288">
        <v>0</v>
      </c>
      <c r="V96" s="282">
        <f>C96-'часть 1'!L107</f>
        <v>0</v>
      </c>
      <c r="W96" s="282"/>
      <c r="X96" s="28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296"/>
    </row>
    <row r="97" spans="1:35">
      <c r="A97" s="198">
        <v>89</v>
      </c>
      <c r="B97" s="195" t="s">
        <v>241</v>
      </c>
      <c r="C97" s="196">
        <v>359651</v>
      </c>
      <c r="D97" s="196"/>
      <c r="E97" s="196"/>
      <c r="F97" s="196"/>
      <c r="G97" s="196"/>
      <c r="H97" s="196"/>
      <c r="I97" s="196"/>
      <c r="J97" s="196"/>
      <c r="K97" s="196">
        <v>359651</v>
      </c>
      <c r="L97" s="194">
        <v>0</v>
      </c>
      <c r="M97" s="196">
        <v>0</v>
      </c>
      <c r="N97" s="196">
        <v>0</v>
      </c>
      <c r="O97" s="196">
        <v>0</v>
      </c>
      <c r="P97" s="194">
        <v>0</v>
      </c>
      <c r="Q97" s="196">
        <v>0</v>
      </c>
      <c r="R97" s="197">
        <v>0</v>
      </c>
      <c r="S97" s="196">
        <v>0</v>
      </c>
      <c r="T97" s="197">
        <v>0</v>
      </c>
      <c r="U97" s="288">
        <v>0</v>
      </c>
      <c r="V97" s="282">
        <f>C97-'часть 1'!L108</f>
        <v>0</v>
      </c>
      <c r="W97" s="282"/>
      <c r="X97" s="282"/>
      <c r="Y97" s="12"/>
      <c r="Z97" s="12"/>
      <c r="AA97" s="12"/>
      <c r="AB97" s="12"/>
      <c r="AC97" s="4"/>
      <c r="AD97" s="12"/>
      <c r="AE97" s="12"/>
      <c r="AF97" s="12"/>
      <c r="AG97" s="12"/>
      <c r="AH97" s="12"/>
      <c r="AI97" s="296"/>
    </row>
    <row r="98" spans="1:35">
      <c r="A98" s="198">
        <v>90</v>
      </c>
      <c r="B98" s="195" t="s">
        <v>233</v>
      </c>
      <c r="C98" s="196">
        <v>906779</v>
      </c>
      <c r="D98" s="196"/>
      <c r="E98" s="196"/>
      <c r="F98" s="196"/>
      <c r="G98" s="196"/>
      <c r="H98" s="196"/>
      <c r="I98" s="196"/>
      <c r="J98" s="196"/>
      <c r="K98" s="196">
        <v>906779</v>
      </c>
      <c r="L98" s="194">
        <v>0</v>
      </c>
      <c r="M98" s="196">
        <v>0</v>
      </c>
      <c r="N98" s="196">
        <v>0</v>
      </c>
      <c r="O98" s="196">
        <v>0</v>
      </c>
      <c r="P98" s="194">
        <v>0</v>
      </c>
      <c r="Q98" s="196">
        <v>0</v>
      </c>
      <c r="R98" s="197">
        <v>0</v>
      </c>
      <c r="S98" s="196">
        <v>0</v>
      </c>
      <c r="T98" s="197">
        <v>0</v>
      </c>
      <c r="U98" s="288">
        <v>0</v>
      </c>
      <c r="V98" s="282">
        <f>C98-'часть 1'!L109</f>
        <v>0</v>
      </c>
      <c r="W98" s="282"/>
      <c r="X98" s="28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296"/>
    </row>
    <row r="99" spans="1:35">
      <c r="A99" s="198">
        <v>91</v>
      </c>
      <c r="B99" s="195" t="s">
        <v>278</v>
      </c>
      <c r="C99" s="196">
        <v>886559</v>
      </c>
      <c r="D99" s="196"/>
      <c r="E99" s="196"/>
      <c r="F99" s="196"/>
      <c r="G99" s="196"/>
      <c r="H99" s="196"/>
      <c r="I99" s="196"/>
      <c r="J99" s="196"/>
      <c r="K99" s="196">
        <v>0</v>
      </c>
      <c r="L99" s="194">
        <v>0</v>
      </c>
      <c r="M99" s="196">
        <v>0</v>
      </c>
      <c r="N99" s="196">
        <v>440</v>
      </c>
      <c r="O99" s="199">
        <v>886559</v>
      </c>
      <c r="P99" s="194">
        <v>0</v>
      </c>
      <c r="Q99" s="196">
        <v>0</v>
      </c>
      <c r="R99" s="197">
        <v>0</v>
      </c>
      <c r="S99" s="196">
        <v>0</v>
      </c>
      <c r="T99" s="197">
        <v>0</v>
      </c>
      <c r="U99" s="288">
        <v>0</v>
      </c>
      <c r="V99" s="282">
        <f>C99-'часть 1'!L110</f>
        <v>0</v>
      </c>
      <c r="W99" s="282"/>
      <c r="X99" s="28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296"/>
    </row>
    <row r="100" spans="1:35">
      <c r="A100" s="198">
        <v>92</v>
      </c>
      <c r="B100" s="195" t="s">
        <v>347</v>
      </c>
      <c r="C100" s="196">
        <v>642210</v>
      </c>
      <c r="D100" s="196"/>
      <c r="E100" s="196"/>
      <c r="F100" s="196"/>
      <c r="G100" s="196"/>
      <c r="H100" s="196"/>
      <c r="I100" s="196"/>
      <c r="J100" s="196"/>
      <c r="K100" s="196">
        <v>0</v>
      </c>
      <c r="L100" s="194">
        <v>0</v>
      </c>
      <c r="M100" s="196">
        <v>0</v>
      </c>
      <c r="N100" s="196">
        <v>0</v>
      </c>
      <c r="O100" s="196">
        <v>0</v>
      </c>
      <c r="P100" s="194">
        <v>0</v>
      </c>
      <c r="Q100" s="196">
        <v>0</v>
      </c>
      <c r="R100" s="196">
        <v>440</v>
      </c>
      <c r="S100" s="196">
        <v>642210</v>
      </c>
      <c r="T100" s="197">
        <v>0</v>
      </c>
      <c r="U100" s="288">
        <v>0</v>
      </c>
      <c r="V100" s="282">
        <f>C100-'часть 1'!L111</f>
        <v>0</v>
      </c>
      <c r="W100" s="282"/>
      <c r="X100" s="28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296"/>
    </row>
    <row r="101" spans="1:35">
      <c r="A101" s="198">
        <v>93</v>
      </c>
      <c r="B101" s="195" t="s">
        <v>266</v>
      </c>
      <c r="C101" s="196">
        <v>1952489</v>
      </c>
      <c r="D101" s="196"/>
      <c r="E101" s="196"/>
      <c r="F101" s="196"/>
      <c r="G101" s="196"/>
      <c r="H101" s="196"/>
      <c r="I101" s="196"/>
      <c r="J101" s="196"/>
      <c r="K101" s="196">
        <v>0</v>
      </c>
      <c r="L101" s="194">
        <v>0</v>
      </c>
      <c r="M101" s="196">
        <v>0</v>
      </c>
      <c r="N101" s="196">
        <v>965</v>
      </c>
      <c r="O101" s="196">
        <v>1952489</v>
      </c>
      <c r="P101" s="194">
        <v>0</v>
      </c>
      <c r="Q101" s="196">
        <v>0</v>
      </c>
      <c r="R101" s="200">
        <v>0</v>
      </c>
      <c r="S101" s="196">
        <v>0</v>
      </c>
      <c r="T101" s="197">
        <v>0</v>
      </c>
      <c r="U101" s="288">
        <v>0</v>
      </c>
      <c r="V101" s="282">
        <f>C101-'часть 1'!L112</f>
        <v>0</v>
      </c>
      <c r="W101" s="282"/>
      <c r="X101" s="28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296"/>
    </row>
    <row r="102" spans="1:35">
      <c r="A102" s="198">
        <v>94</v>
      </c>
      <c r="B102" s="195" t="s">
        <v>310</v>
      </c>
      <c r="C102" s="196">
        <v>15157748</v>
      </c>
      <c r="D102" s="196"/>
      <c r="E102" s="196"/>
      <c r="F102" s="196"/>
      <c r="G102" s="196"/>
      <c r="H102" s="196"/>
      <c r="I102" s="196"/>
      <c r="J102" s="196"/>
      <c r="K102" s="196">
        <v>0</v>
      </c>
      <c r="L102" s="194">
        <v>8</v>
      </c>
      <c r="M102" s="196">
        <v>15157748</v>
      </c>
      <c r="N102" s="196">
        <v>0</v>
      </c>
      <c r="O102" s="196">
        <v>0</v>
      </c>
      <c r="P102" s="194">
        <v>0</v>
      </c>
      <c r="Q102" s="196">
        <v>0</v>
      </c>
      <c r="R102" s="197">
        <v>0</v>
      </c>
      <c r="S102" s="196">
        <v>0</v>
      </c>
      <c r="T102" s="197">
        <v>0</v>
      </c>
      <c r="U102" s="288">
        <v>0</v>
      </c>
      <c r="V102" s="282">
        <f>C102-'часть 1'!L113</f>
        <v>0</v>
      </c>
      <c r="W102" s="282"/>
      <c r="X102" s="28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296"/>
    </row>
    <row r="103" spans="1:35">
      <c r="A103" s="198">
        <v>95</v>
      </c>
      <c r="B103" s="195" t="s">
        <v>281</v>
      </c>
      <c r="C103" s="196">
        <v>2542298.37</v>
      </c>
      <c r="D103" s="196"/>
      <c r="E103" s="196"/>
      <c r="F103" s="196"/>
      <c r="G103" s="196"/>
      <c r="H103" s="196"/>
      <c r="I103" s="196"/>
      <c r="J103" s="196"/>
      <c r="K103" s="196">
        <v>0</v>
      </c>
      <c r="L103" s="194">
        <v>0</v>
      </c>
      <c r="M103" s="196">
        <v>0</v>
      </c>
      <c r="N103" s="196">
        <v>1350</v>
      </c>
      <c r="O103" s="196">
        <v>2542298.37</v>
      </c>
      <c r="P103" s="194">
        <v>0</v>
      </c>
      <c r="Q103" s="196">
        <v>0</v>
      </c>
      <c r="R103" s="197">
        <v>0</v>
      </c>
      <c r="S103" s="196">
        <v>0</v>
      </c>
      <c r="T103" s="197">
        <v>0</v>
      </c>
      <c r="U103" s="288">
        <v>0</v>
      </c>
      <c r="V103" s="282">
        <f>C103-'часть 1'!L114</f>
        <v>0</v>
      </c>
      <c r="W103" s="282"/>
      <c r="X103" s="28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296"/>
    </row>
    <row r="104" spans="1:35">
      <c r="A104" s="198">
        <v>96</v>
      </c>
      <c r="B104" s="195" t="s">
        <v>248</v>
      </c>
      <c r="C104" s="196">
        <v>1114586</v>
      </c>
      <c r="D104" s="196"/>
      <c r="E104" s="196"/>
      <c r="F104" s="196"/>
      <c r="G104" s="196"/>
      <c r="H104" s="196"/>
      <c r="I104" s="196"/>
      <c r="J104" s="196"/>
      <c r="K104" s="196">
        <v>0</v>
      </c>
      <c r="L104" s="194">
        <v>0</v>
      </c>
      <c r="M104" s="196">
        <v>0</v>
      </c>
      <c r="N104" s="196">
        <v>550</v>
      </c>
      <c r="O104" s="196">
        <v>1114586</v>
      </c>
      <c r="P104" s="194">
        <v>0</v>
      </c>
      <c r="Q104" s="196">
        <v>0</v>
      </c>
      <c r="R104" s="200">
        <v>0</v>
      </c>
      <c r="S104" s="196">
        <v>0</v>
      </c>
      <c r="T104" s="197">
        <v>0</v>
      </c>
      <c r="U104" s="288">
        <v>0</v>
      </c>
      <c r="V104" s="282">
        <f>C104-'часть 1'!L115</f>
        <v>0</v>
      </c>
      <c r="W104" s="282"/>
      <c r="X104" s="28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296"/>
    </row>
    <row r="105" spans="1:35">
      <c r="A105" s="198">
        <v>97</v>
      </c>
      <c r="B105" s="195" t="s">
        <v>301</v>
      </c>
      <c r="C105" s="196">
        <v>5623853</v>
      </c>
      <c r="D105" s="196"/>
      <c r="E105" s="196"/>
      <c r="F105" s="196"/>
      <c r="G105" s="196"/>
      <c r="H105" s="196"/>
      <c r="I105" s="196"/>
      <c r="J105" s="196"/>
      <c r="K105" s="196">
        <v>0</v>
      </c>
      <c r="L105" s="194">
        <v>3</v>
      </c>
      <c r="M105" s="202">
        <v>5623853</v>
      </c>
      <c r="N105" s="196">
        <v>0</v>
      </c>
      <c r="O105" s="196">
        <v>0</v>
      </c>
      <c r="P105" s="194">
        <v>0</v>
      </c>
      <c r="Q105" s="196">
        <v>0</v>
      </c>
      <c r="R105" s="200">
        <v>0</v>
      </c>
      <c r="S105" s="196">
        <v>0</v>
      </c>
      <c r="T105" s="197">
        <v>0</v>
      </c>
      <c r="U105" s="288">
        <v>0</v>
      </c>
      <c r="V105" s="282">
        <f>C105-'часть 1'!L116</f>
        <v>0</v>
      </c>
      <c r="W105" s="282"/>
      <c r="X105" s="28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296"/>
    </row>
    <row r="106" spans="1:35">
      <c r="A106" s="198">
        <v>98</v>
      </c>
      <c r="B106" s="195" t="s">
        <v>244</v>
      </c>
      <c r="C106" s="196">
        <v>2721106</v>
      </c>
      <c r="D106" s="196"/>
      <c r="E106" s="196"/>
      <c r="F106" s="196"/>
      <c r="G106" s="196"/>
      <c r="H106" s="196"/>
      <c r="I106" s="196"/>
      <c r="J106" s="196"/>
      <c r="K106" s="196">
        <v>0</v>
      </c>
      <c r="L106" s="194">
        <v>0</v>
      </c>
      <c r="M106" s="196">
        <v>0</v>
      </c>
      <c r="N106" s="196">
        <v>1371</v>
      </c>
      <c r="O106" s="196">
        <v>2721106</v>
      </c>
      <c r="P106" s="194">
        <v>0</v>
      </c>
      <c r="Q106" s="196">
        <v>0</v>
      </c>
      <c r="R106" s="197">
        <v>0</v>
      </c>
      <c r="S106" s="196">
        <v>0</v>
      </c>
      <c r="T106" s="197">
        <v>0</v>
      </c>
      <c r="U106" s="288">
        <v>0</v>
      </c>
      <c r="V106" s="282">
        <f>C106-'часть 1'!L117</f>
        <v>0</v>
      </c>
      <c r="W106" s="282"/>
      <c r="X106" s="28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296"/>
    </row>
    <row r="107" spans="1:35">
      <c r="A107" s="198">
        <v>99</v>
      </c>
      <c r="B107" s="195" t="s">
        <v>288</v>
      </c>
      <c r="C107" s="196">
        <v>9789326.5500000007</v>
      </c>
      <c r="D107" s="196"/>
      <c r="E107" s="196"/>
      <c r="F107" s="196"/>
      <c r="G107" s="196"/>
      <c r="H107" s="196"/>
      <c r="I107" s="196"/>
      <c r="J107" s="196"/>
      <c r="K107" s="196">
        <v>6592990.5599999996</v>
      </c>
      <c r="L107" s="194">
        <v>0</v>
      </c>
      <c r="M107" s="196">
        <v>0</v>
      </c>
      <c r="N107" s="196">
        <v>2090</v>
      </c>
      <c r="O107" s="196">
        <v>3196335.99</v>
      </c>
      <c r="P107" s="194">
        <v>0</v>
      </c>
      <c r="Q107" s="196">
        <v>0</v>
      </c>
      <c r="R107" s="197">
        <v>0</v>
      </c>
      <c r="S107" s="196">
        <v>0</v>
      </c>
      <c r="T107" s="197">
        <v>0</v>
      </c>
      <c r="U107" s="288">
        <v>0</v>
      </c>
      <c r="V107" s="282">
        <f>C107-'часть 1'!L118</f>
        <v>0</v>
      </c>
      <c r="W107" s="282"/>
      <c r="X107" s="28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296"/>
    </row>
    <row r="108" spans="1:35">
      <c r="A108" s="198">
        <v>100</v>
      </c>
      <c r="B108" s="195" t="s">
        <v>249</v>
      </c>
      <c r="C108" s="196">
        <v>1615074</v>
      </c>
      <c r="D108" s="196"/>
      <c r="E108" s="196"/>
      <c r="F108" s="196"/>
      <c r="G108" s="196"/>
      <c r="H108" s="196"/>
      <c r="I108" s="196"/>
      <c r="J108" s="196"/>
      <c r="K108" s="196" t="e">
        <f>#REF!</f>
        <v>#REF!</v>
      </c>
      <c r="L108" s="194">
        <v>0</v>
      </c>
      <c r="M108" s="196">
        <v>0</v>
      </c>
      <c r="N108" s="196">
        <v>0</v>
      </c>
      <c r="O108" s="196">
        <v>0</v>
      </c>
      <c r="P108" s="194">
        <v>0</v>
      </c>
      <c r="Q108" s="196">
        <v>0</v>
      </c>
      <c r="R108" s="200">
        <v>0</v>
      </c>
      <c r="S108" s="196">
        <v>0</v>
      </c>
      <c r="T108" s="197">
        <v>0</v>
      </c>
      <c r="U108" s="288">
        <v>0</v>
      </c>
      <c r="V108" s="282">
        <f>C108-'часть 1'!L119</f>
        <v>0</v>
      </c>
      <c r="W108" s="282"/>
      <c r="X108" s="28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296"/>
    </row>
    <row r="109" spans="1:35">
      <c r="A109" s="198">
        <v>101</v>
      </c>
      <c r="B109" s="195" t="s">
        <v>265</v>
      </c>
      <c r="C109" s="196">
        <v>824390</v>
      </c>
      <c r="D109" s="196"/>
      <c r="E109" s="196"/>
      <c r="F109" s="196"/>
      <c r="G109" s="196"/>
      <c r="H109" s="196"/>
      <c r="I109" s="196"/>
      <c r="J109" s="196"/>
      <c r="K109" s="196">
        <v>824390</v>
      </c>
      <c r="L109" s="194">
        <v>0</v>
      </c>
      <c r="M109" s="196">
        <v>0</v>
      </c>
      <c r="N109" s="196">
        <v>0</v>
      </c>
      <c r="O109" s="196">
        <v>0</v>
      </c>
      <c r="P109" s="194">
        <v>0</v>
      </c>
      <c r="Q109" s="196">
        <v>0</v>
      </c>
      <c r="R109" s="197">
        <v>0</v>
      </c>
      <c r="S109" s="196">
        <v>0</v>
      </c>
      <c r="T109" s="197">
        <v>0</v>
      </c>
      <c r="U109" s="288">
        <v>0</v>
      </c>
      <c r="V109" s="282">
        <f>C109-'часть 1'!L120</f>
        <v>0</v>
      </c>
      <c r="W109" s="282"/>
      <c r="X109" s="282"/>
      <c r="Y109" s="12"/>
      <c r="Z109" s="12"/>
      <c r="AA109" s="4"/>
      <c r="AB109" s="12"/>
      <c r="AC109" s="12"/>
      <c r="AD109" s="12"/>
      <c r="AE109" s="12"/>
      <c r="AF109" s="12"/>
      <c r="AG109" s="12"/>
      <c r="AH109" s="12"/>
      <c r="AI109" s="296"/>
    </row>
    <row r="110" spans="1:35">
      <c r="A110" s="198">
        <v>102</v>
      </c>
      <c r="B110" s="195" t="s">
        <v>292</v>
      </c>
      <c r="C110" s="196">
        <v>2661189</v>
      </c>
      <c r="D110" s="196"/>
      <c r="E110" s="196"/>
      <c r="F110" s="196"/>
      <c r="G110" s="196"/>
      <c r="H110" s="196"/>
      <c r="I110" s="196"/>
      <c r="J110" s="196"/>
      <c r="K110" s="196">
        <v>0</v>
      </c>
      <c r="L110" s="194">
        <v>0</v>
      </c>
      <c r="M110" s="196">
        <v>0</v>
      </c>
      <c r="N110" s="196">
        <v>1338.7</v>
      </c>
      <c r="O110" s="196">
        <v>2661189</v>
      </c>
      <c r="P110" s="194">
        <v>0</v>
      </c>
      <c r="Q110" s="196">
        <v>0</v>
      </c>
      <c r="R110" s="200">
        <v>0</v>
      </c>
      <c r="S110" s="196">
        <v>0</v>
      </c>
      <c r="T110" s="197">
        <v>0</v>
      </c>
      <c r="U110" s="288">
        <v>0</v>
      </c>
      <c r="V110" s="282">
        <f>C110-'часть 1'!L121</f>
        <v>0</v>
      </c>
      <c r="W110" s="282"/>
      <c r="X110" s="28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296"/>
    </row>
    <row r="111" spans="1:35">
      <c r="A111" s="198">
        <v>103</v>
      </c>
      <c r="B111" s="195" t="s">
        <v>276</v>
      </c>
      <c r="C111" s="196">
        <v>278220</v>
      </c>
      <c r="D111" s="196"/>
      <c r="E111" s="196"/>
      <c r="F111" s="196"/>
      <c r="G111" s="196"/>
      <c r="H111" s="196"/>
      <c r="I111" s="196"/>
      <c r="J111" s="196"/>
      <c r="K111" s="196">
        <v>278220</v>
      </c>
      <c r="L111" s="194">
        <v>0</v>
      </c>
      <c r="M111" s="196">
        <v>0</v>
      </c>
      <c r="N111" s="196">
        <v>0</v>
      </c>
      <c r="O111" s="196">
        <v>0</v>
      </c>
      <c r="P111" s="194">
        <v>0</v>
      </c>
      <c r="Q111" s="196">
        <v>0</v>
      </c>
      <c r="R111" s="197">
        <v>0</v>
      </c>
      <c r="S111" s="196">
        <v>0</v>
      </c>
      <c r="T111" s="197">
        <v>0</v>
      </c>
      <c r="U111" s="288">
        <v>0</v>
      </c>
      <c r="V111" s="282">
        <f>C111-'часть 1'!L122</f>
        <v>0</v>
      </c>
      <c r="W111" s="282"/>
      <c r="X111" s="28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296"/>
    </row>
    <row r="112" spans="1:35">
      <c r="A112" s="198">
        <v>104</v>
      </c>
      <c r="B112" s="195" t="s">
        <v>229</v>
      </c>
      <c r="C112" s="196">
        <v>2511472</v>
      </c>
      <c r="D112" s="196"/>
      <c r="E112" s="196"/>
      <c r="F112" s="196"/>
      <c r="G112" s="196"/>
      <c r="H112" s="196"/>
      <c r="I112" s="196"/>
      <c r="J112" s="196"/>
      <c r="K112" s="196">
        <v>2511472</v>
      </c>
      <c r="L112" s="194">
        <v>0</v>
      </c>
      <c r="M112" s="196">
        <v>0</v>
      </c>
      <c r="N112" s="196">
        <v>0</v>
      </c>
      <c r="O112" s="196">
        <v>0</v>
      </c>
      <c r="P112" s="194">
        <v>0</v>
      </c>
      <c r="Q112" s="196">
        <v>0</v>
      </c>
      <c r="R112" s="197">
        <v>0</v>
      </c>
      <c r="S112" s="196">
        <v>0</v>
      </c>
      <c r="T112" s="197">
        <v>0</v>
      </c>
      <c r="U112" s="288">
        <v>0</v>
      </c>
      <c r="V112" s="282">
        <f>C112-'часть 1'!L123</f>
        <v>0</v>
      </c>
      <c r="W112" s="282"/>
      <c r="X112" s="28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296"/>
    </row>
    <row r="113" spans="1:35" ht="30">
      <c r="A113" s="198">
        <v>105</v>
      </c>
      <c r="B113" s="195" t="s">
        <v>309</v>
      </c>
      <c r="C113" s="196">
        <v>871988</v>
      </c>
      <c r="D113" s="196"/>
      <c r="E113" s="196"/>
      <c r="F113" s="196"/>
      <c r="G113" s="196"/>
      <c r="H113" s="196"/>
      <c r="I113" s="196"/>
      <c r="J113" s="196"/>
      <c r="K113" s="196">
        <v>0</v>
      </c>
      <c r="L113" s="194">
        <v>0</v>
      </c>
      <c r="M113" s="196">
        <v>0</v>
      </c>
      <c r="N113" s="196">
        <v>438.23</v>
      </c>
      <c r="O113" s="196">
        <v>871988</v>
      </c>
      <c r="P113" s="194">
        <v>0</v>
      </c>
      <c r="Q113" s="196">
        <v>0</v>
      </c>
      <c r="R113" s="197">
        <v>0</v>
      </c>
      <c r="S113" s="196">
        <v>0</v>
      </c>
      <c r="T113" s="197">
        <v>0</v>
      </c>
      <c r="U113" s="288">
        <v>0</v>
      </c>
      <c r="V113" s="282">
        <f>C113-'часть 1'!L124</f>
        <v>0</v>
      </c>
      <c r="W113" s="282"/>
      <c r="X113" s="28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296"/>
    </row>
    <row r="114" spans="1:35" ht="30">
      <c r="A114" s="198">
        <v>106</v>
      </c>
      <c r="B114" s="195" t="s">
        <v>308</v>
      </c>
      <c r="C114" s="196">
        <v>2113335</v>
      </c>
      <c r="D114" s="196"/>
      <c r="E114" s="196"/>
      <c r="F114" s="196"/>
      <c r="G114" s="196"/>
      <c r="H114" s="196"/>
      <c r="I114" s="196"/>
      <c r="J114" s="196"/>
      <c r="K114" s="196" t="e">
        <f>#REF!</f>
        <v>#REF!</v>
      </c>
      <c r="L114" s="194">
        <v>0</v>
      </c>
      <c r="M114" s="196">
        <v>0</v>
      </c>
      <c r="N114" s="196">
        <v>0</v>
      </c>
      <c r="O114" s="196">
        <v>0</v>
      </c>
      <c r="P114" s="194">
        <v>0</v>
      </c>
      <c r="Q114" s="196">
        <v>0</v>
      </c>
      <c r="R114" s="197">
        <v>0</v>
      </c>
      <c r="S114" s="196">
        <v>0</v>
      </c>
      <c r="T114" s="197">
        <v>0</v>
      </c>
      <c r="U114" s="288">
        <v>0</v>
      </c>
      <c r="V114" s="282">
        <f>C114-'часть 1'!L125</f>
        <v>0</v>
      </c>
      <c r="W114" s="282"/>
      <c r="X114" s="28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296"/>
    </row>
    <row r="115" spans="1:35">
      <c r="A115" s="198">
        <v>107</v>
      </c>
      <c r="B115" s="195" t="s">
        <v>296</v>
      </c>
      <c r="C115" s="196">
        <v>996585</v>
      </c>
      <c r="D115" s="196"/>
      <c r="E115" s="196"/>
      <c r="F115" s="196"/>
      <c r="G115" s="196"/>
      <c r="H115" s="196"/>
      <c r="I115" s="196"/>
      <c r="J115" s="196"/>
      <c r="K115" s="196">
        <v>0</v>
      </c>
      <c r="L115" s="194">
        <v>0</v>
      </c>
      <c r="M115" s="196">
        <v>0</v>
      </c>
      <c r="N115" s="196">
        <v>496.2</v>
      </c>
      <c r="O115" s="196">
        <v>996585</v>
      </c>
      <c r="P115" s="194">
        <v>0</v>
      </c>
      <c r="Q115" s="196">
        <v>0</v>
      </c>
      <c r="R115" s="197">
        <v>0</v>
      </c>
      <c r="S115" s="196">
        <v>0</v>
      </c>
      <c r="T115" s="197">
        <v>0</v>
      </c>
      <c r="U115" s="288">
        <v>0</v>
      </c>
      <c r="V115" s="282">
        <f>C115-'часть 1'!L126</f>
        <v>0</v>
      </c>
      <c r="W115" s="282"/>
      <c r="X115" s="28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296"/>
    </row>
    <row r="116" spans="1:35">
      <c r="A116" s="198">
        <v>108</v>
      </c>
      <c r="B116" s="195" t="s">
        <v>240</v>
      </c>
      <c r="C116" s="196">
        <v>637739</v>
      </c>
      <c r="D116" s="196"/>
      <c r="E116" s="196"/>
      <c r="F116" s="196"/>
      <c r="G116" s="196"/>
      <c r="H116" s="196"/>
      <c r="I116" s="196"/>
      <c r="J116" s="196"/>
      <c r="K116" s="196">
        <v>637739</v>
      </c>
      <c r="L116" s="194">
        <v>0</v>
      </c>
      <c r="M116" s="196">
        <v>0</v>
      </c>
      <c r="N116" s="196">
        <v>0</v>
      </c>
      <c r="O116" s="196">
        <v>0</v>
      </c>
      <c r="P116" s="194">
        <v>0</v>
      </c>
      <c r="Q116" s="196">
        <v>0</v>
      </c>
      <c r="R116" s="197">
        <v>0</v>
      </c>
      <c r="S116" s="196">
        <v>0</v>
      </c>
      <c r="T116" s="197">
        <v>0</v>
      </c>
      <c r="U116" s="288">
        <v>0</v>
      </c>
      <c r="V116" s="282">
        <f>C116-'часть 1'!L127</f>
        <v>0</v>
      </c>
      <c r="W116" s="282"/>
      <c r="X116" s="28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296"/>
    </row>
    <row r="117" spans="1:35">
      <c r="A117" s="198">
        <v>109</v>
      </c>
      <c r="B117" s="195" t="s">
        <v>243</v>
      </c>
      <c r="C117" s="196">
        <v>1357217</v>
      </c>
      <c r="D117" s="196"/>
      <c r="E117" s="196"/>
      <c r="F117" s="196"/>
      <c r="G117" s="196"/>
      <c r="H117" s="196"/>
      <c r="I117" s="196"/>
      <c r="J117" s="196"/>
      <c r="K117" s="196">
        <v>0</v>
      </c>
      <c r="L117" s="194">
        <v>0</v>
      </c>
      <c r="M117" s="196">
        <v>0</v>
      </c>
      <c r="N117" s="196">
        <v>675</v>
      </c>
      <c r="O117" s="196">
        <v>1357217</v>
      </c>
      <c r="P117" s="194">
        <v>0</v>
      </c>
      <c r="Q117" s="196">
        <v>0</v>
      </c>
      <c r="R117" s="197">
        <v>0</v>
      </c>
      <c r="S117" s="196">
        <v>0</v>
      </c>
      <c r="T117" s="197">
        <v>0</v>
      </c>
      <c r="U117" s="288">
        <v>0</v>
      </c>
      <c r="V117" s="282">
        <f>C117-'часть 1'!L128</f>
        <v>0</v>
      </c>
      <c r="W117" s="282"/>
      <c r="X117" s="28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296"/>
    </row>
    <row r="118" spans="1:35">
      <c r="A118" s="198">
        <v>110</v>
      </c>
      <c r="B118" s="195" t="s">
        <v>269</v>
      </c>
      <c r="C118" s="196">
        <v>836226</v>
      </c>
      <c r="D118" s="196"/>
      <c r="E118" s="196"/>
      <c r="F118" s="196"/>
      <c r="G118" s="196"/>
      <c r="H118" s="196"/>
      <c r="I118" s="196"/>
      <c r="J118" s="196"/>
      <c r="K118" s="196">
        <v>0</v>
      </c>
      <c r="L118" s="194">
        <v>0</v>
      </c>
      <c r="M118" s="196">
        <v>0</v>
      </c>
      <c r="N118" s="196">
        <v>414.1</v>
      </c>
      <c r="O118" s="199">
        <v>836226</v>
      </c>
      <c r="P118" s="194">
        <v>0</v>
      </c>
      <c r="Q118" s="196">
        <v>0</v>
      </c>
      <c r="R118" s="197">
        <v>0</v>
      </c>
      <c r="S118" s="196">
        <v>0</v>
      </c>
      <c r="T118" s="197">
        <v>0</v>
      </c>
      <c r="U118" s="288">
        <v>0</v>
      </c>
      <c r="V118" s="282">
        <f>C118-'часть 1'!L129</f>
        <v>0</v>
      </c>
      <c r="W118" s="282"/>
      <c r="X118" s="28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296"/>
    </row>
    <row r="119" spans="1:35">
      <c r="A119" s="198">
        <v>111</v>
      </c>
      <c r="B119" s="195" t="s">
        <v>299</v>
      </c>
      <c r="C119" s="196">
        <v>640078</v>
      </c>
      <c r="D119" s="196"/>
      <c r="E119" s="196"/>
      <c r="F119" s="196"/>
      <c r="G119" s="196"/>
      <c r="H119" s="196"/>
      <c r="I119" s="196"/>
      <c r="J119" s="196"/>
      <c r="K119" s="196">
        <v>640078</v>
      </c>
      <c r="L119" s="194">
        <v>0</v>
      </c>
      <c r="M119" s="196">
        <v>0</v>
      </c>
      <c r="N119" s="196">
        <v>0</v>
      </c>
      <c r="O119" s="196">
        <v>0</v>
      </c>
      <c r="P119" s="194">
        <v>0</v>
      </c>
      <c r="Q119" s="196">
        <v>0</v>
      </c>
      <c r="R119" s="197">
        <v>0</v>
      </c>
      <c r="S119" s="196">
        <v>0</v>
      </c>
      <c r="T119" s="197">
        <v>0</v>
      </c>
      <c r="U119" s="288">
        <v>0</v>
      </c>
      <c r="V119" s="282">
        <f>C119-'часть 1'!L130</f>
        <v>0</v>
      </c>
      <c r="W119" s="282"/>
      <c r="X119" s="28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296"/>
    </row>
    <row r="120" spans="1:35">
      <c r="A120" s="198">
        <v>112</v>
      </c>
      <c r="B120" s="195" t="s">
        <v>236</v>
      </c>
      <c r="C120" s="196">
        <v>202649</v>
      </c>
      <c r="D120" s="196"/>
      <c r="E120" s="196"/>
      <c r="F120" s="196"/>
      <c r="G120" s="196"/>
      <c r="H120" s="196"/>
      <c r="I120" s="196"/>
      <c r="J120" s="196"/>
      <c r="K120" s="196" t="e">
        <f>#REF!</f>
        <v>#REF!</v>
      </c>
      <c r="L120" s="194">
        <v>0</v>
      </c>
      <c r="M120" s="196">
        <v>0</v>
      </c>
      <c r="N120" s="196">
        <v>0</v>
      </c>
      <c r="O120" s="196">
        <v>0</v>
      </c>
      <c r="P120" s="194">
        <v>0</v>
      </c>
      <c r="Q120" s="196">
        <v>0</v>
      </c>
      <c r="R120" s="200">
        <v>0</v>
      </c>
      <c r="S120" s="196">
        <v>0</v>
      </c>
      <c r="T120" s="197">
        <v>0</v>
      </c>
      <c r="U120" s="288">
        <v>0</v>
      </c>
      <c r="V120" s="282">
        <f>C120-'часть 1'!L131</f>
        <v>0</v>
      </c>
      <c r="W120" s="282"/>
      <c r="X120" s="28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296"/>
    </row>
    <row r="121" spans="1:35">
      <c r="A121" s="198">
        <v>113</v>
      </c>
      <c r="B121" s="195" t="s">
        <v>285</v>
      </c>
      <c r="C121" s="196">
        <v>7892437</v>
      </c>
      <c r="D121" s="196"/>
      <c r="E121" s="196"/>
      <c r="F121" s="196"/>
      <c r="G121" s="196"/>
      <c r="H121" s="196"/>
      <c r="I121" s="196"/>
      <c r="J121" s="196"/>
      <c r="K121" s="196">
        <v>7892437</v>
      </c>
      <c r="L121" s="194">
        <v>0</v>
      </c>
      <c r="M121" s="196">
        <v>0</v>
      </c>
      <c r="N121" s="196">
        <v>0</v>
      </c>
      <c r="O121" s="196">
        <v>0</v>
      </c>
      <c r="P121" s="194">
        <v>0</v>
      </c>
      <c r="Q121" s="196">
        <v>0</v>
      </c>
      <c r="R121" s="197">
        <v>0</v>
      </c>
      <c r="S121" s="196">
        <v>0</v>
      </c>
      <c r="T121" s="197">
        <v>0</v>
      </c>
      <c r="U121" s="288">
        <v>0</v>
      </c>
      <c r="V121" s="282">
        <f>C121-'часть 1'!L132</f>
        <v>0</v>
      </c>
      <c r="W121" s="282"/>
      <c r="X121" s="28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296"/>
    </row>
    <row r="122" spans="1:35">
      <c r="A122" s="198">
        <v>114</v>
      </c>
      <c r="B122" s="195" t="s">
        <v>237</v>
      </c>
      <c r="C122" s="196">
        <v>523389</v>
      </c>
      <c r="D122" s="196"/>
      <c r="E122" s="196"/>
      <c r="F122" s="196"/>
      <c r="G122" s="196"/>
      <c r="H122" s="196"/>
      <c r="I122" s="196"/>
      <c r="J122" s="196"/>
      <c r="K122" s="196">
        <v>0</v>
      </c>
      <c r="L122" s="194">
        <v>0</v>
      </c>
      <c r="M122" s="196">
        <v>0</v>
      </c>
      <c r="N122" s="196">
        <v>255</v>
      </c>
      <c r="O122" s="196">
        <v>523389</v>
      </c>
      <c r="P122" s="194">
        <v>0</v>
      </c>
      <c r="Q122" s="196">
        <v>0</v>
      </c>
      <c r="R122" s="200">
        <v>0</v>
      </c>
      <c r="S122" s="196">
        <v>0</v>
      </c>
      <c r="T122" s="197">
        <v>0</v>
      </c>
      <c r="U122" s="288">
        <v>0</v>
      </c>
      <c r="V122" s="282">
        <f>C122-'часть 1'!L133</f>
        <v>0</v>
      </c>
      <c r="W122" s="282"/>
      <c r="X122" s="28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296"/>
    </row>
    <row r="123" spans="1:35">
      <c r="A123" s="198">
        <v>115</v>
      </c>
      <c r="B123" s="195" t="s">
        <v>264</v>
      </c>
      <c r="C123" s="196">
        <v>1038920</v>
      </c>
      <c r="D123" s="196"/>
      <c r="E123" s="196"/>
      <c r="F123" s="196"/>
      <c r="G123" s="196"/>
      <c r="H123" s="196"/>
      <c r="I123" s="196"/>
      <c r="J123" s="196"/>
      <c r="K123" s="196">
        <v>1038920</v>
      </c>
      <c r="L123" s="194">
        <v>0</v>
      </c>
      <c r="M123" s="196">
        <v>0</v>
      </c>
      <c r="N123" s="196">
        <v>0</v>
      </c>
      <c r="O123" s="196">
        <v>0</v>
      </c>
      <c r="P123" s="194">
        <v>0</v>
      </c>
      <c r="Q123" s="196">
        <v>0</v>
      </c>
      <c r="R123" s="197">
        <v>0</v>
      </c>
      <c r="S123" s="196">
        <v>0</v>
      </c>
      <c r="T123" s="197">
        <v>0</v>
      </c>
      <c r="U123" s="288">
        <v>0</v>
      </c>
      <c r="V123" s="282">
        <f>C123-'часть 1'!L134</f>
        <v>0</v>
      </c>
      <c r="W123" s="282"/>
      <c r="X123" s="282"/>
      <c r="Y123" s="12"/>
      <c r="Z123" s="12"/>
      <c r="AA123" s="12"/>
      <c r="AB123" s="12"/>
      <c r="AC123" s="4"/>
      <c r="AD123" s="12"/>
      <c r="AE123" s="12"/>
      <c r="AF123" s="12"/>
      <c r="AG123" s="12"/>
      <c r="AH123" s="12"/>
      <c r="AI123" s="296"/>
    </row>
    <row r="124" spans="1:35">
      <c r="A124" s="194">
        <v>116</v>
      </c>
      <c r="B124" s="195" t="s">
        <v>258</v>
      </c>
      <c r="C124" s="196">
        <v>1742553</v>
      </c>
      <c r="D124" s="196"/>
      <c r="E124" s="196"/>
      <c r="F124" s="196"/>
      <c r="G124" s="196"/>
      <c r="H124" s="196"/>
      <c r="I124" s="196"/>
      <c r="J124" s="196"/>
      <c r="K124" s="196">
        <v>0</v>
      </c>
      <c r="L124" s="194">
        <v>0</v>
      </c>
      <c r="M124" s="196">
        <v>0</v>
      </c>
      <c r="N124" s="196">
        <v>874.22</v>
      </c>
      <c r="O124" s="199">
        <v>1742553</v>
      </c>
      <c r="P124" s="194">
        <v>0</v>
      </c>
      <c r="Q124" s="196">
        <v>0</v>
      </c>
      <c r="R124" s="197">
        <v>0</v>
      </c>
      <c r="S124" s="196">
        <v>0</v>
      </c>
      <c r="T124" s="197">
        <v>0</v>
      </c>
      <c r="U124" s="288">
        <v>0</v>
      </c>
      <c r="V124" s="282">
        <f>C124-'часть 1'!L135</f>
        <v>0</v>
      </c>
      <c r="W124" s="282"/>
      <c r="X124" s="28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296"/>
    </row>
    <row r="125" spans="1:35">
      <c r="A125" s="194">
        <v>117</v>
      </c>
      <c r="B125" s="195" t="s">
        <v>250</v>
      </c>
      <c r="C125" s="196">
        <v>2124581</v>
      </c>
      <c r="D125" s="196"/>
      <c r="E125" s="196"/>
      <c r="F125" s="196"/>
      <c r="G125" s="196"/>
      <c r="H125" s="196"/>
      <c r="I125" s="196"/>
      <c r="J125" s="196"/>
      <c r="K125" s="196">
        <v>0</v>
      </c>
      <c r="L125" s="194">
        <v>0</v>
      </c>
      <c r="M125" s="196">
        <v>0</v>
      </c>
      <c r="N125" s="196">
        <v>1070</v>
      </c>
      <c r="O125" s="199">
        <v>2124581</v>
      </c>
      <c r="P125" s="194">
        <v>0</v>
      </c>
      <c r="Q125" s="196">
        <v>0</v>
      </c>
      <c r="R125" s="200">
        <v>0</v>
      </c>
      <c r="S125" s="196">
        <v>0</v>
      </c>
      <c r="T125" s="197">
        <v>0</v>
      </c>
      <c r="U125" s="288">
        <v>0</v>
      </c>
      <c r="V125" s="282">
        <f>C125-'часть 1'!L136</f>
        <v>0</v>
      </c>
      <c r="W125" s="282"/>
      <c r="X125" s="28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296"/>
    </row>
    <row r="126" spans="1:35">
      <c r="A126" s="194">
        <v>118</v>
      </c>
      <c r="B126" s="195" t="s">
        <v>282</v>
      </c>
      <c r="C126" s="196">
        <v>2347478</v>
      </c>
      <c r="D126" s="196"/>
      <c r="E126" s="196"/>
      <c r="F126" s="196"/>
      <c r="G126" s="196"/>
      <c r="H126" s="196"/>
      <c r="I126" s="196"/>
      <c r="J126" s="196"/>
      <c r="K126" s="196">
        <v>0</v>
      </c>
      <c r="L126" s="194">
        <v>0</v>
      </c>
      <c r="M126" s="196">
        <v>0</v>
      </c>
      <c r="N126" s="196">
        <v>1185.07</v>
      </c>
      <c r="O126" s="196">
        <v>2347478</v>
      </c>
      <c r="P126" s="194">
        <v>0</v>
      </c>
      <c r="Q126" s="196">
        <v>0</v>
      </c>
      <c r="R126" s="197">
        <v>0</v>
      </c>
      <c r="S126" s="196">
        <v>0</v>
      </c>
      <c r="T126" s="197">
        <v>0</v>
      </c>
      <c r="U126" s="288">
        <v>0</v>
      </c>
      <c r="V126" s="282">
        <f>C126-'часть 1'!L137</f>
        <v>0</v>
      </c>
      <c r="W126" s="282"/>
      <c r="X126" s="28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296"/>
    </row>
    <row r="127" spans="1:35">
      <c r="A127" s="194">
        <v>119</v>
      </c>
      <c r="B127" s="195" t="s">
        <v>267</v>
      </c>
      <c r="C127" s="196">
        <v>2468472</v>
      </c>
      <c r="D127" s="196"/>
      <c r="E127" s="196"/>
      <c r="F127" s="196"/>
      <c r="G127" s="196"/>
      <c r="H127" s="196"/>
      <c r="I127" s="196"/>
      <c r="J127" s="196"/>
      <c r="K127" s="196">
        <v>0</v>
      </c>
      <c r="L127" s="194">
        <v>0</v>
      </c>
      <c r="M127" s="196">
        <v>0</v>
      </c>
      <c r="N127" s="199">
        <v>1246.5</v>
      </c>
      <c r="O127" s="196">
        <v>2468472</v>
      </c>
      <c r="P127" s="194">
        <v>0</v>
      </c>
      <c r="Q127" s="196">
        <v>0</v>
      </c>
      <c r="R127" s="197">
        <v>0</v>
      </c>
      <c r="S127" s="196">
        <v>0</v>
      </c>
      <c r="T127" s="197">
        <v>0</v>
      </c>
      <c r="U127" s="288">
        <v>0</v>
      </c>
      <c r="V127" s="282">
        <f>C127-'часть 1'!L138</f>
        <v>0</v>
      </c>
      <c r="W127" s="282"/>
      <c r="X127" s="28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296"/>
    </row>
    <row r="128" spans="1:35">
      <c r="A128" s="194">
        <v>120</v>
      </c>
      <c r="B128" s="195" t="s">
        <v>284</v>
      </c>
      <c r="C128" s="196">
        <v>1612780</v>
      </c>
      <c r="D128" s="196"/>
      <c r="E128" s="196"/>
      <c r="F128" s="196"/>
      <c r="G128" s="196"/>
      <c r="H128" s="196"/>
      <c r="I128" s="196"/>
      <c r="J128" s="196"/>
      <c r="K128" s="196">
        <v>0</v>
      </c>
      <c r="L128" s="194">
        <v>0</v>
      </c>
      <c r="M128" s="196">
        <v>0</v>
      </c>
      <c r="N128" s="196">
        <v>810.5</v>
      </c>
      <c r="O128" s="196">
        <v>1612780</v>
      </c>
      <c r="P128" s="194">
        <v>0</v>
      </c>
      <c r="Q128" s="196">
        <v>0</v>
      </c>
      <c r="R128" s="197">
        <v>0</v>
      </c>
      <c r="S128" s="196">
        <v>0</v>
      </c>
      <c r="T128" s="197">
        <v>0</v>
      </c>
      <c r="U128" s="288">
        <v>0</v>
      </c>
      <c r="V128" s="282">
        <f>C128-'часть 1'!L139</f>
        <v>0</v>
      </c>
      <c r="W128" s="282"/>
      <c r="X128" s="28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296"/>
    </row>
    <row r="129" spans="1:35">
      <c r="A129" s="194">
        <v>121</v>
      </c>
      <c r="B129" s="195" t="s">
        <v>256</v>
      </c>
      <c r="C129" s="196">
        <v>2580419</v>
      </c>
      <c r="D129" s="196"/>
      <c r="E129" s="196"/>
      <c r="F129" s="196"/>
      <c r="G129" s="196"/>
      <c r="H129" s="196"/>
      <c r="I129" s="196"/>
      <c r="J129" s="196"/>
      <c r="K129" s="196">
        <v>0</v>
      </c>
      <c r="L129" s="194">
        <v>0</v>
      </c>
      <c r="M129" s="196">
        <v>0</v>
      </c>
      <c r="N129" s="196">
        <v>786.3</v>
      </c>
      <c r="O129" s="196">
        <v>1565675</v>
      </c>
      <c r="P129" s="194">
        <v>0</v>
      </c>
      <c r="Q129" s="196">
        <v>0</v>
      </c>
      <c r="R129" s="196">
        <v>700</v>
      </c>
      <c r="S129" s="196">
        <v>1014744</v>
      </c>
      <c r="T129" s="197">
        <v>0</v>
      </c>
      <c r="U129" s="288">
        <v>0</v>
      </c>
      <c r="V129" s="282">
        <f>C129-'часть 1'!L140</f>
        <v>0</v>
      </c>
      <c r="W129" s="282"/>
      <c r="X129" s="28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296"/>
    </row>
    <row r="130" spans="1:35">
      <c r="A130" s="194">
        <v>122</v>
      </c>
      <c r="B130" s="195" t="s">
        <v>335</v>
      </c>
      <c r="C130" s="196">
        <v>1681645</v>
      </c>
      <c r="D130" s="196"/>
      <c r="E130" s="196"/>
      <c r="F130" s="196"/>
      <c r="G130" s="196"/>
      <c r="H130" s="196"/>
      <c r="I130" s="196"/>
      <c r="J130" s="196"/>
      <c r="K130" s="196">
        <v>0</v>
      </c>
      <c r="L130" s="194">
        <v>0</v>
      </c>
      <c r="M130" s="196">
        <v>0</v>
      </c>
      <c r="N130" s="196">
        <v>848.59</v>
      </c>
      <c r="O130" s="196">
        <v>1681645</v>
      </c>
      <c r="P130" s="194">
        <v>0</v>
      </c>
      <c r="Q130" s="196">
        <v>0</v>
      </c>
      <c r="R130" s="200">
        <v>0</v>
      </c>
      <c r="S130" s="196">
        <v>0</v>
      </c>
      <c r="T130" s="197">
        <v>0</v>
      </c>
      <c r="U130" s="288">
        <v>0</v>
      </c>
      <c r="V130" s="282">
        <f>C130-'часть 1'!L141</f>
        <v>0</v>
      </c>
      <c r="W130" s="282"/>
      <c r="X130" s="28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296"/>
    </row>
    <row r="131" spans="1:35">
      <c r="A131" s="194">
        <v>123</v>
      </c>
      <c r="B131" s="195" t="s">
        <v>255</v>
      </c>
      <c r="C131" s="196">
        <v>1318880</v>
      </c>
      <c r="D131" s="196"/>
      <c r="E131" s="196"/>
      <c r="F131" s="196"/>
      <c r="G131" s="196"/>
      <c r="H131" s="196"/>
      <c r="I131" s="196"/>
      <c r="J131" s="196"/>
      <c r="K131" s="196">
        <v>0</v>
      </c>
      <c r="L131" s="194">
        <v>0</v>
      </c>
      <c r="M131" s="196">
        <v>0</v>
      </c>
      <c r="N131" s="196">
        <v>660</v>
      </c>
      <c r="O131" s="196">
        <v>1318880</v>
      </c>
      <c r="P131" s="194">
        <v>0</v>
      </c>
      <c r="Q131" s="196">
        <v>0</v>
      </c>
      <c r="R131" s="200">
        <v>0</v>
      </c>
      <c r="S131" s="196">
        <v>0</v>
      </c>
      <c r="T131" s="197">
        <v>0</v>
      </c>
      <c r="U131" s="288">
        <v>0</v>
      </c>
      <c r="V131" s="282">
        <f>C131-'часть 1'!L142</f>
        <v>0</v>
      </c>
      <c r="W131" s="282"/>
      <c r="X131" s="28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296"/>
    </row>
    <row r="132" spans="1:35">
      <c r="A132" s="194">
        <v>124</v>
      </c>
      <c r="B132" s="195" t="s">
        <v>245</v>
      </c>
      <c r="C132" s="196">
        <v>1566345</v>
      </c>
      <c r="D132" s="196"/>
      <c r="E132" s="196"/>
      <c r="F132" s="196"/>
      <c r="G132" s="196"/>
      <c r="H132" s="196"/>
      <c r="I132" s="196"/>
      <c r="J132" s="196"/>
      <c r="K132" s="196">
        <v>0</v>
      </c>
      <c r="L132" s="194">
        <v>0</v>
      </c>
      <c r="M132" s="196">
        <v>0</v>
      </c>
      <c r="N132" s="196">
        <v>422</v>
      </c>
      <c r="O132" s="196">
        <v>850468</v>
      </c>
      <c r="P132" s="194">
        <v>0</v>
      </c>
      <c r="Q132" s="196">
        <v>0</v>
      </c>
      <c r="R132" s="196">
        <v>492</v>
      </c>
      <c r="S132" s="196">
        <v>715877</v>
      </c>
      <c r="T132" s="197">
        <v>0</v>
      </c>
      <c r="U132" s="288">
        <v>0</v>
      </c>
      <c r="V132" s="282">
        <f>C132-'часть 1'!L143</f>
        <v>0</v>
      </c>
      <c r="W132" s="282"/>
      <c r="X132" s="28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296"/>
    </row>
    <row r="133" spans="1:35" ht="30">
      <c r="A133" s="194">
        <v>125</v>
      </c>
      <c r="B133" s="195" t="s">
        <v>451</v>
      </c>
      <c r="C133" s="196">
        <v>1910088</v>
      </c>
      <c r="D133" s="196"/>
      <c r="E133" s="196"/>
      <c r="F133" s="196"/>
      <c r="G133" s="196"/>
      <c r="H133" s="196"/>
      <c r="I133" s="196"/>
      <c r="J133" s="196"/>
      <c r="K133" s="196">
        <v>1910088</v>
      </c>
      <c r="L133" s="194">
        <v>0</v>
      </c>
      <c r="M133" s="196">
        <v>0</v>
      </c>
      <c r="N133" s="196">
        <v>0</v>
      </c>
      <c r="O133" s="196">
        <v>0</v>
      </c>
      <c r="P133" s="194">
        <v>0</v>
      </c>
      <c r="Q133" s="196">
        <v>0</v>
      </c>
      <c r="R133" s="200">
        <v>0</v>
      </c>
      <c r="S133" s="196">
        <v>0</v>
      </c>
      <c r="T133" s="197">
        <v>0</v>
      </c>
      <c r="U133" s="288">
        <v>0</v>
      </c>
      <c r="V133" s="282">
        <f>C133-'часть 1'!L144</f>
        <v>0</v>
      </c>
      <c r="W133" s="282"/>
      <c r="X133" s="28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296"/>
    </row>
    <row r="134" spans="1:35">
      <c r="A134" s="194">
        <v>126</v>
      </c>
      <c r="B134" s="195" t="s">
        <v>280</v>
      </c>
      <c r="C134" s="196">
        <v>2694957</v>
      </c>
      <c r="D134" s="196"/>
      <c r="E134" s="196"/>
      <c r="F134" s="196"/>
      <c r="G134" s="196"/>
      <c r="H134" s="196"/>
      <c r="I134" s="196"/>
      <c r="J134" s="196"/>
      <c r="K134" s="196">
        <v>710638</v>
      </c>
      <c r="L134" s="194">
        <v>0</v>
      </c>
      <c r="M134" s="196">
        <v>0</v>
      </c>
      <c r="N134" s="196">
        <v>0</v>
      </c>
      <c r="O134" s="196">
        <v>0</v>
      </c>
      <c r="P134" s="194">
        <v>0</v>
      </c>
      <c r="Q134" s="196">
        <v>0</v>
      </c>
      <c r="R134" s="196">
        <v>1359.5</v>
      </c>
      <c r="S134" s="196">
        <v>1984319</v>
      </c>
      <c r="T134" s="197">
        <v>0</v>
      </c>
      <c r="U134" s="288">
        <v>0</v>
      </c>
      <c r="V134" s="282">
        <f>C134-'часть 1'!L145</f>
        <v>0</v>
      </c>
      <c r="W134" s="282"/>
      <c r="X134" s="28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296"/>
    </row>
    <row r="135" spans="1:35">
      <c r="A135" s="194">
        <v>127</v>
      </c>
      <c r="B135" s="195" t="s">
        <v>367</v>
      </c>
      <c r="C135" s="196">
        <v>580578</v>
      </c>
      <c r="D135" s="196"/>
      <c r="E135" s="196"/>
      <c r="F135" s="196"/>
      <c r="G135" s="196"/>
      <c r="H135" s="196"/>
      <c r="I135" s="196"/>
      <c r="J135" s="196"/>
      <c r="K135" s="196">
        <v>0</v>
      </c>
      <c r="L135" s="194">
        <v>0</v>
      </c>
      <c r="M135" s="196">
        <v>0</v>
      </c>
      <c r="N135" s="196">
        <v>293.5</v>
      </c>
      <c r="O135" s="196">
        <v>580578</v>
      </c>
      <c r="P135" s="194">
        <v>0</v>
      </c>
      <c r="Q135" s="196">
        <v>0</v>
      </c>
      <c r="R135" s="197">
        <v>0</v>
      </c>
      <c r="S135" s="196">
        <v>0</v>
      </c>
      <c r="T135" s="197">
        <v>0</v>
      </c>
      <c r="U135" s="288">
        <v>0</v>
      </c>
      <c r="V135" s="282">
        <f>C135-'часть 1'!L146</f>
        <v>0</v>
      </c>
      <c r="W135" s="282"/>
      <c r="X135" s="28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296"/>
    </row>
    <row r="136" spans="1:35">
      <c r="A136" s="194">
        <v>128</v>
      </c>
      <c r="B136" s="195" t="s">
        <v>464</v>
      </c>
      <c r="C136" s="196">
        <v>615357</v>
      </c>
      <c r="D136" s="196"/>
      <c r="E136" s="196"/>
      <c r="F136" s="196"/>
      <c r="G136" s="196"/>
      <c r="H136" s="196"/>
      <c r="I136" s="196"/>
      <c r="J136" s="196"/>
      <c r="K136" s="196">
        <v>0</v>
      </c>
      <c r="L136" s="194">
        <v>0</v>
      </c>
      <c r="M136" s="196">
        <v>0</v>
      </c>
      <c r="N136" s="196">
        <v>301</v>
      </c>
      <c r="O136" s="196">
        <v>615357</v>
      </c>
      <c r="P136" s="194">
        <v>0</v>
      </c>
      <c r="Q136" s="196">
        <v>0</v>
      </c>
      <c r="R136" s="197">
        <v>0</v>
      </c>
      <c r="S136" s="196">
        <v>0</v>
      </c>
      <c r="T136" s="197">
        <v>0</v>
      </c>
      <c r="U136" s="288">
        <v>0</v>
      </c>
      <c r="V136" s="282">
        <f>C136-'часть 1'!L147</f>
        <v>0</v>
      </c>
      <c r="W136" s="282"/>
      <c r="X136" s="28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296"/>
    </row>
    <row r="137" spans="1:35">
      <c r="A137" s="194">
        <v>129</v>
      </c>
      <c r="B137" s="195" t="s">
        <v>385</v>
      </c>
      <c r="C137" s="196">
        <v>269948.13</v>
      </c>
      <c r="D137" s="196"/>
      <c r="E137" s="196"/>
      <c r="F137" s="196"/>
      <c r="G137" s="196"/>
      <c r="H137" s="196"/>
      <c r="I137" s="196"/>
      <c r="J137" s="196"/>
      <c r="K137" s="196">
        <v>269948.13</v>
      </c>
      <c r="L137" s="194">
        <v>0</v>
      </c>
      <c r="M137" s="196">
        <v>0</v>
      </c>
      <c r="N137" s="196">
        <v>0</v>
      </c>
      <c r="O137" s="196">
        <v>0</v>
      </c>
      <c r="P137" s="194">
        <v>0</v>
      </c>
      <c r="Q137" s="196">
        <v>0</v>
      </c>
      <c r="R137" s="197">
        <v>0</v>
      </c>
      <c r="S137" s="196">
        <v>0</v>
      </c>
      <c r="T137" s="197">
        <v>0</v>
      </c>
      <c r="U137" s="288">
        <v>0</v>
      </c>
      <c r="V137" s="282">
        <f>C137-'часть 1'!L148</f>
        <v>0</v>
      </c>
      <c r="W137" s="282"/>
      <c r="X137" s="28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296"/>
    </row>
    <row r="138" spans="1:35">
      <c r="A138" s="194">
        <v>130</v>
      </c>
      <c r="B138" s="195" t="s">
        <v>238</v>
      </c>
      <c r="C138" s="196">
        <v>807980</v>
      </c>
      <c r="D138" s="196"/>
      <c r="E138" s="196"/>
      <c r="F138" s="196"/>
      <c r="G138" s="196"/>
      <c r="H138" s="196"/>
      <c r="I138" s="196"/>
      <c r="J138" s="196"/>
      <c r="K138" s="196">
        <v>0</v>
      </c>
      <c r="L138" s="194">
        <v>0</v>
      </c>
      <c r="M138" s="196">
        <v>0</v>
      </c>
      <c r="N138" s="196">
        <v>400</v>
      </c>
      <c r="O138" s="196">
        <v>807980</v>
      </c>
      <c r="P138" s="194">
        <v>0</v>
      </c>
      <c r="Q138" s="196">
        <v>0</v>
      </c>
      <c r="R138" s="200">
        <v>0</v>
      </c>
      <c r="S138" s="196">
        <v>0</v>
      </c>
      <c r="T138" s="197">
        <v>0</v>
      </c>
      <c r="U138" s="288">
        <v>0</v>
      </c>
      <c r="V138" s="282">
        <f>C138-'часть 1'!L149</f>
        <v>0</v>
      </c>
      <c r="W138" s="282"/>
      <c r="X138" s="28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296"/>
    </row>
    <row r="139" spans="1:35">
      <c r="A139" s="194">
        <v>131</v>
      </c>
      <c r="B139" s="195" t="s">
        <v>273</v>
      </c>
      <c r="C139" s="196">
        <v>661525</v>
      </c>
      <c r="D139" s="196"/>
      <c r="E139" s="196"/>
      <c r="F139" s="196"/>
      <c r="G139" s="196"/>
      <c r="H139" s="196"/>
      <c r="I139" s="196"/>
      <c r="J139" s="196"/>
      <c r="K139" s="196">
        <v>0</v>
      </c>
      <c r="L139" s="194">
        <v>0</v>
      </c>
      <c r="M139" s="196">
        <v>0</v>
      </c>
      <c r="N139" s="196">
        <v>325</v>
      </c>
      <c r="O139" s="199">
        <v>661525</v>
      </c>
      <c r="P139" s="194">
        <v>0</v>
      </c>
      <c r="Q139" s="196">
        <v>0</v>
      </c>
      <c r="R139" s="197">
        <v>0</v>
      </c>
      <c r="S139" s="196">
        <v>0</v>
      </c>
      <c r="T139" s="197">
        <v>0</v>
      </c>
      <c r="U139" s="288">
        <v>0</v>
      </c>
      <c r="V139" s="282">
        <f>C139-'часть 1'!L150</f>
        <v>0</v>
      </c>
      <c r="W139" s="282"/>
      <c r="X139" s="28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296"/>
    </row>
    <row r="140" spans="1:35">
      <c r="A140" s="198">
        <v>132</v>
      </c>
      <c r="B140" s="195" t="s">
        <v>297</v>
      </c>
      <c r="C140" s="196">
        <v>3719885</v>
      </c>
      <c r="D140" s="196"/>
      <c r="E140" s="196"/>
      <c r="F140" s="196"/>
      <c r="G140" s="196"/>
      <c r="H140" s="196"/>
      <c r="I140" s="196"/>
      <c r="J140" s="196"/>
      <c r="K140" s="196">
        <v>0</v>
      </c>
      <c r="L140" s="194">
        <v>2</v>
      </c>
      <c r="M140" s="196">
        <v>3719885</v>
      </c>
      <c r="N140" s="196">
        <v>0</v>
      </c>
      <c r="O140" s="196">
        <v>0</v>
      </c>
      <c r="P140" s="194">
        <v>0</v>
      </c>
      <c r="Q140" s="196">
        <v>0</v>
      </c>
      <c r="R140" s="197">
        <v>0</v>
      </c>
      <c r="S140" s="196">
        <v>0</v>
      </c>
      <c r="T140" s="197">
        <v>0</v>
      </c>
      <c r="U140" s="288">
        <v>0</v>
      </c>
      <c r="V140" s="282">
        <f>C140-'часть 1'!L151</f>
        <v>0</v>
      </c>
      <c r="W140" s="282"/>
      <c r="X140" s="28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296"/>
    </row>
    <row r="141" spans="1:35">
      <c r="A141" s="198">
        <v>133</v>
      </c>
      <c r="B141" s="195" t="s">
        <v>263</v>
      </c>
      <c r="C141" s="196">
        <v>1726391</v>
      </c>
      <c r="D141" s="196"/>
      <c r="E141" s="196"/>
      <c r="F141" s="196"/>
      <c r="G141" s="196"/>
      <c r="H141" s="196"/>
      <c r="I141" s="196"/>
      <c r="J141" s="196"/>
      <c r="K141" s="196">
        <v>0</v>
      </c>
      <c r="L141" s="194">
        <v>0</v>
      </c>
      <c r="M141" s="196">
        <v>0</v>
      </c>
      <c r="N141" s="196">
        <v>866.8</v>
      </c>
      <c r="O141" s="196">
        <v>1726391</v>
      </c>
      <c r="P141" s="194">
        <v>0</v>
      </c>
      <c r="Q141" s="196">
        <v>0</v>
      </c>
      <c r="R141" s="197">
        <v>0</v>
      </c>
      <c r="S141" s="196">
        <v>0</v>
      </c>
      <c r="T141" s="197">
        <v>0</v>
      </c>
      <c r="U141" s="288">
        <v>0</v>
      </c>
      <c r="V141" s="282">
        <f>C141-'часть 1'!L152</f>
        <v>0</v>
      </c>
      <c r="W141" s="282"/>
      <c r="X141" s="28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296"/>
    </row>
    <row r="142" spans="1:35">
      <c r="A142" s="198">
        <v>134</v>
      </c>
      <c r="B142" s="195" t="s">
        <v>235</v>
      </c>
      <c r="C142" s="196">
        <v>1521754</v>
      </c>
      <c r="D142" s="196"/>
      <c r="E142" s="196"/>
      <c r="F142" s="196"/>
      <c r="G142" s="196"/>
      <c r="H142" s="196"/>
      <c r="I142" s="196"/>
      <c r="J142" s="196"/>
      <c r="K142" s="196">
        <v>0</v>
      </c>
      <c r="L142" s="194">
        <v>0</v>
      </c>
      <c r="M142" s="196">
        <v>0</v>
      </c>
      <c r="N142" s="196">
        <v>430</v>
      </c>
      <c r="O142" s="196">
        <v>866735</v>
      </c>
      <c r="P142" s="194">
        <v>0</v>
      </c>
      <c r="Q142" s="196">
        <v>0</v>
      </c>
      <c r="R142" s="196">
        <v>449</v>
      </c>
      <c r="S142" s="196">
        <v>655019</v>
      </c>
      <c r="T142" s="197">
        <v>0</v>
      </c>
      <c r="U142" s="288">
        <v>0</v>
      </c>
      <c r="V142" s="282">
        <f>C142-'часть 1'!L153</f>
        <v>0</v>
      </c>
      <c r="W142" s="282"/>
      <c r="X142" s="28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296"/>
    </row>
    <row r="143" spans="1:35">
      <c r="A143" s="198">
        <v>135</v>
      </c>
      <c r="B143" s="195" t="s">
        <v>227</v>
      </c>
      <c r="C143" s="196">
        <v>671505</v>
      </c>
      <c r="D143" s="196"/>
      <c r="E143" s="196"/>
      <c r="F143" s="196"/>
      <c r="G143" s="196"/>
      <c r="H143" s="196"/>
      <c r="I143" s="196"/>
      <c r="J143" s="196"/>
      <c r="K143" s="196" t="e">
        <f>#REF!</f>
        <v>#REF!</v>
      </c>
      <c r="L143" s="194">
        <v>0</v>
      </c>
      <c r="M143" s="196">
        <v>0</v>
      </c>
      <c r="N143" s="196">
        <v>0</v>
      </c>
      <c r="O143" s="196">
        <v>0</v>
      </c>
      <c r="P143" s="194">
        <v>0</v>
      </c>
      <c r="Q143" s="196">
        <v>0</v>
      </c>
      <c r="R143" s="196">
        <v>404.5</v>
      </c>
      <c r="S143" s="196">
        <v>591227</v>
      </c>
      <c r="T143" s="197">
        <v>0</v>
      </c>
      <c r="U143" s="288">
        <v>0</v>
      </c>
      <c r="V143" s="282">
        <f>C143-'часть 1'!L154</f>
        <v>0</v>
      </c>
      <c r="W143" s="282"/>
      <c r="X143" s="282"/>
      <c r="Y143" s="12"/>
      <c r="Z143" s="274"/>
      <c r="AA143" s="12"/>
      <c r="AB143" s="12"/>
      <c r="AC143" s="12"/>
      <c r="AD143" s="12"/>
      <c r="AE143" s="12"/>
      <c r="AF143" s="12"/>
      <c r="AG143" s="12"/>
      <c r="AH143" s="12"/>
      <c r="AI143" s="296"/>
    </row>
    <row r="144" spans="1:35">
      <c r="A144" s="198">
        <v>136</v>
      </c>
      <c r="B144" s="195" t="s">
        <v>339</v>
      </c>
      <c r="C144" s="196">
        <v>1081718</v>
      </c>
      <c r="D144" s="196"/>
      <c r="E144" s="196"/>
      <c r="F144" s="196"/>
      <c r="G144" s="196"/>
      <c r="H144" s="196"/>
      <c r="I144" s="196"/>
      <c r="J144" s="196"/>
      <c r="K144" s="196">
        <v>0</v>
      </c>
      <c r="L144" s="194">
        <v>0</v>
      </c>
      <c r="M144" s="196">
        <v>0</v>
      </c>
      <c r="N144" s="196">
        <v>531.70000000000005</v>
      </c>
      <c r="O144" s="196">
        <v>1081718</v>
      </c>
      <c r="P144" s="194">
        <v>0</v>
      </c>
      <c r="Q144" s="196">
        <v>0</v>
      </c>
      <c r="R144" s="197">
        <v>0</v>
      </c>
      <c r="S144" s="196">
        <v>0</v>
      </c>
      <c r="T144" s="197">
        <v>0</v>
      </c>
      <c r="U144" s="288">
        <v>0</v>
      </c>
      <c r="V144" s="282">
        <f>C144-'часть 1'!L155</f>
        <v>0</v>
      </c>
      <c r="W144" s="282"/>
      <c r="X144" s="28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296"/>
    </row>
    <row r="145" spans="1:35">
      <c r="A145" s="198">
        <v>137</v>
      </c>
      <c r="B145" s="195" t="s">
        <v>231</v>
      </c>
      <c r="C145" s="196">
        <v>206635</v>
      </c>
      <c r="D145" s="196"/>
      <c r="E145" s="196"/>
      <c r="F145" s="196"/>
      <c r="G145" s="196"/>
      <c r="H145" s="196"/>
      <c r="I145" s="196"/>
      <c r="J145" s="196"/>
      <c r="K145" s="196">
        <v>206635</v>
      </c>
      <c r="L145" s="194">
        <v>0</v>
      </c>
      <c r="M145" s="196">
        <v>0</v>
      </c>
      <c r="N145" s="196">
        <v>0</v>
      </c>
      <c r="O145" s="196">
        <v>0</v>
      </c>
      <c r="P145" s="194">
        <v>0</v>
      </c>
      <c r="Q145" s="196">
        <v>0</v>
      </c>
      <c r="R145" s="197">
        <v>0</v>
      </c>
      <c r="S145" s="196">
        <v>0</v>
      </c>
      <c r="T145" s="197">
        <v>0</v>
      </c>
      <c r="U145" s="288">
        <v>0</v>
      </c>
      <c r="V145" s="282">
        <f>C145-'часть 1'!L156</f>
        <v>0</v>
      </c>
      <c r="W145" s="282"/>
      <c r="X145" s="28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296"/>
    </row>
    <row r="146" spans="1:35">
      <c r="A146" s="198">
        <v>138</v>
      </c>
      <c r="B146" s="195" t="s">
        <v>300</v>
      </c>
      <c r="C146" s="196">
        <v>1044081.04</v>
      </c>
      <c r="D146" s="196"/>
      <c r="E146" s="196"/>
      <c r="F146" s="196"/>
      <c r="G146" s="196"/>
      <c r="H146" s="196"/>
      <c r="I146" s="196"/>
      <c r="J146" s="196"/>
      <c r="K146" s="196">
        <v>0</v>
      </c>
      <c r="L146" s="194">
        <v>0</v>
      </c>
      <c r="M146" s="196">
        <v>0</v>
      </c>
      <c r="N146" s="196">
        <v>516.5</v>
      </c>
      <c r="O146" s="196">
        <v>1044081.04</v>
      </c>
      <c r="P146" s="194">
        <v>0</v>
      </c>
      <c r="Q146" s="196">
        <v>0</v>
      </c>
      <c r="R146" s="200">
        <v>0</v>
      </c>
      <c r="S146" s="196">
        <v>0</v>
      </c>
      <c r="T146" s="197">
        <v>0</v>
      </c>
      <c r="U146" s="288">
        <v>0</v>
      </c>
      <c r="V146" s="282">
        <f>C146-'часть 1'!L157</f>
        <v>0</v>
      </c>
      <c r="W146" s="282"/>
      <c r="X146" s="28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296"/>
    </row>
    <row r="147" spans="1:35">
      <c r="A147" s="198">
        <v>139</v>
      </c>
      <c r="B147" s="195" t="s">
        <v>283</v>
      </c>
      <c r="C147" s="196">
        <v>1340000</v>
      </c>
      <c r="D147" s="196"/>
      <c r="E147" s="196"/>
      <c r="F147" s="196"/>
      <c r="G147" s="196"/>
      <c r="H147" s="196"/>
      <c r="I147" s="196"/>
      <c r="J147" s="196"/>
      <c r="K147" s="196">
        <v>1340000</v>
      </c>
      <c r="L147" s="194">
        <v>0</v>
      </c>
      <c r="M147" s="196">
        <v>0</v>
      </c>
      <c r="N147" s="196">
        <v>0</v>
      </c>
      <c r="O147" s="196">
        <v>0</v>
      </c>
      <c r="P147" s="194">
        <v>0</v>
      </c>
      <c r="Q147" s="196">
        <v>0</v>
      </c>
      <c r="R147" s="197">
        <v>0</v>
      </c>
      <c r="S147" s="196">
        <v>0</v>
      </c>
      <c r="T147" s="197">
        <v>0</v>
      </c>
      <c r="U147" s="288">
        <v>0</v>
      </c>
      <c r="V147" s="282">
        <f>C147-'часть 1'!L158</f>
        <v>0</v>
      </c>
      <c r="W147" s="282"/>
      <c r="X147" s="28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296"/>
    </row>
    <row r="148" spans="1:35">
      <c r="A148" s="198">
        <v>140</v>
      </c>
      <c r="B148" s="195" t="s">
        <v>450</v>
      </c>
      <c r="C148" s="196">
        <v>2294529</v>
      </c>
      <c r="D148" s="196"/>
      <c r="E148" s="196"/>
      <c r="F148" s="196"/>
      <c r="G148" s="196"/>
      <c r="H148" s="196"/>
      <c r="I148" s="196"/>
      <c r="J148" s="196"/>
      <c r="K148" s="196">
        <v>0</v>
      </c>
      <c r="L148" s="194">
        <v>0</v>
      </c>
      <c r="M148" s="196">
        <v>0</v>
      </c>
      <c r="N148" s="196">
        <v>1162</v>
      </c>
      <c r="O148" s="196">
        <v>2294529</v>
      </c>
      <c r="P148" s="194">
        <v>0</v>
      </c>
      <c r="Q148" s="196">
        <v>0</v>
      </c>
      <c r="R148" s="197">
        <v>0</v>
      </c>
      <c r="S148" s="196">
        <v>0</v>
      </c>
      <c r="T148" s="197">
        <v>0</v>
      </c>
      <c r="U148" s="288">
        <v>0</v>
      </c>
      <c r="V148" s="282">
        <f>C148-'часть 1'!L159</f>
        <v>0</v>
      </c>
      <c r="W148" s="282"/>
      <c r="X148" s="28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296"/>
    </row>
    <row r="149" spans="1:35">
      <c r="A149" s="198">
        <v>141</v>
      </c>
      <c r="B149" s="195" t="s">
        <v>230</v>
      </c>
      <c r="C149" s="196">
        <v>2615616.2000000002</v>
      </c>
      <c r="D149" s="196"/>
      <c r="E149" s="196"/>
      <c r="F149" s="196"/>
      <c r="G149" s="196"/>
      <c r="H149" s="196"/>
      <c r="I149" s="196"/>
      <c r="J149" s="196"/>
      <c r="K149" s="196">
        <v>0</v>
      </c>
      <c r="L149" s="194">
        <v>0</v>
      </c>
      <c r="M149" s="196">
        <v>0</v>
      </c>
      <c r="N149" s="196">
        <v>0</v>
      </c>
      <c r="O149" s="196">
        <v>0</v>
      </c>
      <c r="P149" s="194">
        <v>0</v>
      </c>
      <c r="Q149" s="196">
        <v>0</v>
      </c>
      <c r="R149" s="196">
        <v>2540</v>
      </c>
      <c r="S149" s="196">
        <v>2615616.2000000002</v>
      </c>
      <c r="T149" s="197">
        <v>0</v>
      </c>
      <c r="U149" s="288">
        <v>0</v>
      </c>
      <c r="V149" s="282">
        <f>C149-'часть 1'!L160</f>
        <v>0</v>
      </c>
      <c r="W149" s="282"/>
      <c r="X149" s="28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296"/>
    </row>
    <row r="150" spans="1:35">
      <c r="A150" s="198">
        <v>142</v>
      </c>
      <c r="B150" s="195" t="s">
        <v>295</v>
      </c>
      <c r="C150" s="196">
        <v>1561539</v>
      </c>
      <c r="D150" s="196"/>
      <c r="E150" s="196"/>
      <c r="F150" s="196"/>
      <c r="G150" s="196"/>
      <c r="H150" s="196"/>
      <c r="I150" s="196"/>
      <c r="J150" s="196"/>
      <c r="K150" s="196">
        <v>0</v>
      </c>
      <c r="L150" s="194">
        <v>0</v>
      </c>
      <c r="M150" s="196">
        <v>0</v>
      </c>
      <c r="N150" s="196">
        <v>787.85</v>
      </c>
      <c r="O150" s="196">
        <v>1561539</v>
      </c>
      <c r="P150" s="201">
        <v>0</v>
      </c>
      <c r="Q150" s="196">
        <v>0</v>
      </c>
      <c r="R150" s="200">
        <v>0</v>
      </c>
      <c r="S150" s="196">
        <v>0</v>
      </c>
      <c r="T150" s="197">
        <v>0</v>
      </c>
      <c r="U150" s="288">
        <v>0</v>
      </c>
      <c r="V150" s="282">
        <f>C150-'часть 1'!L161</f>
        <v>0</v>
      </c>
      <c r="W150" s="282"/>
      <c r="X150" s="28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296"/>
    </row>
    <row r="151" spans="1:35">
      <c r="A151" s="198">
        <v>143</v>
      </c>
      <c r="B151" s="195" t="s">
        <v>294</v>
      </c>
      <c r="C151" s="196">
        <v>1421187</v>
      </c>
      <c r="D151" s="196"/>
      <c r="E151" s="196"/>
      <c r="F151" s="196"/>
      <c r="G151" s="196"/>
      <c r="H151" s="196"/>
      <c r="I151" s="196"/>
      <c r="J151" s="196"/>
      <c r="K151" s="196">
        <v>0</v>
      </c>
      <c r="L151" s="194">
        <v>0</v>
      </c>
      <c r="M151" s="196">
        <v>0</v>
      </c>
      <c r="N151" s="196">
        <v>687</v>
      </c>
      <c r="O151" s="199">
        <v>1421187</v>
      </c>
      <c r="P151" s="194">
        <v>0</v>
      </c>
      <c r="Q151" s="196">
        <v>0</v>
      </c>
      <c r="R151" s="200">
        <v>0</v>
      </c>
      <c r="S151" s="196">
        <v>0</v>
      </c>
      <c r="T151" s="197">
        <v>0</v>
      </c>
      <c r="U151" s="288">
        <v>0</v>
      </c>
      <c r="V151" s="282">
        <f>C151-'часть 1'!L162</f>
        <v>0</v>
      </c>
      <c r="W151" s="282"/>
      <c r="X151" s="28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296"/>
    </row>
    <row r="152" spans="1:35">
      <c r="A152" s="198">
        <v>144</v>
      </c>
      <c r="B152" s="195" t="s">
        <v>270</v>
      </c>
      <c r="C152" s="196">
        <v>2469740</v>
      </c>
      <c r="D152" s="196"/>
      <c r="E152" s="196"/>
      <c r="F152" s="196"/>
      <c r="G152" s="196"/>
      <c r="H152" s="196"/>
      <c r="I152" s="196"/>
      <c r="J152" s="196"/>
      <c r="K152" s="196">
        <v>757154</v>
      </c>
      <c r="L152" s="194">
        <v>0</v>
      </c>
      <c r="M152" s="196">
        <v>0</v>
      </c>
      <c r="N152" s="196">
        <v>868.1</v>
      </c>
      <c r="O152" s="196">
        <v>1712586</v>
      </c>
      <c r="P152" s="194">
        <v>0</v>
      </c>
      <c r="Q152" s="196">
        <v>0</v>
      </c>
      <c r="R152" s="197">
        <v>0</v>
      </c>
      <c r="S152" s="196">
        <v>0</v>
      </c>
      <c r="T152" s="197">
        <v>0</v>
      </c>
      <c r="U152" s="288">
        <v>0</v>
      </c>
      <c r="V152" s="282">
        <f>C152-'часть 1'!L163</f>
        <v>0</v>
      </c>
      <c r="W152" s="282"/>
      <c r="X152" s="28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296"/>
    </row>
    <row r="153" spans="1:35">
      <c r="A153" s="198">
        <v>145</v>
      </c>
      <c r="B153" s="195" t="s">
        <v>252</v>
      </c>
      <c r="C153" s="196">
        <v>1104857</v>
      </c>
      <c r="D153" s="196"/>
      <c r="E153" s="196"/>
      <c r="F153" s="196"/>
      <c r="G153" s="196"/>
      <c r="H153" s="196"/>
      <c r="I153" s="196"/>
      <c r="J153" s="196"/>
      <c r="K153" s="196">
        <v>0</v>
      </c>
      <c r="L153" s="194">
        <v>0</v>
      </c>
      <c r="M153" s="196">
        <v>0</v>
      </c>
      <c r="N153" s="196">
        <v>545.6</v>
      </c>
      <c r="O153" s="196">
        <v>1104857</v>
      </c>
      <c r="P153" s="194">
        <v>0</v>
      </c>
      <c r="Q153" s="196">
        <v>0</v>
      </c>
      <c r="R153" s="200">
        <v>0</v>
      </c>
      <c r="S153" s="196">
        <v>0</v>
      </c>
      <c r="T153" s="197">
        <v>0</v>
      </c>
      <c r="U153" s="288">
        <v>0</v>
      </c>
      <c r="V153" s="282">
        <f>C153-'часть 1'!L164</f>
        <v>0</v>
      </c>
      <c r="W153" s="282"/>
      <c r="X153" s="28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296"/>
    </row>
    <row r="154" spans="1:35">
      <c r="A154" s="198">
        <v>146</v>
      </c>
      <c r="B154" s="195" t="s">
        <v>304</v>
      </c>
      <c r="C154" s="196">
        <v>1877378</v>
      </c>
      <c r="D154" s="196"/>
      <c r="E154" s="196"/>
      <c r="F154" s="196"/>
      <c r="G154" s="196"/>
      <c r="H154" s="196"/>
      <c r="I154" s="196"/>
      <c r="J154" s="196"/>
      <c r="K154" s="196">
        <v>0</v>
      </c>
      <c r="L154" s="194">
        <v>1</v>
      </c>
      <c r="M154" s="199">
        <v>1877378</v>
      </c>
      <c r="N154" s="196">
        <v>0</v>
      </c>
      <c r="O154" s="196">
        <v>0</v>
      </c>
      <c r="P154" s="194">
        <v>0</v>
      </c>
      <c r="Q154" s="196">
        <v>0</v>
      </c>
      <c r="R154" s="197">
        <v>0</v>
      </c>
      <c r="S154" s="196">
        <v>0</v>
      </c>
      <c r="T154" s="197">
        <v>0</v>
      </c>
      <c r="U154" s="288">
        <v>0</v>
      </c>
      <c r="V154" s="282">
        <f>C154-'часть 1'!L165</f>
        <v>0</v>
      </c>
      <c r="W154" s="282"/>
      <c r="X154" s="28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296"/>
    </row>
    <row r="155" spans="1:35">
      <c r="A155" s="198">
        <v>147</v>
      </c>
      <c r="B155" s="195" t="s">
        <v>228</v>
      </c>
      <c r="C155" s="196">
        <v>2945836</v>
      </c>
      <c r="D155" s="196"/>
      <c r="E155" s="196"/>
      <c r="F155" s="196"/>
      <c r="G155" s="196"/>
      <c r="H155" s="196"/>
      <c r="I155" s="196"/>
      <c r="J155" s="196"/>
      <c r="K155" s="196" t="e">
        <f>#REF!</f>
        <v>#REF!</v>
      </c>
      <c r="L155" s="194">
        <v>0</v>
      </c>
      <c r="M155" s="196">
        <v>0</v>
      </c>
      <c r="N155" s="196">
        <v>0</v>
      </c>
      <c r="O155" s="196">
        <v>0</v>
      </c>
      <c r="P155" s="194">
        <v>0</v>
      </c>
      <c r="Q155" s="196">
        <v>0</v>
      </c>
      <c r="R155" s="197">
        <v>0</v>
      </c>
      <c r="S155" s="196">
        <v>0</v>
      </c>
      <c r="T155" s="197">
        <v>0</v>
      </c>
      <c r="U155" s="288">
        <v>0</v>
      </c>
      <c r="V155" s="282">
        <f>C155-'часть 1'!L166</f>
        <v>0</v>
      </c>
      <c r="W155" s="282"/>
      <c r="X155" s="282"/>
      <c r="Y155" s="12"/>
      <c r="Z155" s="12"/>
      <c r="AA155" s="12"/>
      <c r="AB155" s="274"/>
      <c r="AC155" s="12"/>
      <c r="AD155" s="12"/>
      <c r="AE155" s="12"/>
      <c r="AF155" s="274"/>
      <c r="AG155" s="12"/>
      <c r="AH155" s="12"/>
      <c r="AI155" s="296"/>
    </row>
    <row r="156" spans="1:35">
      <c r="A156" s="198">
        <v>148</v>
      </c>
      <c r="B156" s="195" t="s">
        <v>225</v>
      </c>
      <c r="C156" s="196">
        <v>1118494</v>
      </c>
      <c r="D156" s="196"/>
      <c r="E156" s="196"/>
      <c r="F156" s="196"/>
      <c r="G156" s="196"/>
      <c r="H156" s="196"/>
      <c r="I156" s="196"/>
      <c r="J156" s="196"/>
      <c r="K156" s="196">
        <v>1118494</v>
      </c>
      <c r="L156" s="194">
        <v>0</v>
      </c>
      <c r="M156" s="196">
        <v>0</v>
      </c>
      <c r="N156" s="199">
        <v>0</v>
      </c>
      <c r="O156" s="196">
        <v>0</v>
      </c>
      <c r="P156" s="194">
        <v>0</v>
      </c>
      <c r="Q156" s="196">
        <v>0</v>
      </c>
      <c r="R156" s="200">
        <v>0</v>
      </c>
      <c r="S156" s="196">
        <v>0</v>
      </c>
      <c r="T156" s="197">
        <v>0</v>
      </c>
      <c r="U156" s="288">
        <v>0</v>
      </c>
      <c r="V156" s="282">
        <f>C156-'часть 1'!L167</f>
        <v>0</v>
      </c>
      <c r="W156" s="282"/>
      <c r="X156" s="28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296"/>
    </row>
    <row r="157" spans="1:35">
      <c r="A157" s="198">
        <v>149</v>
      </c>
      <c r="B157" s="195" t="s">
        <v>232</v>
      </c>
      <c r="C157" s="196">
        <v>2540427</v>
      </c>
      <c r="D157" s="196"/>
      <c r="E157" s="196"/>
      <c r="F157" s="196"/>
      <c r="G157" s="196"/>
      <c r="H157" s="196"/>
      <c r="I157" s="196"/>
      <c r="J157" s="196"/>
      <c r="K157" s="196">
        <v>0</v>
      </c>
      <c r="L157" s="194">
        <v>0</v>
      </c>
      <c r="M157" s="196">
        <v>0</v>
      </c>
      <c r="N157" s="196">
        <v>592</v>
      </c>
      <c r="O157" s="196">
        <v>1201460</v>
      </c>
      <c r="P157" s="194">
        <v>0</v>
      </c>
      <c r="Q157" s="196">
        <v>0</v>
      </c>
      <c r="R157" s="196">
        <v>922</v>
      </c>
      <c r="S157" s="196">
        <v>1338967</v>
      </c>
      <c r="T157" s="197">
        <v>0</v>
      </c>
      <c r="U157" s="288">
        <v>0</v>
      </c>
      <c r="V157" s="282">
        <f>C157-'часть 1'!L168</f>
        <v>0</v>
      </c>
      <c r="W157" s="282"/>
      <c r="X157" s="28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296"/>
    </row>
    <row r="158" spans="1:35">
      <c r="A158" s="198">
        <v>150</v>
      </c>
      <c r="B158" s="195" t="s">
        <v>275</v>
      </c>
      <c r="C158" s="196">
        <v>2253297</v>
      </c>
      <c r="D158" s="196"/>
      <c r="E158" s="196"/>
      <c r="F158" s="196"/>
      <c r="G158" s="196"/>
      <c r="H158" s="196"/>
      <c r="I158" s="196"/>
      <c r="J158" s="196"/>
      <c r="K158" s="196">
        <v>0</v>
      </c>
      <c r="L158" s="194">
        <v>0</v>
      </c>
      <c r="M158" s="196">
        <v>0</v>
      </c>
      <c r="N158" s="196">
        <v>1126</v>
      </c>
      <c r="O158" s="196">
        <v>2253297</v>
      </c>
      <c r="P158" s="194">
        <v>0</v>
      </c>
      <c r="Q158" s="196">
        <v>0</v>
      </c>
      <c r="R158" s="197">
        <v>0</v>
      </c>
      <c r="S158" s="196">
        <v>0</v>
      </c>
      <c r="T158" s="197">
        <v>0</v>
      </c>
      <c r="U158" s="288">
        <v>0</v>
      </c>
      <c r="V158" s="282">
        <f>C158-'часть 1'!L169</f>
        <v>0</v>
      </c>
      <c r="W158" s="282"/>
      <c r="X158" s="28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296"/>
    </row>
    <row r="159" spans="1:35" s="278" customFormat="1">
      <c r="A159" s="194">
        <v>151</v>
      </c>
      <c r="B159" s="195" t="s">
        <v>286</v>
      </c>
      <c r="C159" s="196">
        <v>1390061</v>
      </c>
      <c r="D159" s="196"/>
      <c r="E159" s="196"/>
      <c r="F159" s="196"/>
      <c r="G159" s="196"/>
      <c r="H159" s="196"/>
      <c r="I159" s="196"/>
      <c r="J159" s="196"/>
      <c r="K159" s="196" t="e">
        <f>#REF!</f>
        <v>#REF!</v>
      </c>
      <c r="L159" s="194">
        <v>0</v>
      </c>
      <c r="M159" s="196">
        <v>0</v>
      </c>
      <c r="N159" s="196">
        <v>0</v>
      </c>
      <c r="O159" s="196">
        <v>0</v>
      </c>
      <c r="P159" s="194">
        <v>0</v>
      </c>
      <c r="Q159" s="196">
        <v>0</v>
      </c>
      <c r="R159" s="197">
        <v>0</v>
      </c>
      <c r="S159" s="196">
        <v>0</v>
      </c>
      <c r="T159" s="197">
        <v>0</v>
      </c>
      <c r="U159" s="288">
        <v>0</v>
      </c>
      <c r="V159" s="282">
        <f>C159-'часть 1'!L170</f>
        <v>0</v>
      </c>
      <c r="W159" s="282"/>
      <c r="X159" s="282"/>
      <c r="Y159" s="277"/>
      <c r="Z159" s="277"/>
      <c r="AA159" s="277"/>
      <c r="AB159" s="277"/>
      <c r="AC159" s="277"/>
      <c r="AD159" s="277"/>
      <c r="AE159" s="277"/>
      <c r="AF159" s="277"/>
      <c r="AG159" s="277"/>
      <c r="AH159" s="277"/>
      <c r="AI159" s="298"/>
    </row>
    <row r="160" spans="1:35" ht="30">
      <c r="A160" s="198">
        <v>152</v>
      </c>
      <c r="B160" s="195" t="s">
        <v>342</v>
      </c>
      <c r="C160" s="196">
        <v>3213804</v>
      </c>
      <c r="D160" s="196"/>
      <c r="E160" s="196"/>
      <c r="F160" s="196"/>
      <c r="G160" s="196"/>
      <c r="H160" s="196"/>
      <c r="I160" s="196"/>
      <c r="J160" s="196"/>
      <c r="K160" s="196">
        <v>846948</v>
      </c>
      <c r="L160" s="194">
        <v>0</v>
      </c>
      <c r="M160" s="196">
        <v>0</v>
      </c>
      <c r="N160" s="196">
        <v>1200</v>
      </c>
      <c r="O160" s="196">
        <v>2366856</v>
      </c>
      <c r="P160" s="194">
        <v>0</v>
      </c>
      <c r="Q160" s="196">
        <v>0</v>
      </c>
      <c r="R160" s="197">
        <v>0</v>
      </c>
      <c r="S160" s="196">
        <v>0</v>
      </c>
      <c r="T160" s="197">
        <v>0</v>
      </c>
      <c r="U160" s="288">
        <v>0</v>
      </c>
      <c r="V160" s="282">
        <f>C160-'часть 1'!L171</f>
        <v>0</v>
      </c>
      <c r="W160" s="282"/>
      <c r="X160" s="28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296"/>
    </row>
    <row r="161" spans="1:35">
      <c r="A161" s="198">
        <v>153</v>
      </c>
      <c r="B161" s="195" t="s">
        <v>298</v>
      </c>
      <c r="C161" s="196">
        <v>3202371</v>
      </c>
      <c r="D161" s="196"/>
      <c r="E161" s="196"/>
      <c r="F161" s="196"/>
      <c r="G161" s="196"/>
      <c r="H161" s="196"/>
      <c r="I161" s="196"/>
      <c r="J161" s="196"/>
      <c r="K161" s="196">
        <v>0</v>
      </c>
      <c r="L161" s="194">
        <v>0</v>
      </c>
      <c r="M161" s="196">
        <v>0</v>
      </c>
      <c r="N161" s="196">
        <v>0</v>
      </c>
      <c r="O161" s="196">
        <v>0</v>
      </c>
      <c r="P161" s="194">
        <v>0</v>
      </c>
      <c r="Q161" s="196">
        <v>0</v>
      </c>
      <c r="R161" s="196">
        <v>2220.83</v>
      </c>
      <c r="S161" s="196">
        <v>3202371</v>
      </c>
      <c r="T161" s="197">
        <v>0</v>
      </c>
      <c r="U161" s="288">
        <v>0</v>
      </c>
      <c r="V161" s="282">
        <f>C161-'часть 1'!L172</f>
        <v>0</v>
      </c>
      <c r="W161" s="282"/>
      <c r="X161" s="28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296"/>
    </row>
    <row r="162" spans="1:35">
      <c r="A162" s="198">
        <v>154</v>
      </c>
      <c r="B162" s="195" t="s">
        <v>253</v>
      </c>
      <c r="C162" s="196">
        <v>709022</v>
      </c>
      <c r="D162" s="196"/>
      <c r="E162" s="196"/>
      <c r="F162" s="196"/>
      <c r="G162" s="196"/>
      <c r="H162" s="196"/>
      <c r="I162" s="196"/>
      <c r="J162" s="196"/>
      <c r="K162" s="196">
        <v>0</v>
      </c>
      <c r="L162" s="194">
        <v>0</v>
      </c>
      <c r="M162" s="196">
        <v>0</v>
      </c>
      <c r="N162" s="196">
        <v>0</v>
      </c>
      <c r="O162" s="196">
        <v>0</v>
      </c>
      <c r="P162" s="194">
        <v>0</v>
      </c>
      <c r="Q162" s="196">
        <v>0</v>
      </c>
      <c r="R162" s="196">
        <v>486.6</v>
      </c>
      <c r="S162" s="199">
        <v>709022</v>
      </c>
      <c r="T162" s="197">
        <v>0</v>
      </c>
      <c r="U162" s="288">
        <v>0</v>
      </c>
      <c r="V162" s="282">
        <f>C162-'часть 1'!L173</f>
        <v>0</v>
      </c>
      <c r="W162" s="282"/>
      <c r="X162" s="28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296"/>
    </row>
    <row r="163" spans="1:35">
      <c r="A163" s="194">
        <v>155</v>
      </c>
      <c r="B163" s="195" t="s">
        <v>260</v>
      </c>
      <c r="C163" s="196">
        <v>1136930</v>
      </c>
      <c r="D163" s="196"/>
      <c r="E163" s="196"/>
      <c r="F163" s="196"/>
      <c r="G163" s="196"/>
      <c r="H163" s="196"/>
      <c r="I163" s="196"/>
      <c r="J163" s="196"/>
      <c r="K163" s="196">
        <v>0</v>
      </c>
      <c r="L163" s="194">
        <v>0</v>
      </c>
      <c r="M163" s="196">
        <v>0</v>
      </c>
      <c r="N163" s="196">
        <v>278</v>
      </c>
      <c r="O163" s="196">
        <v>570382</v>
      </c>
      <c r="P163" s="194">
        <v>0</v>
      </c>
      <c r="Q163" s="196">
        <v>0</v>
      </c>
      <c r="R163" s="196">
        <v>386.88</v>
      </c>
      <c r="S163" s="196">
        <v>566548</v>
      </c>
      <c r="T163" s="197">
        <v>0</v>
      </c>
      <c r="U163" s="288">
        <v>0</v>
      </c>
      <c r="V163" s="282">
        <f>C163-'часть 1'!L174</f>
        <v>0</v>
      </c>
      <c r="W163" s="282"/>
      <c r="X163" s="28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296"/>
    </row>
    <row r="164" spans="1:35">
      <c r="A164" s="198">
        <v>156</v>
      </c>
      <c r="B164" s="195" t="s">
        <v>349</v>
      </c>
      <c r="C164" s="196">
        <v>1320636</v>
      </c>
      <c r="D164" s="196"/>
      <c r="E164" s="196"/>
      <c r="F164" s="196"/>
      <c r="G164" s="196"/>
      <c r="H164" s="196"/>
      <c r="I164" s="196"/>
      <c r="J164" s="196"/>
      <c r="K164" s="196">
        <v>0</v>
      </c>
      <c r="L164" s="194">
        <v>0</v>
      </c>
      <c r="M164" s="196">
        <v>0</v>
      </c>
      <c r="N164" s="203">
        <v>662</v>
      </c>
      <c r="O164" s="199">
        <v>1320636</v>
      </c>
      <c r="P164" s="194">
        <v>0</v>
      </c>
      <c r="Q164" s="196">
        <v>0</v>
      </c>
      <c r="R164" s="197">
        <v>0</v>
      </c>
      <c r="S164" s="196">
        <v>0</v>
      </c>
      <c r="T164" s="197">
        <v>0</v>
      </c>
      <c r="U164" s="288">
        <v>0</v>
      </c>
      <c r="V164" s="282">
        <f>C164-'часть 1'!L175</f>
        <v>0</v>
      </c>
      <c r="W164" s="282"/>
      <c r="X164" s="28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296"/>
    </row>
    <row r="165" spans="1:35">
      <c r="A165" s="198">
        <v>157</v>
      </c>
      <c r="B165" s="195" t="s">
        <v>302</v>
      </c>
      <c r="C165" s="196">
        <v>4265098</v>
      </c>
      <c r="D165" s="196"/>
      <c r="E165" s="196"/>
      <c r="F165" s="196"/>
      <c r="G165" s="196"/>
      <c r="H165" s="196"/>
      <c r="I165" s="196"/>
      <c r="J165" s="196"/>
      <c r="K165" s="196">
        <v>0</v>
      </c>
      <c r="L165" s="194">
        <v>0</v>
      </c>
      <c r="M165" s="196">
        <v>0</v>
      </c>
      <c r="N165" s="196">
        <v>0</v>
      </c>
      <c r="O165" s="196">
        <v>0</v>
      </c>
      <c r="P165" s="194">
        <v>0</v>
      </c>
      <c r="Q165" s="196">
        <v>0</v>
      </c>
      <c r="R165" s="196">
        <v>2927.5</v>
      </c>
      <c r="S165" s="196">
        <v>4265098</v>
      </c>
      <c r="T165" s="197">
        <v>0</v>
      </c>
      <c r="U165" s="288">
        <v>0</v>
      </c>
      <c r="V165" s="282">
        <f>C165-'часть 1'!L176</f>
        <v>0</v>
      </c>
      <c r="W165" s="282"/>
      <c r="X165" s="28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296"/>
    </row>
    <row r="166" spans="1:35">
      <c r="A166" s="198">
        <v>158</v>
      </c>
      <c r="B166" s="195" t="s">
        <v>341</v>
      </c>
      <c r="C166" s="196">
        <v>2115890</v>
      </c>
      <c r="D166" s="196"/>
      <c r="E166" s="196"/>
      <c r="F166" s="196"/>
      <c r="G166" s="196"/>
      <c r="H166" s="196"/>
      <c r="I166" s="196"/>
      <c r="J166" s="196"/>
      <c r="K166" s="196">
        <v>2115890</v>
      </c>
      <c r="L166" s="194">
        <v>0</v>
      </c>
      <c r="M166" s="196">
        <v>0</v>
      </c>
      <c r="N166" s="196">
        <v>0</v>
      </c>
      <c r="O166" s="196">
        <v>0</v>
      </c>
      <c r="P166" s="194">
        <v>0</v>
      </c>
      <c r="Q166" s="196">
        <v>0</v>
      </c>
      <c r="R166" s="197">
        <v>0</v>
      </c>
      <c r="S166" s="196">
        <v>0</v>
      </c>
      <c r="T166" s="197">
        <v>0</v>
      </c>
      <c r="U166" s="288">
        <v>0</v>
      </c>
      <c r="V166" s="282">
        <f>C166-'часть 1'!L177</f>
        <v>0</v>
      </c>
      <c r="W166" s="282"/>
      <c r="X166" s="28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296"/>
    </row>
    <row r="167" spans="1:35">
      <c r="A167" s="198">
        <v>159</v>
      </c>
      <c r="B167" s="195" t="s">
        <v>242</v>
      </c>
      <c r="C167" s="196">
        <v>482251.51</v>
      </c>
      <c r="D167" s="196"/>
      <c r="E167" s="196"/>
      <c r="F167" s="196"/>
      <c r="G167" s="196"/>
      <c r="H167" s="196"/>
      <c r="I167" s="196"/>
      <c r="J167" s="196"/>
      <c r="K167" s="196">
        <v>482251.51</v>
      </c>
      <c r="L167" s="194">
        <v>0</v>
      </c>
      <c r="M167" s="196">
        <v>0</v>
      </c>
      <c r="N167" s="196">
        <v>0</v>
      </c>
      <c r="O167" s="196">
        <v>0</v>
      </c>
      <c r="P167" s="194">
        <v>0</v>
      </c>
      <c r="Q167" s="196">
        <v>0</v>
      </c>
      <c r="R167" s="197">
        <v>0</v>
      </c>
      <c r="S167" s="196">
        <v>0</v>
      </c>
      <c r="T167" s="197">
        <v>0</v>
      </c>
      <c r="U167" s="288">
        <v>0</v>
      </c>
      <c r="V167" s="282">
        <f>C167-'часть 1'!L178</f>
        <v>0</v>
      </c>
      <c r="W167" s="282"/>
      <c r="X167" s="28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296"/>
    </row>
    <row r="168" spans="1:35">
      <c r="A168" s="198">
        <v>160</v>
      </c>
      <c r="B168" s="195" t="s">
        <v>279</v>
      </c>
      <c r="C168" s="196">
        <v>1018040.92</v>
      </c>
      <c r="D168" s="196"/>
      <c r="E168" s="196"/>
      <c r="F168" s="196"/>
      <c r="G168" s="196"/>
      <c r="H168" s="196"/>
      <c r="I168" s="196"/>
      <c r="J168" s="196"/>
      <c r="K168" s="196">
        <v>0</v>
      </c>
      <c r="L168" s="194">
        <v>0</v>
      </c>
      <c r="M168" s="196">
        <v>0</v>
      </c>
      <c r="N168" s="196">
        <v>516.5</v>
      </c>
      <c r="O168" s="196">
        <v>1018040.92</v>
      </c>
      <c r="P168" s="194">
        <v>0</v>
      </c>
      <c r="Q168" s="196">
        <v>0</v>
      </c>
      <c r="R168" s="197">
        <v>0</v>
      </c>
      <c r="S168" s="196">
        <v>0</v>
      </c>
      <c r="T168" s="197">
        <v>0</v>
      </c>
      <c r="U168" s="288">
        <v>0</v>
      </c>
      <c r="V168" s="282">
        <f>C168-'часть 1'!L179</f>
        <v>0</v>
      </c>
      <c r="W168" s="282"/>
      <c r="X168" s="28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296"/>
    </row>
    <row r="169" spans="1:35">
      <c r="A169" s="198">
        <v>161</v>
      </c>
      <c r="B169" s="195" t="s">
        <v>262</v>
      </c>
      <c r="C169" s="196">
        <v>1871554</v>
      </c>
      <c r="D169" s="196"/>
      <c r="E169" s="196"/>
      <c r="F169" s="196"/>
      <c r="G169" s="196"/>
      <c r="H169" s="196"/>
      <c r="I169" s="196"/>
      <c r="J169" s="196"/>
      <c r="K169" s="196">
        <v>0</v>
      </c>
      <c r="L169" s="194">
        <v>1</v>
      </c>
      <c r="M169" s="196">
        <v>1871554</v>
      </c>
      <c r="N169" s="196">
        <v>0</v>
      </c>
      <c r="O169" s="196">
        <v>0</v>
      </c>
      <c r="P169" s="194">
        <v>0</v>
      </c>
      <c r="Q169" s="196">
        <v>0</v>
      </c>
      <c r="R169" s="197">
        <v>0</v>
      </c>
      <c r="S169" s="196">
        <v>0</v>
      </c>
      <c r="T169" s="197">
        <v>0</v>
      </c>
      <c r="U169" s="288">
        <v>0</v>
      </c>
      <c r="V169" s="282">
        <f>C169-'часть 1'!L180</f>
        <v>0</v>
      </c>
      <c r="W169" s="282"/>
      <c r="X169" s="28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296"/>
    </row>
    <row r="170" spans="1:35">
      <c r="A170" s="198">
        <v>162</v>
      </c>
      <c r="B170" s="195" t="s">
        <v>290</v>
      </c>
      <c r="C170" s="196">
        <v>2652530</v>
      </c>
      <c r="D170" s="196"/>
      <c r="E170" s="196"/>
      <c r="F170" s="196"/>
      <c r="G170" s="196"/>
      <c r="H170" s="196"/>
      <c r="I170" s="196"/>
      <c r="J170" s="196"/>
      <c r="K170" s="196">
        <v>2652530</v>
      </c>
      <c r="L170" s="194">
        <v>0</v>
      </c>
      <c r="M170" s="196">
        <v>0</v>
      </c>
      <c r="N170" s="199">
        <v>0</v>
      </c>
      <c r="O170" s="196">
        <v>0</v>
      </c>
      <c r="P170" s="194">
        <v>0</v>
      </c>
      <c r="Q170" s="196">
        <v>0</v>
      </c>
      <c r="R170" s="200">
        <v>0</v>
      </c>
      <c r="S170" s="196">
        <v>0</v>
      </c>
      <c r="T170" s="197">
        <v>0</v>
      </c>
      <c r="U170" s="288">
        <v>0</v>
      </c>
      <c r="V170" s="282">
        <f>C170-'часть 1'!L181</f>
        <v>0</v>
      </c>
      <c r="W170" s="282"/>
      <c r="X170" s="28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296"/>
    </row>
    <row r="171" spans="1:35">
      <c r="A171" s="198">
        <v>163</v>
      </c>
      <c r="B171" s="195" t="s">
        <v>356</v>
      </c>
      <c r="C171" s="196">
        <v>3645969</v>
      </c>
      <c r="D171" s="196"/>
      <c r="E171" s="196"/>
      <c r="F171" s="196"/>
      <c r="G171" s="196"/>
      <c r="H171" s="196"/>
      <c r="I171" s="196"/>
      <c r="J171" s="196"/>
      <c r="K171" s="196" t="e">
        <f>#REF!</f>
        <v>#REF!</v>
      </c>
      <c r="L171" s="194">
        <v>0</v>
      </c>
      <c r="M171" s="196">
        <v>0</v>
      </c>
      <c r="N171" s="196">
        <v>0</v>
      </c>
      <c r="O171" s="196">
        <v>0</v>
      </c>
      <c r="P171" s="194">
        <v>0</v>
      </c>
      <c r="Q171" s="196">
        <v>0</v>
      </c>
      <c r="R171" s="200">
        <v>0</v>
      </c>
      <c r="S171" s="196">
        <v>0</v>
      </c>
      <c r="T171" s="197">
        <v>0</v>
      </c>
      <c r="U171" s="288">
        <v>0</v>
      </c>
      <c r="V171" s="282">
        <f>C171-'часть 1'!L182</f>
        <v>0</v>
      </c>
      <c r="W171" s="282"/>
      <c r="X171" s="282"/>
      <c r="Y171" s="12"/>
      <c r="Z171" s="12"/>
      <c r="AA171" s="12"/>
      <c r="AB171" s="12"/>
      <c r="AC171" s="4"/>
      <c r="AD171" s="12"/>
      <c r="AE171" s="12"/>
      <c r="AF171" s="12"/>
      <c r="AG171" s="12"/>
      <c r="AH171" s="12"/>
      <c r="AI171" s="296"/>
    </row>
    <row r="172" spans="1:35">
      <c r="A172" s="198">
        <v>164</v>
      </c>
      <c r="B172" s="195" t="s">
        <v>354</v>
      </c>
      <c r="C172" s="196">
        <v>771330</v>
      </c>
      <c r="D172" s="196"/>
      <c r="E172" s="196"/>
      <c r="F172" s="196"/>
      <c r="G172" s="196"/>
      <c r="H172" s="196"/>
      <c r="I172" s="196"/>
      <c r="J172" s="196"/>
      <c r="K172" s="196">
        <v>0</v>
      </c>
      <c r="L172" s="194">
        <v>0</v>
      </c>
      <c r="M172" s="196">
        <v>0</v>
      </c>
      <c r="N172" s="196">
        <v>376</v>
      </c>
      <c r="O172" s="196">
        <v>771330</v>
      </c>
      <c r="P172" s="194">
        <v>0</v>
      </c>
      <c r="Q172" s="196">
        <v>0</v>
      </c>
      <c r="R172" s="197">
        <v>0</v>
      </c>
      <c r="S172" s="196">
        <v>0</v>
      </c>
      <c r="T172" s="197">
        <v>0</v>
      </c>
      <c r="U172" s="288">
        <v>0</v>
      </c>
      <c r="V172" s="282">
        <f>C172-'часть 1'!L183</f>
        <v>0</v>
      </c>
      <c r="W172" s="282"/>
      <c r="X172" s="28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296"/>
    </row>
    <row r="173" spans="1:35">
      <c r="A173" s="198">
        <v>165</v>
      </c>
      <c r="B173" s="195" t="s">
        <v>352</v>
      </c>
      <c r="C173" s="196">
        <v>1894719</v>
      </c>
      <c r="D173" s="196"/>
      <c r="E173" s="196"/>
      <c r="F173" s="196"/>
      <c r="G173" s="196"/>
      <c r="H173" s="196"/>
      <c r="I173" s="196"/>
      <c r="J173" s="196"/>
      <c r="K173" s="196">
        <v>0</v>
      </c>
      <c r="L173" s="194">
        <v>1</v>
      </c>
      <c r="M173" s="196">
        <v>1894719</v>
      </c>
      <c r="N173" s="196">
        <v>0</v>
      </c>
      <c r="O173" s="196">
        <v>0</v>
      </c>
      <c r="P173" s="194">
        <v>0</v>
      </c>
      <c r="Q173" s="196">
        <v>0</v>
      </c>
      <c r="R173" s="197">
        <v>0</v>
      </c>
      <c r="S173" s="196">
        <v>0</v>
      </c>
      <c r="T173" s="197">
        <v>0</v>
      </c>
      <c r="U173" s="288">
        <v>0</v>
      </c>
      <c r="V173" s="282">
        <f>C173-'часть 1'!L184</f>
        <v>0</v>
      </c>
      <c r="W173" s="282"/>
      <c r="X173" s="28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296"/>
    </row>
    <row r="174" spans="1:35">
      <c r="A174" s="198">
        <v>166</v>
      </c>
      <c r="B174" s="195" t="s">
        <v>355</v>
      </c>
      <c r="C174" s="196">
        <v>1492412</v>
      </c>
      <c r="D174" s="196"/>
      <c r="E174" s="196"/>
      <c r="F174" s="196"/>
      <c r="G174" s="196"/>
      <c r="H174" s="196"/>
      <c r="I174" s="196"/>
      <c r="J174" s="196"/>
      <c r="K174" s="196">
        <v>0</v>
      </c>
      <c r="L174" s="194">
        <v>0</v>
      </c>
      <c r="M174" s="196">
        <v>0</v>
      </c>
      <c r="N174" s="196">
        <v>752</v>
      </c>
      <c r="O174" s="196">
        <v>1492412</v>
      </c>
      <c r="P174" s="194">
        <v>0</v>
      </c>
      <c r="Q174" s="196">
        <v>0</v>
      </c>
      <c r="R174" s="197">
        <v>0</v>
      </c>
      <c r="S174" s="196">
        <v>0</v>
      </c>
      <c r="T174" s="197">
        <v>0</v>
      </c>
      <c r="U174" s="288">
        <v>0</v>
      </c>
      <c r="V174" s="282">
        <f>C174-'часть 1'!L185</f>
        <v>0</v>
      </c>
      <c r="W174" s="282"/>
      <c r="X174" s="28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296"/>
    </row>
    <row r="175" spans="1:35">
      <c r="A175" s="198">
        <v>167</v>
      </c>
      <c r="B175" s="195" t="s">
        <v>318</v>
      </c>
      <c r="C175" s="196">
        <v>651523.25</v>
      </c>
      <c r="D175" s="196"/>
      <c r="E175" s="196"/>
      <c r="F175" s="196"/>
      <c r="G175" s="196"/>
      <c r="H175" s="196"/>
      <c r="I175" s="196"/>
      <c r="J175" s="196"/>
      <c r="K175" s="196">
        <v>651523.25</v>
      </c>
      <c r="L175" s="194">
        <v>0</v>
      </c>
      <c r="M175" s="196">
        <v>0</v>
      </c>
      <c r="N175" s="199">
        <v>0</v>
      </c>
      <c r="O175" s="196">
        <v>0</v>
      </c>
      <c r="P175" s="194">
        <v>0</v>
      </c>
      <c r="Q175" s="196">
        <v>0</v>
      </c>
      <c r="R175" s="200">
        <v>0</v>
      </c>
      <c r="S175" s="196">
        <v>0</v>
      </c>
      <c r="T175" s="197">
        <v>0</v>
      </c>
      <c r="U175" s="288">
        <v>0</v>
      </c>
      <c r="V175" s="282">
        <f>C175-'часть 1'!L186</f>
        <v>0</v>
      </c>
      <c r="W175" s="282"/>
      <c r="X175" s="28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296"/>
    </row>
    <row r="176" spans="1:35" ht="15.75" thickBot="1">
      <c r="A176" s="198">
        <v>168</v>
      </c>
      <c r="B176" s="195" t="s">
        <v>353</v>
      </c>
      <c r="C176" s="196">
        <v>1221424.83</v>
      </c>
      <c r="D176" s="196"/>
      <c r="E176" s="196"/>
      <c r="F176" s="196"/>
      <c r="G176" s="196"/>
      <c r="H176" s="196"/>
      <c r="I176" s="196"/>
      <c r="J176" s="196"/>
      <c r="K176" s="196">
        <v>0</v>
      </c>
      <c r="L176" s="194">
        <v>0</v>
      </c>
      <c r="M176" s="196">
        <v>0</v>
      </c>
      <c r="N176" s="196">
        <v>640</v>
      </c>
      <c r="O176" s="196">
        <v>1221424.83</v>
      </c>
      <c r="P176" s="194">
        <v>0</v>
      </c>
      <c r="Q176" s="196">
        <v>0</v>
      </c>
      <c r="R176" s="200">
        <v>0</v>
      </c>
      <c r="S176" s="196">
        <v>0</v>
      </c>
      <c r="T176" s="197">
        <v>0</v>
      </c>
      <c r="U176" s="288">
        <v>0</v>
      </c>
      <c r="V176" s="282">
        <f>C176-'часть 1'!L187</f>
        <v>0</v>
      </c>
      <c r="W176" s="282"/>
      <c r="X176" s="282"/>
      <c r="Y176" s="65"/>
      <c r="Z176" s="12"/>
      <c r="AA176" s="65"/>
      <c r="AB176" s="12"/>
      <c r="AC176" s="65"/>
      <c r="AD176" s="12"/>
      <c r="AE176" s="65"/>
      <c r="AF176" s="12"/>
      <c r="AG176" s="65"/>
      <c r="AH176" s="12"/>
      <c r="AI176" s="299"/>
    </row>
    <row r="177" spans="1:24" ht="31.5" customHeight="1">
      <c r="A177" s="198"/>
      <c r="B177" s="195" t="s">
        <v>91</v>
      </c>
      <c r="C177" s="196">
        <f>C178+C179+C180+C181+C182+C183+C184+C185+C186+C187+C188+C189+C190+C191+C192+C193</f>
        <v>31255395.629999999</v>
      </c>
      <c r="D177" s="196">
        <f t="shared" ref="D177:V177" si="1">D178+D179+D180+D181+D182+D183+D184+D185+D186+D187+D188+D189+D190+D191+D192+D193</f>
        <v>0</v>
      </c>
      <c r="E177" s="196">
        <f t="shared" si="1"/>
        <v>0</v>
      </c>
      <c r="F177" s="196">
        <f t="shared" si="1"/>
        <v>0</v>
      </c>
      <c r="G177" s="196">
        <f t="shared" si="1"/>
        <v>0</v>
      </c>
      <c r="H177" s="196">
        <f t="shared" si="1"/>
        <v>0</v>
      </c>
      <c r="I177" s="196">
        <f t="shared" si="1"/>
        <v>0</v>
      </c>
      <c r="J177" s="196">
        <f t="shared" si="1"/>
        <v>0</v>
      </c>
      <c r="K177" s="196">
        <f t="shared" si="1"/>
        <v>0</v>
      </c>
      <c r="L177" s="196">
        <f t="shared" si="1"/>
        <v>0</v>
      </c>
      <c r="M177" s="196">
        <f t="shared" si="1"/>
        <v>0</v>
      </c>
      <c r="N177" s="196">
        <f t="shared" si="1"/>
        <v>9743.69</v>
      </c>
      <c r="O177" s="196">
        <f t="shared" si="1"/>
        <v>31255395.629999999</v>
      </c>
      <c r="P177" s="196">
        <f t="shared" si="1"/>
        <v>0</v>
      </c>
      <c r="Q177" s="196">
        <f t="shared" si="1"/>
        <v>0</v>
      </c>
      <c r="R177" s="196">
        <f t="shared" si="1"/>
        <v>0</v>
      </c>
      <c r="S177" s="196">
        <f t="shared" si="1"/>
        <v>0</v>
      </c>
      <c r="T177" s="196">
        <f t="shared" si="1"/>
        <v>0</v>
      </c>
      <c r="U177" s="196">
        <f t="shared" si="1"/>
        <v>0</v>
      </c>
      <c r="V177" s="196">
        <f t="shared" si="1"/>
        <v>0</v>
      </c>
      <c r="W177" s="282"/>
      <c r="X177" s="282"/>
    </row>
    <row r="178" spans="1:24" ht="15.75">
      <c r="A178" s="198">
        <v>1</v>
      </c>
      <c r="B178" s="941" t="s">
        <v>927</v>
      </c>
      <c r="C178" s="196">
        <f>'часть 1'!L189</f>
        <v>3615424</v>
      </c>
      <c r="D178" s="196">
        <v>0</v>
      </c>
      <c r="E178" s="196">
        <v>0</v>
      </c>
      <c r="F178" s="196">
        <v>0</v>
      </c>
      <c r="G178" s="196">
        <v>0</v>
      </c>
      <c r="H178" s="196">
        <v>0</v>
      </c>
      <c r="I178" s="196">
        <v>0</v>
      </c>
      <c r="J178" s="196">
        <v>0</v>
      </c>
      <c r="K178" s="196">
        <v>0</v>
      </c>
      <c r="L178" s="207">
        <v>0</v>
      </c>
      <c r="M178" s="199">
        <v>0</v>
      </c>
      <c r="N178" s="199">
        <v>1138</v>
      </c>
      <c r="O178" s="199">
        <f>C178</f>
        <v>3615424</v>
      </c>
      <c r="P178" s="208">
        <v>0</v>
      </c>
      <c r="Q178" s="199">
        <v>0</v>
      </c>
      <c r="R178" s="200">
        <v>0</v>
      </c>
      <c r="S178" s="209">
        <v>0</v>
      </c>
      <c r="T178" s="208">
        <v>0</v>
      </c>
      <c r="U178" s="289">
        <v>0</v>
      </c>
      <c r="V178" s="282"/>
      <c r="W178" s="282">
        <f>O178/N178</f>
        <v>3176.9982425307558</v>
      </c>
      <c r="X178" s="282"/>
    </row>
    <row r="179" spans="1:24" ht="15.75">
      <c r="A179" s="198">
        <v>2</v>
      </c>
      <c r="B179" s="941" t="s">
        <v>928</v>
      </c>
      <c r="C179" s="196">
        <f>'часть 1'!L190</f>
        <v>3435122.02</v>
      </c>
      <c r="D179" s="196">
        <v>0</v>
      </c>
      <c r="E179" s="196">
        <v>0</v>
      </c>
      <c r="F179" s="196">
        <v>0</v>
      </c>
      <c r="G179" s="196">
        <v>0</v>
      </c>
      <c r="H179" s="196">
        <v>0</v>
      </c>
      <c r="I179" s="196">
        <v>0</v>
      </c>
      <c r="J179" s="196">
        <v>0</v>
      </c>
      <c r="K179" s="196">
        <v>0</v>
      </c>
      <c r="L179" s="207">
        <v>0</v>
      </c>
      <c r="M179" s="199">
        <v>0</v>
      </c>
      <c r="N179" s="199">
        <v>1550</v>
      </c>
      <c r="O179" s="199">
        <f t="shared" ref="O179:O193" si="2">C179</f>
        <v>3435122.02</v>
      </c>
      <c r="P179" s="208">
        <v>0</v>
      </c>
      <c r="Q179" s="199">
        <v>0</v>
      </c>
      <c r="R179" s="200">
        <v>0</v>
      </c>
      <c r="S179" s="209">
        <v>0</v>
      </c>
      <c r="T179" s="208">
        <v>0</v>
      </c>
      <c r="U179" s="289">
        <v>0</v>
      </c>
      <c r="V179" s="282"/>
      <c r="W179" s="282">
        <f t="shared" ref="W179:W193" si="3">O179/N179</f>
        <v>2216.2077548387097</v>
      </c>
      <c r="X179" s="282"/>
    </row>
    <row r="180" spans="1:24" ht="15.75">
      <c r="A180" s="198">
        <v>3</v>
      </c>
      <c r="B180" s="941" t="s">
        <v>929</v>
      </c>
      <c r="C180" s="196">
        <f>'часть 1'!L191</f>
        <v>1525199</v>
      </c>
      <c r="D180" s="196">
        <v>0</v>
      </c>
      <c r="E180" s="196">
        <v>0</v>
      </c>
      <c r="F180" s="196">
        <v>0</v>
      </c>
      <c r="G180" s="196">
        <v>0</v>
      </c>
      <c r="H180" s="196">
        <v>0</v>
      </c>
      <c r="I180" s="196">
        <v>0</v>
      </c>
      <c r="J180" s="196">
        <v>0</v>
      </c>
      <c r="K180" s="196">
        <v>0</v>
      </c>
      <c r="L180" s="207">
        <v>0</v>
      </c>
      <c r="M180" s="199">
        <v>0</v>
      </c>
      <c r="N180" s="199">
        <v>483.1</v>
      </c>
      <c r="O180" s="199">
        <f t="shared" si="2"/>
        <v>1525199</v>
      </c>
      <c r="P180" s="208">
        <v>0</v>
      </c>
      <c r="Q180" s="199">
        <v>0</v>
      </c>
      <c r="R180" s="200">
        <v>0</v>
      </c>
      <c r="S180" s="209">
        <v>0</v>
      </c>
      <c r="T180" s="208">
        <v>0</v>
      </c>
      <c r="U180" s="289">
        <v>0</v>
      </c>
      <c r="V180" s="282"/>
      <c r="W180" s="282">
        <f t="shared" si="3"/>
        <v>3157.1082591595941</v>
      </c>
      <c r="X180" s="282"/>
    </row>
    <row r="181" spans="1:24" ht="15.75">
      <c r="A181" s="198">
        <v>4</v>
      </c>
      <c r="B181" s="941" t="s">
        <v>930</v>
      </c>
      <c r="C181" s="196">
        <f>'часть 1'!L192</f>
        <v>2379167.9900000002</v>
      </c>
      <c r="D181" s="196">
        <v>0</v>
      </c>
      <c r="E181" s="196">
        <v>0</v>
      </c>
      <c r="F181" s="196">
        <v>0</v>
      </c>
      <c r="G181" s="196">
        <v>0</v>
      </c>
      <c r="H181" s="196">
        <v>0</v>
      </c>
      <c r="I181" s="196">
        <v>0</v>
      </c>
      <c r="J181" s="196">
        <v>0</v>
      </c>
      <c r="K181" s="196">
        <v>0</v>
      </c>
      <c r="L181" s="207">
        <v>0</v>
      </c>
      <c r="M181" s="199">
        <v>0</v>
      </c>
      <c r="N181" s="199">
        <v>840</v>
      </c>
      <c r="O181" s="199">
        <f t="shared" si="2"/>
        <v>2379167.9900000002</v>
      </c>
      <c r="P181" s="208">
        <v>0</v>
      </c>
      <c r="Q181" s="199">
        <v>0</v>
      </c>
      <c r="R181" s="200">
        <v>0</v>
      </c>
      <c r="S181" s="209">
        <v>0</v>
      </c>
      <c r="T181" s="208">
        <v>0</v>
      </c>
      <c r="U181" s="289">
        <v>0</v>
      </c>
      <c r="V181" s="282"/>
      <c r="W181" s="282">
        <f t="shared" si="3"/>
        <v>2832.3428452380954</v>
      </c>
      <c r="X181" s="282"/>
    </row>
    <row r="182" spans="1:24" ht="15.75">
      <c r="A182" s="198">
        <v>5</v>
      </c>
      <c r="B182" s="941" t="s">
        <v>931</v>
      </c>
      <c r="C182" s="196">
        <f>'часть 1'!L193</f>
        <v>2435193</v>
      </c>
      <c r="D182" s="196">
        <v>0</v>
      </c>
      <c r="E182" s="196">
        <v>0</v>
      </c>
      <c r="F182" s="196">
        <v>0</v>
      </c>
      <c r="G182" s="196">
        <v>0</v>
      </c>
      <c r="H182" s="196">
        <v>0</v>
      </c>
      <c r="I182" s="196">
        <v>0</v>
      </c>
      <c r="J182" s="196">
        <v>0</v>
      </c>
      <c r="K182" s="196">
        <v>0</v>
      </c>
      <c r="L182" s="207">
        <v>0</v>
      </c>
      <c r="M182" s="199">
        <v>0</v>
      </c>
      <c r="N182" s="199">
        <v>770</v>
      </c>
      <c r="O182" s="199">
        <f t="shared" si="2"/>
        <v>2435193</v>
      </c>
      <c r="P182" s="208">
        <v>0</v>
      </c>
      <c r="Q182" s="199">
        <v>0</v>
      </c>
      <c r="R182" s="200">
        <v>0</v>
      </c>
      <c r="S182" s="209">
        <v>0</v>
      </c>
      <c r="T182" s="208">
        <v>0</v>
      </c>
      <c r="U182" s="289">
        <v>0</v>
      </c>
      <c r="V182" s="282"/>
      <c r="W182" s="282">
        <f t="shared" si="3"/>
        <v>3162.5883116883115</v>
      </c>
      <c r="X182" s="282"/>
    </row>
    <row r="183" spans="1:24" ht="15.75">
      <c r="A183" s="198">
        <v>6</v>
      </c>
      <c r="B183" s="941" t="s">
        <v>932</v>
      </c>
      <c r="C183" s="196">
        <f>'часть 1'!L194</f>
        <v>2705457.32</v>
      </c>
      <c r="D183" s="196">
        <v>0</v>
      </c>
      <c r="E183" s="196">
        <v>0</v>
      </c>
      <c r="F183" s="196">
        <v>0</v>
      </c>
      <c r="G183" s="196">
        <v>0</v>
      </c>
      <c r="H183" s="196">
        <v>0</v>
      </c>
      <c r="I183" s="196">
        <v>0</v>
      </c>
      <c r="J183" s="196">
        <v>0</v>
      </c>
      <c r="K183" s="196">
        <v>0</v>
      </c>
      <c r="L183" s="207">
        <v>0</v>
      </c>
      <c r="M183" s="199">
        <v>0</v>
      </c>
      <c r="N183" s="199"/>
      <c r="O183" s="199">
        <f t="shared" si="2"/>
        <v>2705457.32</v>
      </c>
      <c r="P183" s="208">
        <v>0</v>
      </c>
      <c r="Q183" s="199">
        <v>0</v>
      </c>
      <c r="R183" s="200">
        <v>0</v>
      </c>
      <c r="S183" s="209">
        <v>0</v>
      </c>
      <c r="T183" s="208">
        <v>0</v>
      </c>
      <c r="U183" s="289">
        <v>0</v>
      </c>
      <c r="V183" s="282"/>
      <c r="W183" s="282" t="e">
        <f t="shared" si="3"/>
        <v>#DIV/0!</v>
      </c>
      <c r="X183" s="282"/>
    </row>
    <row r="184" spans="1:24" ht="15.75">
      <c r="A184" s="198">
        <v>7</v>
      </c>
      <c r="B184" s="941" t="s">
        <v>933</v>
      </c>
      <c r="C184" s="196">
        <f>'часть 1'!L195</f>
        <v>954408.5</v>
      </c>
      <c r="D184" s="196">
        <v>0</v>
      </c>
      <c r="E184" s="196">
        <v>0</v>
      </c>
      <c r="F184" s="196">
        <v>0</v>
      </c>
      <c r="G184" s="196">
        <v>0</v>
      </c>
      <c r="H184" s="196">
        <v>0</v>
      </c>
      <c r="I184" s="196">
        <v>0</v>
      </c>
      <c r="J184" s="196">
        <v>0</v>
      </c>
      <c r="K184" s="196">
        <v>0</v>
      </c>
      <c r="L184" s="207">
        <v>0</v>
      </c>
      <c r="M184" s="199">
        <v>0</v>
      </c>
      <c r="N184" s="199">
        <v>451.2</v>
      </c>
      <c r="O184" s="199">
        <f t="shared" si="2"/>
        <v>954408.5</v>
      </c>
      <c r="P184" s="208">
        <v>0</v>
      </c>
      <c r="Q184" s="199">
        <v>0</v>
      </c>
      <c r="R184" s="200">
        <v>0</v>
      </c>
      <c r="S184" s="209">
        <v>0</v>
      </c>
      <c r="T184" s="208">
        <v>0</v>
      </c>
      <c r="U184" s="289">
        <v>0</v>
      </c>
      <c r="V184" s="282"/>
      <c r="W184" s="282">
        <f t="shared" si="3"/>
        <v>2115.2670656028367</v>
      </c>
      <c r="X184" s="282"/>
    </row>
    <row r="185" spans="1:24" ht="15.75">
      <c r="A185" s="198">
        <v>8</v>
      </c>
      <c r="B185" s="941" t="s">
        <v>934</v>
      </c>
      <c r="C185" s="196">
        <f>'часть 1'!L196</f>
        <v>2430125</v>
      </c>
      <c r="D185" s="196">
        <v>0</v>
      </c>
      <c r="E185" s="196">
        <v>0</v>
      </c>
      <c r="F185" s="196">
        <v>0</v>
      </c>
      <c r="G185" s="196">
        <v>0</v>
      </c>
      <c r="H185" s="196">
        <v>0</v>
      </c>
      <c r="I185" s="196">
        <v>0</v>
      </c>
      <c r="J185" s="196">
        <v>0</v>
      </c>
      <c r="K185" s="196">
        <v>0</v>
      </c>
      <c r="L185" s="207">
        <v>0</v>
      </c>
      <c r="M185" s="199">
        <v>0</v>
      </c>
      <c r="N185" s="199">
        <v>571.03</v>
      </c>
      <c r="O185" s="199">
        <f t="shared" si="2"/>
        <v>2430125</v>
      </c>
      <c r="P185" s="208">
        <v>0</v>
      </c>
      <c r="Q185" s="199">
        <v>0</v>
      </c>
      <c r="R185" s="200">
        <v>0</v>
      </c>
      <c r="S185" s="209">
        <v>0</v>
      </c>
      <c r="T185" s="208">
        <v>0</v>
      </c>
      <c r="U185" s="289">
        <v>0</v>
      </c>
      <c r="V185" s="282"/>
      <c r="W185" s="282">
        <f t="shared" si="3"/>
        <v>4255.687091746493</v>
      </c>
      <c r="X185" s="282"/>
    </row>
    <row r="186" spans="1:24" ht="15.75">
      <c r="A186" s="198">
        <v>9</v>
      </c>
      <c r="B186" s="941" t="s">
        <v>935</v>
      </c>
      <c r="C186" s="196">
        <f>'часть 1'!L197</f>
        <v>2505651</v>
      </c>
      <c r="D186" s="196">
        <v>0</v>
      </c>
      <c r="E186" s="196">
        <v>0</v>
      </c>
      <c r="F186" s="196">
        <v>0</v>
      </c>
      <c r="G186" s="196">
        <v>0</v>
      </c>
      <c r="H186" s="196">
        <v>0</v>
      </c>
      <c r="I186" s="196">
        <v>0</v>
      </c>
      <c r="J186" s="196">
        <v>0</v>
      </c>
      <c r="K186" s="196">
        <v>0</v>
      </c>
      <c r="L186" s="207">
        <v>0</v>
      </c>
      <c r="M186" s="199">
        <v>0</v>
      </c>
      <c r="N186" s="199">
        <v>792</v>
      </c>
      <c r="O186" s="199">
        <f t="shared" si="2"/>
        <v>2505651</v>
      </c>
      <c r="P186" s="208">
        <v>0</v>
      </c>
      <c r="Q186" s="199">
        <v>0</v>
      </c>
      <c r="R186" s="200">
        <v>0</v>
      </c>
      <c r="S186" s="209">
        <v>0</v>
      </c>
      <c r="T186" s="208">
        <v>0</v>
      </c>
      <c r="U186" s="289">
        <v>0</v>
      </c>
      <c r="V186" s="282"/>
      <c r="W186" s="282">
        <f t="shared" si="3"/>
        <v>3163.7007575757575</v>
      </c>
      <c r="X186" s="282"/>
    </row>
    <row r="187" spans="1:24" ht="15.75">
      <c r="A187" s="198">
        <v>10</v>
      </c>
      <c r="B187" s="941" t="s">
        <v>936</v>
      </c>
      <c r="C187" s="196">
        <f>'часть 1'!L198</f>
        <v>1546987</v>
      </c>
      <c r="D187" s="196">
        <v>0</v>
      </c>
      <c r="E187" s="196">
        <v>0</v>
      </c>
      <c r="F187" s="196">
        <v>0</v>
      </c>
      <c r="G187" s="196">
        <v>0</v>
      </c>
      <c r="H187" s="196">
        <v>0</v>
      </c>
      <c r="I187" s="196">
        <v>0</v>
      </c>
      <c r="J187" s="196">
        <v>0</v>
      </c>
      <c r="K187" s="196">
        <v>0</v>
      </c>
      <c r="L187" s="207">
        <v>0</v>
      </c>
      <c r="M187" s="199">
        <v>0</v>
      </c>
      <c r="N187" s="199">
        <v>485</v>
      </c>
      <c r="O187" s="199">
        <f t="shared" si="2"/>
        <v>1546987</v>
      </c>
      <c r="P187" s="208">
        <v>0</v>
      </c>
      <c r="Q187" s="199">
        <v>0</v>
      </c>
      <c r="R187" s="200">
        <v>0</v>
      </c>
      <c r="S187" s="209">
        <v>0</v>
      </c>
      <c r="T187" s="208">
        <v>0</v>
      </c>
      <c r="U187" s="289">
        <v>0</v>
      </c>
      <c r="V187" s="282"/>
      <c r="W187" s="282">
        <f t="shared" si="3"/>
        <v>3189.6639175257733</v>
      </c>
      <c r="X187" s="282"/>
    </row>
    <row r="188" spans="1:24" ht="15.75">
      <c r="A188" s="198">
        <v>11</v>
      </c>
      <c r="B188" s="941" t="s">
        <v>937</v>
      </c>
      <c r="C188" s="196">
        <f>'часть 1'!L199</f>
        <v>709600</v>
      </c>
      <c r="D188" s="196">
        <v>0</v>
      </c>
      <c r="E188" s="196">
        <v>0</v>
      </c>
      <c r="F188" s="196">
        <v>0</v>
      </c>
      <c r="G188" s="196">
        <v>0</v>
      </c>
      <c r="H188" s="196">
        <v>0</v>
      </c>
      <c r="I188" s="196">
        <v>0</v>
      </c>
      <c r="J188" s="196">
        <v>0</v>
      </c>
      <c r="K188" s="196">
        <v>0</v>
      </c>
      <c r="L188" s="207">
        <v>0</v>
      </c>
      <c r="M188" s="199">
        <v>0</v>
      </c>
      <c r="N188" s="199">
        <v>220.36</v>
      </c>
      <c r="O188" s="199">
        <f t="shared" si="2"/>
        <v>709600</v>
      </c>
      <c r="P188" s="208">
        <v>0</v>
      </c>
      <c r="Q188" s="199">
        <v>0</v>
      </c>
      <c r="R188" s="200">
        <v>0</v>
      </c>
      <c r="S188" s="209">
        <v>0</v>
      </c>
      <c r="T188" s="208">
        <v>0</v>
      </c>
      <c r="U188" s="289">
        <v>0</v>
      </c>
      <c r="V188" s="282"/>
      <c r="W188" s="282">
        <f t="shared" si="3"/>
        <v>3220.1851515701578</v>
      </c>
      <c r="X188" s="282"/>
    </row>
    <row r="189" spans="1:24" ht="15.75">
      <c r="A189" s="198">
        <v>12</v>
      </c>
      <c r="B189" s="941" t="s">
        <v>938</v>
      </c>
      <c r="C189" s="196">
        <f>'часть 1'!L200</f>
        <v>446509</v>
      </c>
      <c r="D189" s="196">
        <v>0</v>
      </c>
      <c r="E189" s="196">
        <v>0</v>
      </c>
      <c r="F189" s="196">
        <v>0</v>
      </c>
      <c r="G189" s="196">
        <v>0</v>
      </c>
      <c r="H189" s="196">
        <v>0</v>
      </c>
      <c r="I189" s="196">
        <v>0</v>
      </c>
      <c r="J189" s="196">
        <v>0</v>
      </c>
      <c r="K189" s="196">
        <v>0</v>
      </c>
      <c r="L189" s="207">
        <v>0</v>
      </c>
      <c r="M189" s="199">
        <v>0</v>
      </c>
      <c r="N189" s="199">
        <v>135.80000000000001</v>
      </c>
      <c r="O189" s="199">
        <f t="shared" si="2"/>
        <v>446509</v>
      </c>
      <c r="P189" s="208">
        <v>0</v>
      </c>
      <c r="Q189" s="199">
        <v>0</v>
      </c>
      <c r="R189" s="200">
        <v>0</v>
      </c>
      <c r="S189" s="209">
        <v>0</v>
      </c>
      <c r="T189" s="208">
        <v>0</v>
      </c>
      <c r="U189" s="289">
        <v>0</v>
      </c>
      <c r="V189" s="282"/>
      <c r="W189" s="282">
        <f t="shared" si="3"/>
        <v>3287.9896907216494</v>
      </c>
      <c r="X189" s="282"/>
    </row>
    <row r="190" spans="1:24" ht="15.75">
      <c r="A190" s="198">
        <v>13</v>
      </c>
      <c r="B190" s="941" t="s">
        <v>413</v>
      </c>
      <c r="C190" s="196">
        <f>'часть 1'!L201</f>
        <v>1205824</v>
      </c>
      <c r="D190" s="196">
        <v>0</v>
      </c>
      <c r="E190" s="196">
        <v>0</v>
      </c>
      <c r="F190" s="196">
        <v>0</v>
      </c>
      <c r="G190" s="196">
        <v>0</v>
      </c>
      <c r="H190" s="196">
        <v>0</v>
      </c>
      <c r="I190" s="196">
        <v>0</v>
      </c>
      <c r="J190" s="196">
        <v>0</v>
      </c>
      <c r="K190" s="196">
        <v>0</v>
      </c>
      <c r="L190" s="207">
        <v>0</v>
      </c>
      <c r="M190" s="199">
        <v>0</v>
      </c>
      <c r="N190" s="199">
        <v>380</v>
      </c>
      <c r="O190" s="199">
        <f t="shared" si="2"/>
        <v>1205824</v>
      </c>
      <c r="P190" s="208">
        <v>0</v>
      </c>
      <c r="Q190" s="199">
        <v>0</v>
      </c>
      <c r="R190" s="200">
        <v>0</v>
      </c>
      <c r="S190" s="209">
        <v>0</v>
      </c>
      <c r="T190" s="208">
        <v>0</v>
      </c>
      <c r="U190" s="289">
        <v>0</v>
      </c>
      <c r="V190" s="282"/>
      <c r="W190" s="282">
        <f t="shared" si="3"/>
        <v>3173.2210526315789</v>
      </c>
      <c r="X190" s="282"/>
    </row>
    <row r="191" spans="1:24" ht="15.75">
      <c r="A191" s="198">
        <v>14</v>
      </c>
      <c r="B191" s="941" t="s">
        <v>939</v>
      </c>
      <c r="C191" s="196">
        <f>'часть 1'!L202</f>
        <v>818595.8</v>
      </c>
      <c r="D191" s="196">
        <v>0</v>
      </c>
      <c r="E191" s="196">
        <v>0</v>
      </c>
      <c r="F191" s="196">
        <v>0</v>
      </c>
      <c r="G191" s="196">
        <v>0</v>
      </c>
      <c r="H191" s="196">
        <v>0</v>
      </c>
      <c r="I191" s="196">
        <v>0</v>
      </c>
      <c r="J191" s="196">
        <v>0</v>
      </c>
      <c r="K191" s="196">
        <v>0</v>
      </c>
      <c r="L191" s="207">
        <v>0</v>
      </c>
      <c r="M191" s="199">
        <v>0</v>
      </c>
      <c r="N191" s="199">
        <v>250</v>
      </c>
      <c r="O191" s="199">
        <f t="shared" si="2"/>
        <v>818595.8</v>
      </c>
      <c r="P191" s="208">
        <v>0</v>
      </c>
      <c r="Q191" s="199">
        <v>0</v>
      </c>
      <c r="R191" s="200">
        <v>0</v>
      </c>
      <c r="S191" s="209">
        <v>0</v>
      </c>
      <c r="T191" s="208">
        <v>0</v>
      </c>
      <c r="U191" s="289">
        <v>0</v>
      </c>
      <c r="V191" s="282"/>
      <c r="W191" s="282">
        <f t="shared" si="3"/>
        <v>3274.3832000000002</v>
      </c>
      <c r="X191" s="282"/>
    </row>
    <row r="192" spans="1:24" ht="22.9" customHeight="1">
      <c r="A192" s="198">
        <v>15</v>
      </c>
      <c r="B192" s="941" t="s">
        <v>940</v>
      </c>
      <c r="C192" s="196">
        <f>'часть 1'!L203</f>
        <v>2707283</v>
      </c>
      <c r="D192" s="196">
        <v>0</v>
      </c>
      <c r="E192" s="196">
        <v>0</v>
      </c>
      <c r="F192" s="196">
        <v>0</v>
      </c>
      <c r="G192" s="196">
        <v>0</v>
      </c>
      <c r="H192" s="196">
        <v>0</v>
      </c>
      <c r="I192" s="196">
        <v>0</v>
      </c>
      <c r="J192" s="196">
        <v>0</v>
      </c>
      <c r="K192" s="196">
        <v>0</v>
      </c>
      <c r="L192" s="207">
        <v>0</v>
      </c>
      <c r="M192" s="199">
        <v>0</v>
      </c>
      <c r="N192" s="199">
        <v>1095</v>
      </c>
      <c r="O192" s="199">
        <f t="shared" si="2"/>
        <v>2707283</v>
      </c>
      <c r="P192" s="208">
        <v>0</v>
      </c>
      <c r="Q192" s="199">
        <v>0</v>
      </c>
      <c r="R192" s="200">
        <v>0</v>
      </c>
      <c r="S192" s="209">
        <v>0</v>
      </c>
      <c r="T192" s="208">
        <v>0</v>
      </c>
      <c r="U192" s="289">
        <v>0</v>
      </c>
      <c r="V192" s="282"/>
      <c r="W192" s="282">
        <f t="shared" si="3"/>
        <v>2472.4045662100457</v>
      </c>
      <c r="X192" s="282"/>
    </row>
    <row r="193" spans="1:27" ht="21" customHeight="1">
      <c r="A193" s="198">
        <v>16</v>
      </c>
      <c r="B193" s="941" t="s">
        <v>941</v>
      </c>
      <c r="C193" s="196">
        <f>'часть 1'!L204</f>
        <v>1834849</v>
      </c>
      <c r="D193" s="196">
        <v>0</v>
      </c>
      <c r="E193" s="196">
        <v>0</v>
      </c>
      <c r="F193" s="196">
        <v>0</v>
      </c>
      <c r="G193" s="196">
        <v>0</v>
      </c>
      <c r="H193" s="196">
        <v>0</v>
      </c>
      <c r="I193" s="196">
        <v>0</v>
      </c>
      <c r="J193" s="196">
        <v>0</v>
      </c>
      <c r="K193" s="196">
        <v>0</v>
      </c>
      <c r="L193" s="207">
        <v>0</v>
      </c>
      <c r="M193" s="199">
        <v>0</v>
      </c>
      <c r="N193" s="199">
        <v>582.20000000000005</v>
      </c>
      <c r="O193" s="199">
        <f t="shared" si="2"/>
        <v>1834849</v>
      </c>
      <c r="P193" s="208">
        <v>0</v>
      </c>
      <c r="Q193" s="199">
        <v>0</v>
      </c>
      <c r="R193" s="200">
        <v>0</v>
      </c>
      <c r="S193" s="209">
        <v>0</v>
      </c>
      <c r="T193" s="208">
        <v>0</v>
      </c>
      <c r="U193" s="289">
        <v>0</v>
      </c>
      <c r="V193" s="282"/>
      <c r="W193" s="282">
        <f t="shared" si="3"/>
        <v>3151.5784953624184</v>
      </c>
      <c r="X193" s="282"/>
    </row>
    <row r="194" spans="1:27" ht="18.75" customHeight="1">
      <c r="A194" s="430"/>
      <c r="B194" s="467" t="s">
        <v>92</v>
      </c>
      <c r="C194" s="432">
        <f>C195</f>
        <v>366350</v>
      </c>
      <c r="D194" s="432">
        <f t="shared" ref="D194:U194" si="4">D195</f>
        <v>366350</v>
      </c>
      <c r="E194" s="432">
        <f t="shared" si="4"/>
        <v>0</v>
      </c>
      <c r="F194" s="432">
        <f t="shared" si="4"/>
        <v>366350</v>
      </c>
      <c r="G194" s="432">
        <f t="shared" si="4"/>
        <v>0</v>
      </c>
      <c r="H194" s="432">
        <f t="shared" si="4"/>
        <v>0</v>
      </c>
      <c r="I194" s="432">
        <f t="shared" si="4"/>
        <v>0</v>
      </c>
      <c r="J194" s="432">
        <f t="shared" si="4"/>
        <v>0</v>
      </c>
      <c r="K194" s="432">
        <f t="shared" si="4"/>
        <v>0</v>
      </c>
      <c r="L194" s="432">
        <f t="shared" si="4"/>
        <v>0</v>
      </c>
      <c r="M194" s="432">
        <f t="shared" si="4"/>
        <v>0</v>
      </c>
      <c r="N194" s="432">
        <f t="shared" si="4"/>
        <v>0</v>
      </c>
      <c r="O194" s="432">
        <f t="shared" si="4"/>
        <v>0</v>
      </c>
      <c r="P194" s="432">
        <f t="shared" si="4"/>
        <v>0</v>
      </c>
      <c r="Q194" s="432">
        <f t="shared" si="4"/>
        <v>0</v>
      </c>
      <c r="R194" s="432">
        <f t="shared" si="4"/>
        <v>0</v>
      </c>
      <c r="S194" s="432">
        <f t="shared" si="4"/>
        <v>0</v>
      </c>
      <c r="T194" s="432">
        <f t="shared" si="4"/>
        <v>0</v>
      </c>
      <c r="U194" s="432">
        <f t="shared" si="4"/>
        <v>0</v>
      </c>
      <c r="V194" s="282"/>
      <c r="W194" s="282"/>
      <c r="X194" s="282"/>
    </row>
    <row r="195" spans="1:27">
      <c r="A195" s="430">
        <v>177</v>
      </c>
      <c r="B195" s="467" t="s">
        <v>645</v>
      </c>
      <c r="C195" s="432">
        <f>'часть 1'!L206</f>
        <v>366350</v>
      </c>
      <c r="D195" s="432">
        <f>E195+F195+G195+H195+I195+J195+K195</f>
        <v>366350</v>
      </c>
      <c r="E195" s="432">
        <v>0</v>
      </c>
      <c r="F195" s="432">
        <v>366350</v>
      </c>
      <c r="G195" s="432">
        <v>0</v>
      </c>
      <c r="H195" s="432">
        <v>0</v>
      </c>
      <c r="I195" s="432">
        <v>0</v>
      </c>
      <c r="J195" s="432">
        <v>0</v>
      </c>
      <c r="K195" s="432">
        <v>0</v>
      </c>
      <c r="L195" s="463">
        <v>0</v>
      </c>
      <c r="M195" s="441">
        <v>0</v>
      </c>
      <c r="N195" s="556">
        <v>0</v>
      </c>
      <c r="O195" s="441">
        <v>0</v>
      </c>
      <c r="P195" s="482">
        <v>0</v>
      </c>
      <c r="Q195" s="441">
        <v>0</v>
      </c>
      <c r="R195" s="483">
        <v>0</v>
      </c>
      <c r="S195" s="484">
        <v>0</v>
      </c>
      <c r="T195" s="482">
        <v>0</v>
      </c>
      <c r="U195" s="902">
        <v>0</v>
      </c>
      <c r="V195" s="282"/>
      <c r="W195" s="282"/>
      <c r="X195" s="282"/>
      <c r="AA195" s="1">
        <f>F195/'часть 1'!I206</f>
        <v>923.26108870967744</v>
      </c>
    </row>
    <row r="196" spans="1:27" ht="18.75" customHeight="1">
      <c r="A196" s="430"/>
      <c r="B196" s="431" t="s">
        <v>93</v>
      </c>
      <c r="C196" s="432">
        <f>C197+C198+C199+C200+C201+C202+C203+C204+C205+C206+C207+C208</f>
        <v>31146002</v>
      </c>
      <c r="D196" s="432">
        <f t="shared" ref="D196:U196" si="5">D197+D198+D199+D200+D201+D202+D203+D204+D205+D206+D207+D208</f>
        <v>0</v>
      </c>
      <c r="E196" s="432">
        <f t="shared" si="5"/>
        <v>0</v>
      </c>
      <c r="F196" s="432">
        <f t="shared" si="5"/>
        <v>0</v>
      </c>
      <c r="G196" s="432">
        <f t="shared" si="5"/>
        <v>0</v>
      </c>
      <c r="H196" s="432">
        <f t="shared" si="5"/>
        <v>0</v>
      </c>
      <c r="I196" s="432">
        <f t="shared" si="5"/>
        <v>0</v>
      </c>
      <c r="J196" s="432">
        <f t="shared" si="5"/>
        <v>0</v>
      </c>
      <c r="K196" s="432">
        <f t="shared" si="5"/>
        <v>0</v>
      </c>
      <c r="L196" s="432">
        <f t="shared" si="5"/>
        <v>0</v>
      </c>
      <c r="M196" s="432">
        <f t="shared" si="5"/>
        <v>0</v>
      </c>
      <c r="N196" s="432">
        <f t="shared" si="5"/>
        <v>10349.570000000002</v>
      </c>
      <c r="O196" s="432">
        <f t="shared" si="5"/>
        <v>31146002</v>
      </c>
      <c r="P196" s="432">
        <f t="shared" si="5"/>
        <v>0</v>
      </c>
      <c r="Q196" s="432">
        <f t="shared" si="5"/>
        <v>0</v>
      </c>
      <c r="R196" s="432">
        <f t="shared" si="5"/>
        <v>0</v>
      </c>
      <c r="S196" s="432">
        <f t="shared" si="5"/>
        <v>0</v>
      </c>
      <c r="T196" s="432">
        <f t="shared" si="5"/>
        <v>0</v>
      </c>
      <c r="U196" s="432">
        <f t="shared" si="5"/>
        <v>0</v>
      </c>
      <c r="V196" s="282"/>
      <c r="W196" s="282"/>
      <c r="X196" s="282"/>
    </row>
    <row r="197" spans="1:27" s="23" customFormat="1">
      <c r="A197" s="430">
        <v>178</v>
      </c>
      <c r="B197" s="683" t="s">
        <v>778</v>
      </c>
      <c r="C197" s="439">
        <f>'часть 1'!L208</f>
        <v>2706084</v>
      </c>
      <c r="D197" s="439">
        <v>0</v>
      </c>
      <c r="E197" s="439">
        <v>0</v>
      </c>
      <c r="F197" s="439">
        <v>0</v>
      </c>
      <c r="G197" s="439">
        <v>0</v>
      </c>
      <c r="H197" s="439">
        <v>0</v>
      </c>
      <c r="I197" s="439">
        <v>0</v>
      </c>
      <c r="J197" s="439">
        <v>0</v>
      </c>
      <c r="K197" s="439">
        <v>0</v>
      </c>
      <c r="L197" s="440">
        <v>0</v>
      </c>
      <c r="M197" s="439">
        <v>0</v>
      </c>
      <c r="N197" s="439">
        <v>863.8</v>
      </c>
      <c r="O197" s="439">
        <v>2706084</v>
      </c>
      <c r="P197" s="440">
        <v>0</v>
      </c>
      <c r="Q197" s="439">
        <v>0</v>
      </c>
      <c r="R197" s="442">
        <v>0</v>
      </c>
      <c r="S197" s="439">
        <v>0</v>
      </c>
      <c r="T197" s="440">
        <v>0</v>
      </c>
      <c r="U197" s="443">
        <v>0</v>
      </c>
      <c r="V197" s="282"/>
      <c r="W197" s="282">
        <f>O197/N197</f>
        <v>3132.7668441768928</v>
      </c>
      <c r="X197" s="282"/>
    </row>
    <row r="198" spans="1:27" s="23" customFormat="1">
      <c r="A198" s="430">
        <v>179</v>
      </c>
      <c r="B198" s="683" t="s">
        <v>779</v>
      </c>
      <c r="C198" s="439">
        <f>'часть 1'!L209</f>
        <v>1419136</v>
      </c>
      <c r="D198" s="439">
        <v>0</v>
      </c>
      <c r="E198" s="439">
        <v>0</v>
      </c>
      <c r="F198" s="439">
        <v>0</v>
      </c>
      <c r="G198" s="439">
        <v>0</v>
      </c>
      <c r="H198" s="439">
        <v>0</v>
      </c>
      <c r="I198" s="439">
        <v>0</v>
      </c>
      <c r="J198" s="439">
        <v>0</v>
      </c>
      <c r="K198" s="439">
        <v>0</v>
      </c>
      <c r="L198" s="440">
        <v>0</v>
      </c>
      <c r="M198" s="439">
        <v>0</v>
      </c>
      <c r="N198" s="439">
        <v>448.92</v>
      </c>
      <c r="O198" s="439">
        <v>1419136</v>
      </c>
      <c r="P198" s="440">
        <v>0</v>
      </c>
      <c r="Q198" s="439">
        <v>0</v>
      </c>
      <c r="R198" s="442">
        <v>0</v>
      </c>
      <c r="S198" s="439">
        <v>0</v>
      </c>
      <c r="T198" s="440">
        <v>0</v>
      </c>
      <c r="U198" s="443">
        <v>0</v>
      </c>
      <c r="V198" s="282"/>
      <c r="W198" s="282">
        <f t="shared" ref="W198:W208" si="6">O198/N198</f>
        <v>3161.2224895304284</v>
      </c>
      <c r="X198" s="282"/>
    </row>
    <row r="199" spans="1:27" s="23" customFormat="1">
      <c r="A199" s="430">
        <v>180</v>
      </c>
      <c r="B199" s="683" t="s">
        <v>780</v>
      </c>
      <c r="C199" s="439">
        <f>'часть 1'!L210</f>
        <v>3552093</v>
      </c>
      <c r="D199" s="439">
        <v>0</v>
      </c>
      <c r="E199" s="439">
        <v>0</v>
      </c>
      <c r="F199" s="439">
        <v>0</v>
      </c>
      <c r="G199" s="439">
        <v>0</v>
      </c>
      <c r="H199" s="439">
        <v>0</v>
      </c>
      <c r="I199" s="439">
        <v>0</v>
      </c>
      <c r="J199" s="439">
        <v>0</v>
      </c>
      <c r="K199" s="439">
        <v>0</v>
      </c>
      <c r="L199" s="440">
        <v>0</v>
      </c>
      <c r="M199" s="439">
        <v>0</v>
      </c>
      <c r="N199" s="439">
        <v>1135</v>
      </c>
      <c r="O199" s="439">
        <v>3552093</v>
      </c>
      <c r="P199" s="440">
        <v>0</v>
      </c>
      <c r="Q199" s="439">
        <v>0</v>
      </c>
      <c r="R199" s="442">
        <v>0</v>
      </c>
      <c r="S199" s="439">
        <v>0</v>
      </c>
      <c r="T199" s="440">
        <v>0</v>
      </c>
      <c r="U199" s="443">
        <v>0</v>
      </c>
      <c r="V199" s="282"/>
      <c r="W199" s="282">
        <f t="shared" si="6"/>
        <v>3129.5973568281938</v>
      </c>
      <c r="X199" s="282"/>
    </row>
    <row r="200" spans="1:27" s="23" customFormat="1">
      <c r="A200" s="430">
        <v>181</v>
      </c>
      <c r="B200" s="683" t="s">
        <v>781</v>
      </c>
      <c r="C200" s="439">
        <f>'часть 1'!L211</f>
        <v>2154879</v>
      </c>
      <c r="D200" s="439">
        <v>0</v>
      </c>
      <c r="E200" s="439">
        <v>0</v>
      </c>
      <c r="F200" s="439">
        <v>0</v>
      </c>
      <c r="G200" s="439">
        <v>0</v>
      </c>
      <c r="H200" s="439">
        <v>0</v>
      </c>
      <c r="I200" s="439">
        <v>0</v>
      </c>
      <c r="J200" s="439">
        <v>0</v>
      </c>
      <c r="K200" s="439">
        <v>0</v>
      </c>
      <c r="L200" s="440">
        <v>0</v>
      </c>
      <c r="M200" s="439">
        <v>0</v>
      </c>
      <c r="N200" s="439">
        <v>682.5</v>
      </c>
      <c r="O200" s="439">
        <v>2154879</v>
      </c>
      <c r="P200" s="440">
        <v>0</v>
      </c>
      <c r="Q200" s="439">
        <v>0</v>
      </c>
      <c r="R200" s="442">
        <v>0</v>
      </c>
      <c r="S200" s="439">
        <v>0</v>
      </c>
      <c r="T200" s="440">
        <v>0</v>
      </c>
      <c r="U200" s="443">
        <v>0</v>
      </c>
      <c r="V200" s="282"/>
      <c r="W200" s="282">
        <f t="shared" si="6"/>
        <v>3157.3318681318683</v>
      </c>
      <c r="X200" s="282"/>
    </row>
    <row r="201" spans="1:27" s="23" customFormat="1">
      <c r="A201" s="430">
        <v>182</v>
      </c>
      <c r="B201" s="683" t="s">
        <v>782</v>
      </c>
      <c r="C201" s="439">
        <f>'часть 1'!L212</f>
        <v>4352566</v>
      </c>
      <c r="D201" s="439">
        <v>0</v>
      </c>
      <c r="E201" s="439">
        <v>0</v>
      </c>
      <c r="F201" s="439">
        <v>0</v>
      </c>
      <c r="G201" s="439">
        <v>0</v>
      </c>
      <c r="H201" s="439">
        <v>0</v>
      </c>
      <c r="I201" s="439">
        <v>0</v>
      </c>
      <c r="J201" s="439">
        <v>0</v>
      </c>
      <c r="K201" s="439">
        <v>0</v>
      </c>
      <c r="L201" s="440">
        <v>0</v>
      </c>
      <c r="M201" s="439">
        <v>0</v>
      </c>
      <c r="N201" s="439">
        <v>1394.5</v>
      </c>
      <c r="O201" s="439">
        <v>4352566</v>
      </c>
      <c r="P201" s="440">
        <v>0</v>
      </c>
      <c r="Q201" s="439">
        <v>0</v>
      </c>
      <c r="R201" s="442">
        <v>0</v>
      </c>
      <c r="S201" s="439">
        <v>0</v>
      </c>
      <c r="T201" s="440">
        <v>0</v>
      </c>
      <c r="U201" s="443">
        <v>0</v>
      </c>
      <c r="V201" s="282"/>
      <c r="W201" s="282">
        <f t="shared" si="6"/>
        <v>3121.2377196127645</v>
      </c>
      <c r="X201" s="282"/>
    </row>
    <row r="202" spans="1:27" s="23" customFormat="1">
      <c r="A202" s="430">
        <v>183</v>
      </c>
      <c r="B202" s="683" t="s">
        <v>783</v>
      </c>
      <c r="C202" s="439">
        <f>'часть 1'!L213</f>
        <v>1202127</v>
      </c>
      <c r="D202" s="439">
        <v>0</v>
      </c>
      <c r="E202" s="439">
        <v>0</v>
      </c>
      <c r="F202" s="439">
        <v>0</v>
      </c>
      <c r="G202" s="439">
        <v>0</v>
      </c>
      <c r="H202" s="439">
        <v>0</v>
      </c>
      <c r="I202" s="439">
        <v>0</v>
      </c>
      <c r="J202" s="439">
        <v>0</v>
      </c>
      <c r="K202" s="439">
        <v>0</v>
      </c>
      <c r="L202" s="440">
        <v>0</v>
      </c>
      <c r="M202" s="439">
        <v>0</v>
      </c>
      <c r="N202" s="439">
        <v>375.5</v>
      </c>
      <c r="O202" s="439">
        <v>1202127</v>
      </c>
      <c r="P202" s="440">
        <v>0</v>
      </c>
      <c r="Q202" s="439">
        <v>0</v>
      </c>
      <c r="R202" s="442">
        <v>0</v>
      </c>
      <c r="S202" s="439">
        <v>0</v>
      </c>
      <c r="T202" s="440">
        <v>0</v>
      </c>
      <c r="U202" s="443">
        <v>0</v>
      </c>
      <c r="V202" s="282"/>
      <c r="W202" s="282">
        <f t="shared" si="6"/>
        <v>3201.403462050599</v>
      </c>
      <c r="X202" s="282"/>
    </row>
    <row r="203" spans="1:27" s="23" customFormat="1">
      <c r="A203" s="430">
        <v>184</v>
      </c>
      <c r="B203" s="683" t="s">
        <v>775</v>
      </c>
      <c r="C203" s="439">
        <f>'часть 1'!L214</f>
        <v>3401733</v>
      </c>
      <c r="D203" s="439">
        <v>0</v>
      </c>
      <c r="E203" s="439">
        <v>0</v>
      </c>
      <c r="F203" s="439">
        <v>0</v>
      </c>
      <c r="G203" s="439">
        <v>0</v>
      </c>
      <c r="H203" s="439">
        <v>0</v>
      </c>
      <c r="I203" s="439">
        <v>0</v>
      </c>
      <c r="J203" s="439">
        <v>0</v>
      </c>
      <c r="K203" s="439">
        <v>0</v>
      </c>
      <c r="L203" s="440">
        <v>0</v>
      </c>
      <c r="M203" s="439">
        <v>0</v>
      </c>
      <c r="N203" s="439">
        <v>1068.5</v>
      </c>
      <c r="O203" s="439">
        <v>3401733</v>
      </c>
      <c r="P203" s="440">
        <v>0</v>
      </c>
      <c r="Q203" s="439">
        <v>0</v>
      </c>
      <c r="R203" s="442">
        <v>0</v>
      </c>
      <c r="S203" s="439">
        <v>0</v>
      </c>
      <c r="T203" s="440">
        <v>0</v>
      </c>
      <c r="U203" s="443">
        <v>0</v>
      </c>
      <c r="V203" s="282"/>
      <c r="W203" s="282">
        <f t="shared" si="6"/>
        <v>3183.6527842770238</v>
      </c>
      <c r="X203" s="282"/>
    </row>
    <row r="204" spans="1:27" s="23" customFormat="1">
      <c r="A204" s="430">
        <v>185</v>
      </c>
      <c r="B204" s="683" t="s">
        <v>784</v>
      </c>
      <c r="C204" s="439">
        <f>'часть 1'!L215</f>
        <v>1763431</v>
      </c>
      <c r="D204" s="439">
        <v>0</v>
      </c>
      <c r="E204" s="439">
        <v>0</v>
      </c>
      <c r="F204" s="439">
        <v>0</v>
      </c>
      <c r="G204" s="439">
        <v>0</v>
      </c>
      <c r="H204" s="439">
        <v>0</v>
      </c>
      <c r="I204" s="439">
        <v>0</v>
      </c>
      <c r="J204" s="439">
        <v>0</v>
      </c>
      <c r="K204" s="439">
        <v>0</v>
      </c>
      <c r="L204" s="440">
        <v>0</v>
      </c>
      <c r="M204" s="439">
        <v>0</v>
      </c>
      <c r="N204" s="439">
        <v>560</v>
      </c>
      <c r="O204" s="439">
        <v>1763431</v>
      </c>
      <c r="P204" s="440">
        <v>0</v>
      </c>
      <c r="Q204" s="439">
        <v>0</v>
      </c>
      <c r="R204" s="442">
        <v>0</v>
      </c>
      <c r="S204" s="439">
        <v>0</v>
      </c>
      <c r="T204" s="440">
        <v>0</v>
      </c>
      <c r="U204" s="443">
        <v>0</v>
      </c>
      <c r="V204" s="282"/>
      <c r="W204" s="282">
        <f t="shared" si="6"/>
        <v>3148.9839285714284</v>
      </c>
      <c r="X204" s="282"/>
    </row>
    <row r="205" spans="1:27" s="23" customFormat="1">
      <c r="A205" s="430">
        <v>186</v>
      </c>
      <c r="B205" s="683" t="s">
        <v>776</v>
      </c>
      <c r="C205" s="439">
        <f>'часть 1'!L216</f>
        <v>2572091</v>
      </c>
      <c r="D205" s="439">
        <v>0</v>
      </c>
      <c r="E205" s="439">
        <v>0</v>
      </c>
      <c r="F205" s="439">
        <v>0</v>
      </c>
      <c r="G205" s="439">
        <v>0</v>
      </c>
      <c r="H205" s="439">
        <v>0</v>
      </c>
      <c r="I205" s="439">
        <v>0</v>
      </c>
      <c r="J205" s="439">
        <v>0</v>
      </c>
      <c r="K205" s="439">
        <v>0</v>
      </c>
      <c r="L205" s="440">
        <v>0</v>
      </c>
      <c r="M205" s="439">
        <v>0</v>
      </c>
      <c r="N205" s="439">
        <v>1040</v>
      </c>
      <c r="O205" s="439">
        <v>2572091</v>
      </c>
      <c r="P205" s="440">
        <v>0</v>
      </c>
      <c r="Q205" s="439">
        <v>0</v>
      </c>
      <c r="R205" s="442">
        <v>0</v>
      </c>
      <c r="S205" s="439">
        <v>0</v>
      </c>
      <c r="T205" s="440">
        <v>0</v>
      </c>
      <c r="U205" s="443">
        <v>0</v>
      </c>
      <c r="V205" s="282"/>
      <c r="W205" s="282">
        <f t="shared" si="6"/>
        <v>2473.164423076923</v>
      </c>
      <c r="X205" s="282"/>
    </row>
    <row r="206" spans="1:27" s="23" customFormat="1">
      <c r="A206" s="430">
        <v>187</v>
      </c>
      <c r="B206" s="683" t="s">
        <v>785</v>
      </c>
      <c r="C206" s="439">
        <f>'часть 1'!L217</f>
        <v>2660626</v>
      </c>
      <c r="D206" s="439">
        <v>0</v>
      </c>
      <c r="E206" s="439">
        <v>0</v>
      </c>
      <c r="F206" s="439">
        <v>0</v>
      </c>
      <c r="G206" s="439">
        <v>0</v>
      </c>
      <c r="H206" s="439">
        <v>0</v>
      </c>
      <c r="I206" s="439">
        <v>0</v>
      </c>
      <c r="J206" s="439">
        <v>0</v>
      </c>
      <c r="K206" s="439">
        <v>0</v>
      </c>
      <c r="L206" s="440">
        <v>0</v>
      </c>
      <c r="M206" s="439">
        <v>0</v>
      </c>
      <c r="N206" s="439">
        <v>1076</v>
      </c>
      <c r="O206" s="439">
        <v>2660626</v>
      </c>
      <c r="P206" s="440">
        <v>0</v>
      </c>
      <c r="Q206" s="439">
        <v>0</v>
      </c>
      <c r="R206" s="442">
        <v>0</v>
      </c>
      <c r="S206" s="439">
        <v>0</v>
      </c>
      <c r="T206" s="440">
        <v>0</v>
      </c>
      <c r="U206" s="443">
        <v>0</v>
      </c>
      <c r="V206" s="282"/>
      <c r="W206" s="282">
        <f t="shared" si="6"/>
        <v>2472.7007434944239</v>
      </c>
      <c r="X206" s="282"/>
    </row>
    <row r="207" spans="1:27" s="23" customFormat="1">
      <c r="A207" s="430">
        <v>188</v>
      </c>
      <c r="B207" s="683" t="s">
        <v>786</v>
      </c>
      <c r="C207" s="439">
        <f>'часть 1'!L218</f>
        <v>1458499</v>
      </c>
      <c r="D207" s="439">
        <v>0</v>
      </c>
      <c r="E207" s="439">
        <v>0</v>
      </c>
      <c r="F207" s="439">
        <v>0</v>
      </c>
      <c r="G207" s="439">
        <v>0</v>
      </c>
      <c r="H207" s="439">
        <v>0</v>
      </c>
      <c r="I207" s="439">
        <v>0</v>
      </c>
      <c r="J207" s="439">
        <v>0</v>
      </c>
      <c r="K207" s="439">
        <v>0</v>
      </c>
      <c r="L207" s="440">
        <v>0</v>
      </c>
      <c r="M207" s="439">
        <v>0</v>
      </c>
      <c r="N207" s="439">
        <v>461.85</v>
      </c>
      <c r="O207" s="439">
        <v>1458499</v>
      </c>
      <c r="P207" s="440">
        <v>0</v>
      </c>
      <c r="Q207" s="439">
        <v>0</v>
      </c>
      <c r="R207" s="442">
        <v>0</v>
      </c>
      <c r="S207" s="439">
        <v>0</v>
      </c>
      <c r="T207" s="440">
        <v>0</v>
      </c>
      <c r="U207" s="443">
        <v>0</v>
      </c>
      <c r="V207" s="282"/>
      <c r="W207" s="282">
        <f t="shared" si="6"/>
        <v>3157.9495507199304</v>
      </c>
      <c r="X207" s="282"/>
    </row>
    <row r="208" spans="1:27" s="23" customFormat="1">
      <c r="A208" s="430">
        <v>189</v>
      </c>
      <c r="B208" s="683" t="s">
        <v>787</v>
      </c>
      <c r="C208" s="439">
        <f>'часть 1'!L219</f>
        <v>3902737</v>
      </c>
      <c r="D208" s="439">
        <v>0</v>
      </c>
      <c r="E208" s="439">
        <v>0</v>
      </c>
      <c r="F208" s="439">
        <v>0</v>
      </c>
      <c r="G208" s="439">
        <v>0</v>
      </c>
      <c r="H208" s="439">
        <v>0</v>
      </c>
      <c r="I208" s="439">
        <v>0</v>
      </c>
      <c r="J208" s="439">
        <v>0</v>
      </c>
      <c r="K208" s="439">
        <v>0</v>
      </c>
      <c r="L208" s="440">
        <v>0</v>
      </c>
      <c r="M208" s="439">
        <v>0</v>
      </c>
      <c r="N208" s="439">
        <v>1243</v>
      </c>
      <c r="O208" s="439">
        <v>3902737</v>
      </c>
      <c r="P208" s="440">
        <v>0</v>
      </c>
      <c r="Q208" s="439">
        <v>0</v>
      </c>
      <c r="R208" s="442">
        <v>0</v>
      </c>
      <c r="S208" s="439">
        <v>0</v>
      </c>
      <c r="T208" s="440">
        <v>0</v>
      </c>
      <c r="U208" s="443">
        <v>0</v>
      </c>
      <c r="V208" s="282"/>
      <c r="W208" s="282">
        <f t="shared" si="6"/>
        <v>3139.7723250201125</v>
      </c>
      <c r="X208" s="282"/>
    </row>
    <row r="209" spans="1:28" s="23" customFormat="1">
      <c r="A209" s="430"/>
      <c r="B209" s="683"/>
      <c r="C209" s="439"/>
      <c r="D209" s="439"/>
      <c r="E209" s="439"/>
      <c r="F209" s="439"/>
      <c r="G209" s="439"/>
      <c r="H209" s="439"/>
      <c r="I209" s="439"/>
      <c r="J209" s="439"/>
      <c r="K209" s="439"/>
      <c r="L209" s="440"/>
      <c r="M209" s="439"/>
      <c r="N209" s="439"/>
      <c r="O209" s="439"/>
      <c r="P209" s="440"/>
      <c r="Q209" s="439"/>
      <c r="R209" s="442"/>
      <c r="S209" s="439"/>
      <c r="T209" s="440"/>
      <c r="U209" s="443"/>
      <c r="V209" s="282"/>
      <c r="W209" s="282"/>
      <c r="X209" s="282"/>
    </row>
    <row r="210" spans="1:28" s="23" customFormat="1">
      <c r="A210" s="430"/>
      <c r="B210" s="683"/>
      <c r="C210" s="439"/>
      <c r="D210" s="439"/>
      <c r="E210" s="439"/>
      <c r="F210" s="439"/>
      <c r="G210" s="439"/>
      <c r="H210" s="439"/>
      <c r="I210" s="439"/>
      <c r="J210" s="439"/>
      <c r="K210" s="439"/>
      <c r="L210" s="440"/>
      <c r="M210" s="439"/>
      <c r="N210" s="439"/>
      <c r="O210" s="439"/>
      <c r="P210" s="440"/>
      <c r="Q210" s="439"/>
      <c r="R210" s="442"/>
      <c r="S210" s="439"/>
      <c r="T210" s="440"/>
      <c r="U210" s="443"/>
      <c r="V210" s="282"/>
      <c r="W210" s="282"/>
      <c r="X210" s="282"/>
    </row>
    <row r="211" spans="1:28" s="23" customFormat="1">
      <c r="A211" s="430"/>
      <c r="B211" s="683"/>
      <c r="C211" s="439"/>
      <c r="D211" s="439"/>
      <c r="E211" s="439"/>
      <c r="F211" s="439"/>
      <c r="G211" s="439"/>
      <c r="H211" s="439"/>
      <c r="I211" s="439"/>
      <c r="J211" s="439"/>
      <c r="K211" s="439"/>
      <c r="L211" s="440"/>
      <c r="M211" s="439"/>
      <c r="N211" s="439"/>
      <c r="O211" s="439"/>
      <c r="P211" s="440"/>
      <c r="Q211" s="439"/>
      <c r="R211" s="442"/>
      <c r="S211" s="439"/>
      <c r="T211" s="440"/>
      <c r="U211" s="443"/>
      <c r="V211" s="282"/>
      <c r="W211" s="282"/>
      <c r="X211" s="282"/>
    </row>
    <row r="212" spans="1:28" s="23" customFormat="1">
      <c r="A212" s="430"/>
      <c r="B212" s="683"/>
      <c r="C212" s="439"/>
      <c r="D212" s="439"/>
      <c r="E212" s="439"/>
      <c r="F212" s="439"/>
      <c r="G212" s="439"/>
      <c r="H212" s="439"/>
      <c r="I212" s="439"/>
      <c r="J212" s="439"/>
      <c r="K212" s="439"/>
      <c r="L212" s="440"/>
      <c r="M212" s="439"/>
      <c r="N212" s="439"/>
      <c r="O212" s="439"/>
      <c r="P212" s="440"/>
      <c r="Q212" s="439"/>
      <c r="R212" s="442"/>
      <c r="S212" s="439"/>
      <c r="T212" s="440"/>
      <c r="U212" s="443"/>
      <c r="V212" s="282"/>
      <c r="W212" s="282"/>
      <c r="X212" s="282"/>
    </row>
    <row r="213" spans="1:28" s="23" customFormat="1">
      <c r="A213" s="430"/>
      <c r="B213" s="683"/>
      <c r="C213" s="439"/>
      <c r="D213" s="439"/>
      <c r="E213" s="439"/>
      <c r="F213" s="439"/>
      <c r="G213" s="439"/>
      <c r="H213" s="439"/>
      <c r="I213" s="439"/>
      <c r="J213" s="439"/>
      <c r="K213" s="439"/>
      <c r="L213" s="440"/>
      <c r="M213" s="439"/>
      <c r="N213" s="439"/>
      <c r="O213" s="439"/>
      <c r="P213" s="440"/>
      <c r="Q213" s="439"/>
      <c r="R213" s="442"/>
      <c r="S213" s="439"/>
      <c r="T213" s="440"/>
      <c r="U213" s="443"/>
      <c r="V213" s="282"/>
      <c r="W213" s="282"/>
      <c r="X213" s="282"/>
    </row>
    <row r="214" spans="1:28" s="23" customFormat="1">
      <c r="A214" s="430"/>
      <c r="B214" s="683"/>
      <c r="C214" s="439"/>
      <c r="D214" s="439"/>
      <c r="E214" s="439"/>
      <c r="F214" s="439"/>
      <c r="G214" s="439"/>
      <c r="H214" s="439"/>
      <c r="I214" s="439"/>
      <c r="J214" s="439"/>
      <c r="K214" s="439"/>
      <c r="L214" s="440"/>
      <c r="M214" s="439"/>
      <c r="N214" s="439"/>
      <c r="O214" s="439"/>
      <c r="P214" s="440"/>
      <c r="Q214" s="439"/>
      <c r="R214" s="442"/>
      <c r="S214" s="439"/>
      <c r="T214" s="440"/>
      <c r="U214" s="443"/>
      <c r="V214" s="282"/>
      <c r="W214" s="282"/>
      <c r="X214" s="282"/>
    </row>
    <row r="215" spans="1:28" s="23" customFormat="1">
      <c r="A215" s="430"/>
      <c r="B215" s="683"/>
      <c r="C215" s="439"/>
      <c r="D215" s="439"/>
      <c r="E215" s="439"/>
      <c r="F215" s="439"/>
      <c r="G215" s="439"/>
      <c r="H215" s="439"/>
      <c r="I215" s="439"/>
      <c r="J215" s="439"/>
      <c r="K215" s="439"/>
      <c r="L215" s="440"/>
      <c r="M215" s="439"/>
      <c r="N215" s="439"/>
      <c r="O215" s="439"/>
      <c r="P215" s="440"/>
      <c r="Q215" s="439"/>
      <c r="R215" s="442"/>
      <c r="S215" s="439"/>
      <c r="T215" s="440"/>
      <c r="U215" s="443"/>
      <c r="V215" s="282"/>
      <c r="W215" s="282"/>
      <c r="X215" s="282"/>
    </row>
    <row r="216" spans="1:28" s="23" customFormat="1">
      <c r="A216" s="430"/>
      <c r="B216" s="683"/>
      <c r="C216" s="439"/>
      <c r="D216" s="439"/>
      <c r="E216" s="439"/>
      <c r="F216" s="439"/>
      <c r="G216" s="439"/>
      <c r="H216" s="439"/>
      <c r="I216" s="439"/>
      <c r="J216" s="439"/>
      <c r="K216" s="439"/>
      <c r="L216" s="440"/>
      <c r="M216" s="439"/>
      <c r="N216" s="439"/>
      <c r="O216" s="439"/>
      <c r="P216" s="440"/>
      <c r="Q216" s="439"/>
      <c r="R216" s="442"/>
      <c r="S216" s="439"/>
      <c r="T216" s="440"/>
      <c r="U216" s="443"/>
      <c r="V216" s="282"/>
      <c r="W216" s="282"/>
      <c r="X216" s="282"/>
    </row>
    <row r="217" spans="1:28" s="23" customFormat="1">
      <c r="A217" s="430"/>
      <c r="B217" s="683"/>
      <c r="C217" s="439"/>
      <c r="D217" s="439"/>
      <c r="E217" s="439"/>
      <c r="F217" s="439"/>
      <c r="G217" s="439"/>
      <c r="H217" s="439"/>
      <c r="I217" s="439"/>
      <c r="J217" s="439"/>
      <c r="K217" s="439"/>
      <c r="L217" s="440"/>
      <c r="M217" s="439"/>
      <c r="N217" s="439"/>
      <c r="O217" s="439"/>
      <c r="P217" s="440"/>
      <c r="Q217" s="439"/>
      <c r="R217" s="442"/>
      <c r="S217" s="439"/>
      <c r="T217" s="440"/>
      <c r="U217" s="443"/>
      <c r="V217" s="282"/>
      <c r="W217" s="282"/>
      <c r="X217" s="282"/>
    </row>
    <row r="218" spans="1:28" s="23" customFormat="1">
      <c r="A218" s="430"/>
      <c r="B218" s="683"/>
      <c r="C218" s="439"/>
      <c r="D218" s="439"/>
      <c r="E218" s="439"/>
      <c r="F218" s="439"/>
      <c r="G218" s="439"/>
      <c r="H218" s="439"/>
      <c r="I218" s="439"/>
      <c r="J218" s="439"/>
      <c r="K218" s="439"/>
      <c r="L218" s="440"/>
      <c r="M218" s="439"/>
      <c r="N218" s="439"/>
      <c r="O218" s="439"/>
      <c r="P218" s="440"/>
      <c r="Q218" s="439"/>
      <c r="R218" s="442"/>
      <c r="S218" s="439"/>
      <c r="T218" s="440"/>
      <c r="U218" s="443"/>
      <c r="V218" s="282"/>
      <c r="W218" s="282"/>
      <c r="X218" s="282"/>
    </row>
    <row r="219" spans="1:28" s="23" customFormat="1">
      <c r="A219" s="430"/>
      <c r="B219" s="683"/>
      <c r="C219" s="439"/>
      <c r="D219" s="439"/>
      <c r="E219" s="439"/>
      <c r="F219" s="439"/>
      <c r="G219" s="439"/>
      <c r="H219" s="439"/>
      <c r="I219" s="439"/>
      <c r="J219" s="439"/>
      <c r="K219" s="439"/>
      <c r="L219" s="440"/>
      <c r="M219" s="439"/>
      <c r="N219" s="439"/>
      <c r="O219" s="439"/>
      <c r="P219" s="440"/>
      <c r="Q219" s="439"/>
      <c r="R219" s="442"/>
      <c r="S219" s="439"/>
      <c r="T219" s="440"/>
      <c r="U219" s="443"/>
      <c r="V219" s="282"/>
      <c r="W219" s="282"/>
      <c r="X219" s="282"/>
    </row>
    <row r="220" spans="1:28" s="23" customFormat="1">
      <c r="A220" s="430"/>
      <c r="B220" s="683"/>
      <c r="C220" s="439"/>
      <c r="D220" s="439"/>
      <c r="E220" s="439"/>
      <c r="F220" s="439"/>
      <c r="G220" s="439"/>
      <c r="H220" s="439"/>
      <c r="I220" s="439"/>
      <c r="J220" s="439"/>
      <c r="K220" s="439"/>
      <c r="L220" s="440"/>
      <c r="M220" s="439"/>
      <c r="N220" s="439"/>
      <c r="O220" s="439"/>
      <c r="P220" s="440"/>
      <c r="Q220" s="439"/>
      <c r="R220" s="442"/>
      <c r="S220" s="439"/>
      <c r="T220" s="440"/>
      <c r="U220" s="443"/>
      <c r="V220" s="282"/>
      <c r="W220" s="282"/>
      <c r="X220" s="282"/>
    </row>
    <row r="221" spans="1:28" s="23" customFormat="1">
      <c r="A221" s="430"/>
      <c r="B221" s="683"/>
      <c r="C221" s="439"/>
      <c r="D221" s="439"/>
      <c r="E221" s="439"/>
      <c r="F221" s="439"/>
      <c r="G221" s="439"/>
      <c r="H221" s="439"/>
      <c r="I221" s="439"/>
      <c r="J221" s="439"/>
      <c r="K221" s="439"/>
      <c r="L221" s="440"/>
      <c r="M221" s="439"/>
      <c r="N221" s="439"/>
      <c r="O221" s="439"/>
      <c r="P221" s="440"/>
      <c r="Q221" s="439"/>
      <c r="R221" s="442"/>
      <c r="S221" s="439"/>
      <c r="T221" s="440"/>
      <c r="U221" s="443"/>
      <c r="V221" s="282"/>
      <c r="W221" s="282"/>
      <c r="X221" s="282"/>
    </row>
    <row r="222" spans="1:28" ht="18.75" customHeight="1">
      <c r="A222" s="198"/>
      <c r="B222" s="214" t="s">
        <v>94</v>
      </c>
      <c r="C222" s="211">
        <f>C223+C224+C225+C226+C227+C228+C229+C230+C231</f>
        <v>26467626</v>
      </c>
      <c r="D222" s="211">
        <f t="shared" ref="D222:U222" si="7">D223+D224+D225+D226+D227+D228+D229+D230+D231</f>
        <v>9623823</v>
      </c>
      <c r="E222" s="211">
        <f t="shared" si="7"/>
        <v>0</v>
      </c>
      <c r="F222" s="211">
        <f t="shared" si="7"/>
        <v>9623823</v>
      </c>
      <c r="G222" s="211">
        <f t="shared" si="7"/>
        <v>0</v>
      </c>
      <c r="H222" s="211">
        <f t="shared" si="7"/>
        <v>0</v>
      </c>
      <c r="I222" s="211">
        <f t="shared" si="7"/>
        <v>0</v>
      </c>
      <c r="J222" s="211">
        <f t="shared" si="7"/>
        <v>0</v>
      </c>
      <c r="K222" s="211">
        <f t="shared" si="7"/>
        <v>0</v>
      </c>
      <c r="L222" s="211">
        <f t="shared" si="7"/>
        <v>0</v>
      </c>
      <c r="M222" s="211">
        <f t="shared" si="7"/>
        <v>0</v>
      </c>
      <c r="N222" s="211">
        <f t="shared" si="7"/>
        <v>6095.2999999999993</v>
      </c>
      <c r="O222" s="211">
        <f t="shared" si="7"/>
        <v>16843803</v>
      </c>
      <c r="P222" s="211">
        <f t="shared" si="7"/>
        <v>0</v>
      </c>
      <c r="Q222" s="211">
        <f t="shared" si="7"/>
        <v>0</v>
      </c>
      <c r="R222" s="211">
        <f t="shared" si="7"/>
        <v>0</v>
      </c>
      <c r="S222" s="211">
        <f t="shared" si="7"/>
        <v>0</v>
      </c>
      <c r="T222" s="211">
        <f t="shared" si="7"/>
        <v>0</v>
      </c>
      <c r="U222" s="211">
        <f t="shared" si="7"/>
        <v>0</v>
      </c>
      <c r="V222" s="282"/>
      <c r="W222" s="282"/>
      <c r="X222" s="282"/>
      <c r="Y222" s="10"/>
      <c r="Z222" s="10"/>
      <c r="AA222" s="10"/>
      <c r="AB222" s="10"/>
    </row>
    <row r="223" spans="1:28" s="5" customFormat="1">
      <c r="A223" s="430">
        <v>203</v>
      </c>
      <c r="B223" s="446" t="s">
        <v>561</v>
      </c>
      <c r="C223" s="441">
        <f>'часть 1'!L232</f>
        <v>3993146</v>
      </c>
      <c r="D223" s="441">
        <f>E223+F223+G223+H223+I223+J223+K223</f>
        <v>0</v>
      </c>
      <c r="E223" s="441">
        <v>0</v>
      </c>
      <c r="F223" s="441">
        <v>0</v>
      </c>
      <c r="G223" s="441">
        <v>0</v>
      </c>
      <c r="H223" s="441">
        <v>0</v>
      </c>
      <c r="I223" s="441">
        <v>0</v>
      </c>
      <c r="J223" s="441">
        <v>0</v>
      </c>
      <c r="K223" s="441">
        <v>0</v>
      </c>
      <c r="L223" s="482">
        <v>0</v>
      </c>
      <c r="M223" s="441">
        <v>0</v>
      </c>
      <c r="N223" s="441">
        <v>1276.5999999999999</v>
      </c>
      <c r="O223" s="441">
        <v>3993146</v>
      </c>
      <c r="P223" s="482">
        <v>0</v>
      </c>
      <c r="Q223" s="441">
        <v>0</v>
      </c>
      <c r="R223" s="483">
        <v>0</v>
      </c>
      <c r="S223" s="484">
        <v>0</v>
      </c>
      <c r="T223" s="485">
        <v>0</v>
      </c>
      <c r="U223" s="486">
        <v>0</v>
      </c>
      <c r="V223" s="282"/>
      <c r="W223" s="282">
        <f>O223/N223</f>
        <v>3127.953940153533</v>
      </c>
      <c r="X223" s="282"/>
      <c r="Y223" s="24"/>
      <c r="Z223" s="24"/>
      <c r="AA223" s="8"/>
      <c r="AB223" s="8"/>
    </row>
    <row r="224" spans="1:28" s="5" customFormat="1">
      <c r="A224" s="430">
        <v>204</v>
      </c>
      <c r="B224" s="446" t="s">
        <v>562</v>
      </c>
      <c r="C224" s="441">
        <f>'часть 1'!L233</f>
        <v>2211975</v>
      </c>
      <c r="D224" s="441">
        <f t="shared" ref="D224:D231" si="8">E224+F224+G224+H224+I224+J224+K224</f>
        <v>0</v>
      </c>
      <c r="E224" s="441">
        <v>0</v>
      </c>
      <c r="F224" s="441">
        <v>0</v>
      </c>
      <c r="G224" s="441">
        <v>0</v>
      </c>
      <c r="H224" s="441">
        <v>0</v>
      </c>
      <c r="I224" s="441">
        <v>0</v>
      </c>
      <c r="J224" s="441">
        <v>0</v>
      </c>
      <c r="K224" s="441">
        <v>0</v>
      </c>
      <c r="L224" s="482">
        <v>0</v>
      </c>
      <c r="M224" s="441">
        <v>0</v>
      </c>
      <c r="N224" s="441">
        <v>893.8</v>
      </c>
      <c r="O224" s="441">
        <v>2211975</v>
      </c>
      <c r="P224" s="482">
        <v>0</v>
      </c>
      <c r="Q224" s="441">
        <v>0</v>
      </c>
      <c r="R224" s="483">
        <v>0</v>
      </c>
      <c r="S224" s="484">
        <v>0</v>
      </c>
      <c r="T224" s="485">
        <v>0</v>
      </c>
      <c r="U224" s="486">
        <v>0</v>
      </c>
      <c r="V224" s="282"/>
      <c r="W224" s="282">
        <f t="shared" ref="W224:W231" si="9">O224/N224</f>
        <v>2474.7986126650258</v>
      </c>
      <c r="X224" s="282"/>
      <c r="Y224" s="24"/>
      <c r="Z224" s="24"/>
      <c r="AA224" s="8"/>
      <c r="AB224" s="8"/>
    </row>
    <row r="225" spans="1:30" s="5" customFormat="1">
      <c r="A225" s="430">
        <v>205</v>
      </c>
      <c r="B225" s="446" t="s">
        <v>563</v>
      </c>
      <c r="C225" s="441">
        <f>'часть 1'!L234</f>
        <v>4161815</v>
      </c>
      <c r="D225" s="441">
        <f t="shared" si="8"/>
        <v>4161815</v>
      </c>
      <c r="E225" s="441">
        <v>0</v>
      </c>
      <c r="F225" s="441">
        <v>4161815</v>
      </c>
      <c r="G225" s="441">
        <v>0</v>
      </c>
      <c r="H225" s="441">
        <v>0</v>
      </c>
      <c r="I225" s="441">
        <v>0</v>
      </c>
      <c r="J225" s="441">
        <v>0</v>
      </c>
      <c r="K225" s="441">
        <v>0</v>
      </c>
      <c r="L225" s="482">
        <v>0</v>
      </c>
      <c r="M225" s="441">
        <v>0</v>
      </c>
      <c r="N225" s="441">
        <v>0</v>
      </c>
      <c r="O225" s="441">
        <v>0</v>
      </c>
      <c r="P225" s="482">
        <v>0</v>
      </c>
      <c r="Q225" s="441">
        <v>0</v>
      </c>
      <c r="R225" s="483">
        <v>0</v>
      </c>
      <c r="S225" s="484">
        <v>0</v>
      </c>
      <c r="T225" s="485">
        <v>0</v>
      </c>
      <c r="U225" s="486">
        <v>0</v>
      </c>
      <c r="V225" s="282"/>
      <c r="W225" s="282"/>
      <c r="X225" s="282"/>
      <c r="Y225" s="24"/>
      <c r="Z225" s="24"/>
      <c r="AA225" s="8">
        <f>F225/'часть 1'!I234</f>
        <v>961.55792246199348</v>
      </c>
      <c r="AB225" s="8"/>
    </row>
    <row r="226" spans="1:30" s="5" customFormat="1">
      <c r="A226" s="430">
        <v>206</v>
      </c>
      <c r="B226" s="447" t="s">
        <v>564</v>
      </c>
      <c r="C226" s="441">
        <f>'часть 1'!L235</f>
        <v>2678707</v>
      </c>
      <c r="D226" s="441">
        <f t="shared" si="8"/>
        <v>2678707</v>
      </c>
      <c r="E226" s="441">
        <v>0</v>
      </c>
      <c r="F226" s="441">
        <v>2678707</v>
      </c>
      <c r="G226" s="441">
        <v>0</v>
      </c>
      <c r="H226" s="441">
        <v>0</v>
      </c>
      <c r="I226" s="441">
        <v>0</v>
      </c>
      <c r="J226" s="441">
        <v>0</v>
      </c>
      <c r="K226" s="441">
        <v>0</v>
      </c>
      <c r="L226" s="482">
        <v>0</v>
      </c>
      <c r="M226" s="441">
        <v>0</v>
      </c>
      <c r="N226" s="441">
        <v>0</v>
      </c>
      <c r="O226" s="441">
        <v>0</v>
      </c>
      <c r="P226" s="482">
        <v>0</v>
      </c>
      <c r="Q226" s="441">
        <v>0</v>
      </c>
      <c r="R226" s="483">
        <v>0</v>
      </c>
      <c r="S226" s="484">
        <v>0</v>
      </c>
      <c r="T226" s="485">
        <v>0</v>
      </c>
      <c r="U226" s="486">
        <v>0</v>
      </c>
      <c r="V226" s="282"/>
      <c r="W226" s="282"/>
      <c r="X226" s="282"/>
      <c r="Y226" s="24"/>
      <c r="Z226" s="24"/>
      <c r="AA226" s="8">
        <f>F226/'часть 1'!I235</f>
        <v>993.40144631930275</v>
      </c>
      <c r="AB226" s="8"/>
    </row>
    <row r="227" spans="1:30" s="5" customFormat="1">
      <c r="A227" s="430">
        <v>207</v>
      </c>
      <c r="B227" s="446" t="s">
        <v>560</v>
      </c>
      <c r="C227" s="441">
        <f>'часть 1'!L236</f>
        <v>2783301</v>
      </c>
      <c r="D227" s="441">
        <f t="shared" si="8"/>
        <v>2783301</v>
      </c>
      <c r="E227" s="441">
        <v>0</v>
      </c>
      <c r="F227" s="441">
        <v>2783301</v>
      </c>
      <c r="G227" s="441">
        <v>0</v>
      </c>
      <c r="H227" s="441">
        <v>0</v>
      </c>
      <c r="I227" s="441">
        <v>0</v>
      </c>
      <c r="J227" s="441">
        <v>0</v>
      </c>
      <c r="K227" s="441">
        <v>0</v>
      </c>
      <c r="L227" s="482">
        <v>0</v>
      </c>
      <c r="M227" s="441">
        <v>0</v>
      </c>
      <c r="N227" s="439">
        <v>0</v>
      </c>
      <c r="O227" s="441">
        <v>0</v>
      </c>
      <c r="P227" s="482">
        <v>0</v>
      </c>
      <c r="Q227" s="441">
        <v>0</v>
      </c>
      <c r="R227" s="483">
        <v>0</v>
      </c>
      <c r="S227" s="484">
        <v>0</v>
      </c>
      <c r="T227" s="485">
        <v>0</v>
      </c>
      <c r="U227" s="486">
        <v>0</v>
      </c>
      <c r="V227" s="282"/>
      <c r="W227" s="282"/>
      <c r="X227" s="282"/>
      <c r="Y227" s="24"/>
      <c r="Z227" s="24"/>
      <c r="AA227" s="8">
        <f>F227/'часть 1'!I236</f>
        <v>988.49344745533972</v>
      </c>
      <c r="AB227" s="8"/>
    </row>
    <row r="228" spans="1:30" s="5" customFormat="1">
      <c r="A228" s="430">
        <v>208</v>
      </c>
      <c r="B228" s="446" t="s">
        <v>565</v>
      </c>
      <c r="C228" s="441">
        <f>'часть 1'!L237</f>
        <v>3450795</v>
      </c>
      <c r="D228" s="441">
        <f t="shared" si="8"/>
        <v>0</v>
      </c>
      <c r="E228" s="441">
        <v>0</v>
      </c>
      <c r="F228" s="441">
        <v>0</v>
      </c>
      <c r="G228" s="441">
        <v>0</v>
      </c>
      <c r="H228" s="441">
        <v>0</v>
      </c>
      <c r="I228" s="441">
        <v>0</v>
      </c>
      <c r="J228" s="441">
        <v>0</v>
      </c>
      <c r="K228" s="441">
        <v>0</v>
      </c>
      <c r="L228" s="482">
        <v>0</v>
      </c>
      <c r="M228" s="441">
        <v>0</v>
      </c>
      <c r="N228" s="441">
        <v>1097.9000000000001</v>
      </c>
      <c r="O228" s="441">
        <v>3450795</v>
      </c>
      <c r="P228" s="482">
        <v>0</v>
      </c>
      <c r="Q228" s="441">
        <v>0</v>
      </c>
      <c r="R228" s="483">
        <v>0</v>
      </c>
      <c r="S228" s="484">
        <v>0</v>
      </c>
      <c r="T228" s="485">
        <v>0</v>
      </c>
      <c r="U228" s="486">
        <v>0</v>
      </c>
      <c r="V228" s="282"/>
      <c r="W228" s="282">
        <f t="shared" si="9"/>
        <v>3143.0868020766916</v>
      </c>
      <c r="X228" s="282"/>
      <c r="Y228" s="24"/>
      <c r="Z228" s="24"/>
      <c r="AA228" s="8"/>
      <c r="AB228" s="8"/>
    </row>
    <row r="229" spans="1:30" s="5" customFormat="1">
      <c r="A229" s="430">
        <v>209</v>
      </c>
      <c r="B229" s="446" t="s">
        <v>566</v>
      </c>
      <c r="C229" s="441">
        <f>'часть 1'!L238</f>
        <v>919216</v>
      </c>
      <c r="D229" s="441">
        <f t="shared" si="8"/>
        <v>0</v>
      </c>
      <c r="E229" s="441">
        <v>0</v>
      </c>
      <c r="F229" s="441">
        <v>0</v>
      </c>
      <c r="G229" s="441">
        <v>0</v>
      </c>
      <c r="H229" s="441">
        <v>0</v>
      </c>
      <c r="I229" s="441">
        <v>0</v>
      </c>
      <c r="J229" s="441">
        <v>0</v>
      </c>
      <c r="K229" s="441">
        <v>0</v>
      </c>
      <c r="L229" s="482">
        <v>0</v>
      </c>
      <c r="M229" s="441">
        <v>0</v>
      </c>
      <c r="N229" s="441">
        <v>288</v>
      </c>
      <c r="O229" s="441">
        <v>919216</v>
      </c>
      <c r="P229" s="482">
        <v>0</v>
      </c>
      <c r="Q229" s="441">
        <v>0</v>
      </c>
      <c r="R229" s="483">
        <v>0</v>
      </c>
      <c r="S229" s="484">
        <v>0</v>
      </c>
      <c r="T229" s="485">
        <v>0</v>
      </c>
      <c r="U229" s="486">
        <v>0</v>
      </c>
      <c r="V229" s="282"/>
      <c r="W229" s="282">
        <f t="shared" si="9"/>
        <v>3191.7222222222222</v>
      </c>
      <c r="X229" s="282"/>
      <c r="Y229" s="24"/>
      <c r="Z229" s="24"/>
      <c r="AA229" s="8"/>
      <c r="AB229" s="8"/>
    </row>
    <row r="230" spans="1:30" s="5" customFormat="1">
      <c r="A230" s="430">
        <v>210</v>
      </c>
      <c r="B230" s="446" t="s">
        <v>567</v>
      </c>
      <c r="C230" s="441">
        <f>'часть 1'!L239</f>
        <v>2376610</v>
      </c>
      <c r="D230" s="441">
        <f t="shared" si="8"/>
        <v>0</v>
      </c>
      <c r="E230" s="441">
        <v>0</v>
      </c>
      <c r="F230" s="441">
        <v>0</v>
      </c>
      <c r="G230" s="441">
        <v>0</v>
      </c>
      <c r="H230" s="441">
        <v>0</v>
      </c>
      <c r="I230" s="441">
        <v>0</v>
      </c>
      <c r="J230" s="441">
        <v>0</v>
      </c>
      <c r="K230" s="441">
        <v>0</v>
      </c>
      <c r="L230" s="482">
        <v>0</v>
      </c>
      <c r="M230" s="441">
        <v>0</v>
      </c>
      <c r="N230" s="441">
        <v>960</v>
      </c>
      <c r="O230" s="441">
        <v>2376610</v>
      </c>
      <c r="P230" s="482">
        <v>0</v>
      </c>
      <c r="Q230" s="441">
        <v>0</v>
      </c>
      <c r="R230" s="483">
        <v>0</v>
      </c>
      <c r="S230" s="484">
        <v>0</v>
      </c>
      <c r="T230" s="485">
        <v>0</v>
      </c>
      <c r="U230" s="486">
        <v>0</v>
      </c>
      <c r="V230" s="282"/>
      <c r="W230" s="282">
        <f t="shared" si="9"/>
        <v>2475.6354166666665</v>
      </c>
      <c r="X230" s="282"/>
      <c r="Y230" s="24"/>
      <c r="Z230" s="24"/>
      <c r="AA230" s="8"/>
      <c r="AB230" s="8"/>
    </row>
    <row r="231" spans="1:30" s="5" customFormat="1">
      <c r="A231" s="430">
        <v>211</v>
      </c>
      <c r="B231" s="446" t="s">
        <v>568</v>
      </c>
      <c r="C231" s="441">
        <f>'часть 1'!L240</f>
        <v>3892061</v>
      </c>
      <c r="D231" s="441">
        <f t="shared" si="8"/>
        <v>0</v>
      </c>
      <c r="E231" s="441">
        <v>0</v>
      </c>
      <c r="F231" s="441">
        <v>0</v>
      </c>
      <c r="G231" s="441">
        <v>0</v>
      </c>
      <c r="H231" s="441">
        <v>0</v>
      </c>
      <c r="I231" s="441">
        <v>0</v>
      </c>
      <c r="J231" s="441">
        <v>0</v>
      </c>
      <c r="K231" s="441">
        <v>0</v>
      </c>
      <c r="L231" s="482">
        <v>0</v>
      </c>
      <c r="M231" s="441">
        <v>0</v>
      </c>
      <c r="N231" s="441">
        <v>1579</v>
      </c>
      <c r="O231" s="441">
        <v>3892061</v>
      </c>
      <c r="P231" s="482">
        <v>0</v>
      </c>
      <c r="Q231" s="441">
        <v>0</v>
      </c>
      <c r="R231" s="483">
        <v>0</v>
      </c>
      <c r="S231" s="484">
        <v>0</v>
      </c>
      <c r="T231" s="485">
        <v>0</v>
      </c>
      <c r="U231" s="486">
        <v>0</v>
      </c>
      <c r="V231" s="282"/>
      <c r="W231" s="282">
        <f t="shared" si="9"/>
        <v>2464.8898036732107</v>
      </c>
      <c r="X231" s="282"/>
      <c r="Y231" s="6"/>
      <c r="Z231" s="6"/>
      <c r="AA231" s="7"/>
      <c r="AB231" s="7"/>
    </row>
    <row r="232" spans="1:30" s="5" customFormat="1">
      <c r="A232" s="430"/>
      <c r="B232" s="438"/>
      <c r="C232" s="441"/>
      <c r="D232" s="441"/>
      <c r="E232" s="441"/>
      <c r="F232" s="441"/>
      <c r="G232" s="441"/>
      <c r="H232" s="441"/>
      <c r="I232" s="441"/>
      <c r="J232" s="441"/>
      <c r="K232" s="441"/>
      <c r="L232" s="482"/>
      <c r="M232" s="441"/>
      <c r="N232" s="441"/>
      <c r="O232" s="441"/>
      <c r="P232" s="482"/>
      <c r="Q232" s="441"/>
      <c r="R232" s="483"/>
      <c r="S232" s="484"/>
      <c r="T232" s="485"/>
      <c r="U232" s="486"/>
      <c r="V232" s="282"/>
      <c r="W232" s="282"/>
      <c r="X232" s="282"/>
      <c r="Y232" s="24"/>
      <c r="Z232" s="24"/>
      <c r="AA232" s="8"/>
      <c r="AB232" s="8"/>
    </row>
    <row r="233" spans="1:30" s="5" customFormat="1">
      <c r="A233" s="430"/>
      <c r="B233" s="438"/>
      <c r="C233" s="441"/>
      <c r="D233" s="441"/>
      <c r="E233" s="441"/>
      <c r="F233" s="441"/>
      <c r="G233" s="441"/>
      <c r="H233" s="441"/>
      <c r="I233" s="441"/>
      <c r="J233" s="441"/>
      <c r="K233" s="441"/>
      <c r="L233" s="482"/>
      <c r="M233" s="441"/>
      <c r="N233" s="441"/>
      <c r="O233" s="441"/>
      <c r="P233" s="482"/>
      <c r="Q233" s="441"/>
      <c r="R233" s="483"/>
      <c r="S233" s="484"/>
      <c r="T233" s="485"/>
      <c r="U233" s="486"/>
      <c r="V233" s="282"/>
      <c r="W233" s="282"/>
      <c r="X233" s="282"/>
      <c r="Y233" s="24"/>
      <c r="Z233" s="24"/>
      <c r="AA233" s="8"/>
      <c r="AB233" s="8"/>
    </row>
    <row r="234" spans="1:30" s="5" customFormat="1">
      <c r="A234" s="430"/>
      <c r="B234" s="448"/>
      <c r="C234" s="441"/>
      <c r="D234" s="441"/>
      <c r="E234" s="441"/>
      <c r="F234" s="441"/>
      <c r="G234" s="441"/>
      <c r="H234" s="441"/>
      <c r="I234" s="441"/>
      <c r="J234" s="441"/>
      <c r="K234" s="441"/>
      <c r="L234" s="482"/>
      <c r="M234" s="441"/>
      <c r="N234" s="441"/>
      <c r="O234" s="441"/>
      <c r="P234" s="482"/>
      <c r="Q234" s="441"/>
      <c r="R234" s="483"/>
      <c r="S234" s="484"/>
      <c r="T234" s="485"/>
      <c r="U234" s="486"/>
      <c r="V234" s="282"/>
      <c r="W234" s="282"/>
      <c r="X234" s="282"/>
      <c r="Y234" s="24"/>
      <c r="Z234" s="24"/>
      <c r="AA234" s="8"/>
      <c r="AB234" s="8"/>
    </row>
    <row r="235" spans="1:30" ht="18.75" customHeight="1">
      <c r="A235" s="430"/>
      <c r="B235" s="431" t="s">
        <v>123</v>
      </c>
      <c r="C235" s="432">
        <f>C236+C237+C238+C239+C240</f>
        <v>11767484</v>
      </c>
      <c r="D235" s="432">
        <f t="shared" ref="D235:V235" si="10">D236+D237+D238+D239+D240</f>
        <v>3530005</v>
      </c>
      <c r="E235" s="432">
        <f t="shared" si="10"/>
        <v>0</v>
      </c>
      <c r="F235" s="432">
        <f t="shared" si="10"/>
        <v>0</v>
      </c>
      <c r="G235" s="432">
        <f t="shared" si="10"/>
        <v>0</v>
      </c>
      <c r="H235" s="432">
        <f t="shared" si="10"/>
        <v>0</v>
      </c>
      <c r="I235" s="432">
        <f t="shared" si="10"/>
        <v>0</v>
      </c>
      <c r="J235" s="432">
        <f t="shared" si="10"/>
        <v>3530005</v>
      </c>
      <c r="K235" s="432">
        <f t="shared" si="10"/>
        <v>0</v>
      </c>
      <c r="L235" s="432">
        <f t="shared" si="10"/>
        <v>0</v>
      </c>
      <c r="M235" s="432">
        <f t="shared" si="10"/>
        <v>0</v>
      </c>
      <c r="N235" s="432">
        <f t="shared" si="10"/>
        <v>3330.7000000000003</v>
      </c>
      <c r="O235" s="432">
        <f t="shared" si="10"/>
        <v>8237479</v>
      </c>
      <c r="P235" s="432">
        <f t="shared" si="10"/>
        <v>0</v>
      </c>
      <c r="Q235" s="432">
        <f t="shared" si="10"/>
        <v>0</v>
      </c>
      <c r="R235" s="432">
        <f t="shared" si="10"/>
        <v>0</v>
      </c>
      <c r="S235" s="432">
        <f t="shared" si="10"/>
        <v>0</v>
      </c>
      <c r="T235" s="432">
        <f t="shared" si="10"/>
        <v>0</v>
      </c>
      <c r="U235" s="432">
        <f t="shared" si="10"/>
        <v>0</v>
      </c>
      <c r="V235" s="432">
        <f t="shared" si="10"/>
        <v>0</v>
      </c>
      <c r="W235" s="282"/>
      <c r="X235" s="282"/>
    </row>
    <row r="236" spans="1:30">
      <c r="A236" s="430">
        <v>215</v>
      </c>
      <c r="B236" s="464" t="s">
        <v>732</v>
      </c>
      <c r="C236" s="432">
        <f>'часть 1'!L245</f>
        <v>3438972</v>
      </c>
      <c r="D236" s="432">
        <f>E236+F236+G236+H236+I236+J236+K236</f>
        <v>0</v>
      </c>
      <c r="E236" s="432">
        <v>0</v>
      </c>
      <c r="F236" s="432">
        <v>0</v>
      </c>
      <c r="G236" s="432">
        <v>0</v>
      </c>
      <c r="H236" s="432">
        <v>0</v>
      </c>
      <c r="I236" s="432">
        <v>0</v>
      </c>
      <c r="J236" s="432">
        <v>0</v>
      </c>
      <c r="K236" s="556">
        <v>0</v>
      </c>
      <c r="L236" s="647">
        <v>0</v>
      </c>
      <c r="M236" s="435">
        <v>0</v>
      </c>
      <c r="N236" s="435">
        <v>1392.8</v>
      </c>
      <c r="O236" s="435">
        <v>3438972</v>
      </c>
      <c r="P236" s="647">
        <v>0</v>
      </c>
      <c r="Q236" s="435">
        <v>0</v>
      </c>
      <c r="R236" s="648">
        <v>0</v>
      </c>
      <c r="S236" s="435">
        <v>0</v>
      </c>
      <c r="T236" s="647">
        <v>0</v>
      </c>
      <c r="U236" s="486">
        <v>0</v>
      </c>
      <c r="V236" s="282"/>
      <c r="W236" s="282">
        <f>O236/N236</f>
        <v>2469.1068351522113</v>
      </c>
      <c r="X236" s="282"/>
    </row>
    <row r="237" spans="1:30">
      <c r="A237" s="430">
        <v>216</v>
      </c>
      <c r="B237" s="464" t="s">
        <v>363</v>
      </c>
      <c r="C237" s="432">
        <f>'часть 1'!L246</f>
        <v>2804575</v>
      </c>
      <c r="D237" s="432">
        <f t="shared" ref="D237:D240" si="11">E237+F237+G237+H237+I237+J237+K237</f>
        <v>0</v>
      </c>
      <c r="E237" s="432">
        <v>0</v>
      </c>
      <c r="F237" s="432">
        <v>0</v>
      </c>
      <c r="G237" s="432">
        <v>0</v>
      </c>
      <c r="H237" s="432">
        <v>0</v>
      </c>
      <c r="I237" s="432">
        <v>0</v>
      </c>
      <c r="J237" s="432">
        <v>0</v>
      </c>
      <c r="K237" s="556">
        <v>0</v>
      </c>
      <c r="L237" s="647">
        <v>0</v>
      </c>
      <c r="M237" s="435">
        <v>0</v>
      </c>
      <c r="N237" s="435">
        <v>1134</v>
      </c>
      <c r="O237" s="435">
        <v>2804575</v>
      </c>
      <c r="P237" s="647">
        <v>0</v>
      </c>
      <c r="Q237" s="435">
        <v>0</v>
      </c>
      <c r="R237" s="648">
        <v>0</v>
      </c>
      <c r="S237" s="435">
        <v>0</v>
      </c>
      <c r="T237" s="647">
        <v>0</v>
      </c>
      <c r="U237" s="486">
        <v>0</v>
      </c>
      <c r="V237" s="282"/>
      <c r="W237" s="282">
        <f>O237/N237</f>
        <v>2473.1701940035273</v>
      </c>
      <c r="X237" s="282"/>
    </row>
    <row r="238" spans="1:30">
      <c r="A238" s="430">
        <v>217</v>
      </c>
      <c r="B238" s="464" t="s">
        <v>733</v>
      </c>
      <c r="C238" s="432">
        <f>'часть 1'!L247</f>
        <v>1993932</v>
      </c>
      <c r="D238" s="432">
        <f t="shared" si="11"/>
        <v>0</v>
      </c>
      <c r="E238" s="432">
        <v>0</v>
      </c>
      <c r="F238" s="432">
        <v>0</v>
      </c>
      <c r="G238" s="432">
        <v>0</v>
      </c>
      <c r="H238" s="432">
        <v>0</v>
      </c>
      <c r="I238" s="432">
        <v>0</v>
      </c>
      <c r="J238" s="432">
        <v>0</v>
      </c>
      <c r="K238" s="432">
        <v>0</v>
      </c>
      <c r="L238" s="647">
        <v>0</v>
      </c>
      <c r="M238" s="435">
        <v>0</v>
      </c>
      <c r="N238" s="435">
        <v>803.9</v>
      </c>
      <c r="O238" s="435">
        <v>1993932</v>
      </c>
      <c r="P238" s="647">
        <v>0</v>
      </c>
      <c r="Q238" s="435">
        <v>0</v>
      </c>
      <c r="R238" s="648">
        <v>0</v>
      </c>
      <c r="S238" s="435">
        <v>0</v>
      </c>
      <c r="T238" s="647">
        <v>0</v>
      </c>
      <c r="U238" s="486">
        <v>0</v>
      </c>
      <c r="V238" s="282"/>
      <c r="W238" s="282">
        <f>O238/N238</f>
        <v>2480.3234233113571</v>
      </c>
      <c r="X238" s="282"/>
    </row>
    <row r="239" spans="1:30">
      <c r="A239" s="430">
        <v>218</v>
      </c>
      <c r="B239" s="464" t="s">
        <v>942</v>
      </c>
      <c r="C239" s="432">
        <f>'часть 1'!L248</f>
        <v>1656223</v>
      </c>
      <c r="D239" s="432">
        <f t="shared" si="11"/>
        <v>1656223</v>
      </c>
      <c r="E239" s="432">
        <v>0</v>
      </c>
      <c r="F239" s="432">
        <v>0</v>
      </c>
      <c r="G239" s="432">
        <v>0</v>
      </c>
      <c r="H239" s="432">
        <v>0</v>
      </c>
      <c r="I239" s="432">
        <v>0</v>
      </c>
      <c r="J239" s="432">
        <v>1656223</v>
      </c>
      <c r="K239" s="556">
        <v>0</v>
      </c>
      <c r="L239" s="647">
        <v>0</v>
      </c>
      <c r="M239" s="435">
        <v>0</v>
      </c>
      <c r="N239" s="435">
        <v>0</v>
      </c>
      <c r="O239" s="435">
        <v>0</v>
      </c>
      <c r="P239" s="647">
        <v>0</v>
      </c>
      <c r="Q239" s="435">
        <v>0</v>
      </c>
      <c r="R239" s="648">
        <v>0</v>
      </c>
      <c r="S239" s="435">
        <v>0</v>
      </c>
      <c r="T239" s="647">
        <v>0</v>
      </c>
      <c r="U239" s="486">
        <v>0</v>
      </c>
      <c r="V239" s="282"/>
      <c r="W239" s="282"/>
      <c r="X239" s="282"/>
      <c r="AD239" s="1">
        <f>J239/'часть 1'!I248</f>
        <v>464.30517787558523</v>
      </c>
    </row>
    <row r="240" spans="1:30">
      <c r="A240" s="430">
        <v>219</v>
      </c>
      <c r="B240" s="464" t="s">
        <v>357</v>
      </c>
      <c r="C240" s="432">
        <f>'часть 1'!L249</f>
        <v>1873782</v>
      </c>
      <c r="D240" s="432">
        <f t="shared" si="11"/>
        <v>1873782</v>
      </c>
      <c r="E240" s="432">
        <v>0</v>
      </c>
      <c r="F240" s="432">
        <v>0</v>
      </c>
      <c r="G240" s="432">
        <v>0</v>
      </c>
      <c r="H240" s="432">
        <v>0</v>
      </c>
      <c r="I240" s="432">
        <v>0</v>
      </c>
      <c r="J240" s="432">
        <v>1873782</v>
      </c>
      <c r="K240" s="432">
        <v>0</v>
      </c>
      <c r="L240" s="647">
        <v>0</v>
      </c>
      <c r="M240" s="435">
        <v>0</v>
      </c>
      <c r="N240" s="435">
        <v>0</v>
      </c>
      <c r="O240" s="435">
        <v>0</v>
      </c>
      <c r="P240" s="647">
        <v>0</v>
      </c>
      <c r="Q240" s="435">
        <v>0</v>
      </c>
      <c r="R240" s="648">
        <v>0</v>
      </c>
      <c r="S240" s="435">
        <v>0</v>
      </c>
      <c r="T240" s="647">
        <v>0</v>
      </c>
      <c r="U240" s="486">
        <v>0</v>
      </c>
      <c r="V240" s="282"/>
      <c r="W240" s="282"/>
      <c r="X240" s="282"/>
      <c r="AD240" s="1">
        <f>J240/'часть 1'!I249</f>
        <v>556.51381051381054</v>
      </c>
    </row>
    <row r="241" spans="1:25">
      <c r="A241" s="430"/>
      <c r="B241" s="464"/>
      <c r="C241" s="432"/>
      <c r="D241" s="432"/>
      <c r="E241" s="432"/>
      <c r="F241" s="432"/>
      <c r="G241" s="432"/>
      <c r="H241" s="432"/>
      <c r="I241" s="432"/>
      <c r="J241" s="432"/>
      <c r="K241" s="556"/>
      <c r="L241" s="647"/>
      <c r="M241" s="435"/>
      <c r="N241" s="435"/>
      <c r="O241" s="435"/>
      <c r="P241" s="647"/>
      <c r="Q241" s="435"/>
      <c r="R241" s="648"/>
      <c r="S241" s="435"/>
      <c r="T241" s="647"/>
      <c r="U241" s="486"/>
      <c r="V241" s="282"/>
      <c r="W241" s="282"/>
      <c r="X241" s="282"/>
    </row>
    <row r="242" spans="1:25">
      <c r="A242" s="430"/>
      <c r="B242" s="464"/>
      <c r="C242" s="432"/>
      <c r="D242" s="432"/>
      <c r="E242" s="432"/>
      <c r="F242" s="432"/>
      <c r="G242" s="432"/>
      <c r="H242" s="432"/>
      <c r="I242" s="432"/>
      <c r="J242" s="432"/>
      <c r="K242" s="432"/>
      <c r="L242" s="647"/>
      <c r="M242" s="435"/>
      <c r="N242" s="435"/>
      <c r="O242" s="435"/>
      <c r="P242" s="647"/>
      <c r="Q242" s="435"/>
      <c r="R242" s="648"/>
      <c r="S242" s="435"/>
      <c r="T242" s="647"/>
      <c r="U242" s="486"/>
      <c r="V242" s="282"/>
      <c r="W242" s="282"/>
      <c r="X242" s="282"/>
    </row>
    <row r="243" spans="1:25">
      <c r="A243" s="430"/>
      <c r="B243" s="464"/>
      <c r="C243" s="432"/>
      <c r="D243" s="432"/>
      <c r="E243" s="432"/>
      <c r="F243" s="432"/>
      <c r="G243" s="432"/>
      <c r="H243" s="432"/>
      <c r="I243" s="432"/>
      <c r="J243" s="432"/>
      <c r="K243" s="432"/>
      <c r="L243" s="647"/>
      <c r="M243" s="435"/>
      <c r="N243" s="435"/>
      <c r="O243" s="435"/>
      <c r="P243" s="647"/>
      <c r="Q243" s="435"/>
      <c r="R243" s="648"/>
      <c r="S243" s="435"/>
      <c r="T243" s="647"/>
      <c r="U243" s="486"/>
      <c r="V243" s="282"/>
      <c r="W243" s="282"/>
      <c r="X243" s="282"/>
    </row>
    <row r="244" spans="1:25">
      <c r="A244" s="430"/>
      <c r="B244" s="464"/>
      <c r="C244" s="432"/>
      <c r="D244" s="432"/>
      <c r="E244" s="432"/>
      <c r="F244" s="432"/>
      <c r="G244" s="432"/>
      <c r="H244" s="432"/>
      <c r="I244" s="432"/>
      <c r="J244" s="432"/>
      <c r="K244" s="556"/>
      <c r="L244" s="647"/>
      <c r="M244" s="435"/>
      <c r="N244" s="435"/>
      <c r="O244" s="435"/>
      <c r="P244" s="647"/>
      <c r="Q244" s="435"/>
      <c r="R244" s="648"/>
      <c r="S244" s="435"/>
      <c r="T244" s="647"/>
      <c r="U244" s="486"/>
      <c r="V244" s="282"/>
      <c r="W244" s="282"/>
      <c r="X244" s="282"/>
    </row>
    <row r="245" spans="1:25">
      <c r="A245" s="430"/>
      <c r="B245" s="464"/>
      <c r="C245" s="432"/>
      <c r="D245" s="432"/>
      <c r="E245" s="432"/>
      <c r="F245" s="432"/>
      <c r="G245" s="432"/>
      <c r="H245" s="432"/>
      <c r="I245" s="432"/>
      <c r="J245" s="432"/>
      <c r="K245" s="556"/>
      <c r="L245" s="647"/>
      <c r="M245" s="435"/>
      <c r="N245" s="435"/>
      <c r="O245" s="435"/>
      <c r="P245" s="647"/>
      <c r="Q245" s="435"/>
      <c r="R245" s="648"/>
      <c r="S245" s="435"/>
      <c r="T245" s="647"/>
      <c r="U245" s="486"/>
      <c r="V245" s="282"/>
      <c r="W245" s="282"/>
      <c r="X245" s="282"/>
    </row>
    <row r="246" spans="1:25">
      <c r="A246" s="430"/>
      <c r="B246" s="464"/>
      <c r="C246" s="432"/>
      <c r="D246" s="432"/>
      <c r="E246" s="432"/>
      <c r="F246" s="432"/>
      <c r="G246" s="432"/>
      <c r="H246" s="432"/>
      <c r="I246" s="432"/>
      <c r="J246" s="432"/>
      <c r="K246" s="556"/>
      <c r="L246" s="647"/>
      <c r="M246" s="435"/>
      <c r="N246" s="435"/>
      <c r="O246" s="435"/>
      <c r="P246" s="647"/>
      <c r="Q246" s="435"/>
      <c r="R246" s="648"/>
      <c r="S246" s="435"/>
      <c r="T246" s="647"/>
      <c r="U246" s="486"/>
      <c r="V246" s="282"/>
      <c r="W246" s="282"/>
      <c r="X246" s="282"/>
    </row>
    <row r="247" spans="1:25">
      <c r="A247" s="430"/>
      <c r="B247" s="464"/>
      <c r="C247" s="432"/>
      <c r="D247" s="432"/>
      <c r="E247" s="432"/>
      <c r="F247" s="432"/>
      <c r="G247" s="432"/>
      <c r="H247" s="432"/>
      <c r="I247" s="432"/>
      <c r="J247" s="432"/>
      <c r="K247" s="556"/>
      <c r="L247" s="647"/>
      <c r="M247" s="435"/>
      <c r="N247" s="435"/>
      <c r="O247" s="435"/>
      <c r="P247" s="647"/>
      <c r="Q247" s="435"/>
      <c r="R247" s="648"/>
      <c r="S247" s="435"/>
      <c r="T247" s="647"/>
      <c r="U247" s="486"/>
      <c r="V247" s="282"/>
      <c r="W247" s="282"/>
      <c r="X247" s="282"/>
    </row>
    <row r="248" spans="1:25" ht="21.6" customHeight="1">
      <c r="A248" s="430"/>
      <c r="B248" s="464" t="s">
        <v>864</v>
      </c>
      <c r="C248" s="432">
        <f>C249+C250</f>
        <v>2812692</v>
      </c>
      <c r="D248" s="432">
        <f t="shared" ref="D248:V248" si="12">D249+D250</f>
        <v>1007609</v>
      </c>
      <c r="E248" s="432">
        <f t="shared" si="12"/>
        <v>1007609</v>
      </c>
      <c r="F248" s="432">
        <f t="shared" si="12"/>
        <v>0</v>
      </c>
      <c r="G248" s="432">
        <f t="shared" si="12"/>
        <v>0</v>
      </c>
      <c r="H248" s="432">
        <f t="shared" si="12"/>
        <v>0</v>
      </c>
      <c r="I248" s="432">
        <f t="shared" si="12"/>
        <v>0</v>
      </c>
      <c r="J248" s="432">
        <f t="shared" si="12"/>
        <v>0</v>
      </c>
      <c r="K248" s="432">
        <f t="shared" si="12"/>
        <v>0</v>
      </c>
      <c r="L248" s="432">
        <f t="shared" si="12"/>
        <v>0</v>
      </c>
      <c r="M248" s="432">
        <f t="shared" si="12"/>
        <v>0</v>
      </c>
      <c r="N248" s="432">
        <f t="shared" si="12"/>
        <v>0</v>
      </c>
      <c r="O248" s="432">
        <f t="shared" si="12"/>
        <v>0</v>
      </c>
      <c r="P248" s="432">
        <f t="shared" si="12"/>
        <v>0</v>
      </c>
      <c r="Q248" s="432">
        <f t="shared" si="12"/>
        <v>0</v>
      </c>
      <c r="R248" s="432">
        <f t="shared" si="12"/>
        <v>1180.3</v>
      </c>
      <c r="S248" s="432">
        <f t="shared" si="12"/>
        <v>1805083</v>
      </c>
      <c r="T248" s="432">
        <f t="shared" si="12"/>
        <v>0</v>
      </c>
      <c r="U248" s="432">
        <f t="shared" si="12"/>
        <v>0</v>
      </c>
      <c r="V248" s="196">
        <f t="shared" si="12"/>
        <v>0</v>
      </c>
      <c r="W248" s="282"/>
      <c r="X248" s="282"/>
    </row>
    <row r="249" spans="1:25" ht="24" customHeight="1">
      <c r="A249" s="430"/>
      <c r="B249" s="464" t="s">
        <v>865</v>
      </c>
      <c r="C249" s="432">
        <f>'часть 1'!L258</f>
        <v>1914360</v>
      </c>
      <c r="D249" s="432">
        <f>E249+F249+G249+H249+I249+J249+K249</f>
        <v>1007609</v>
      </c>
      <c r="E249" s="432">
        <v>1007609</v>
      </c>
      <c r="F249" s="432">
        <v>0</v>
      </c>
      <c r="G249" s="432">
        <v>0</v>
      </c>
      <c r="H249" s="432">
        <v>0</v>
      </c>
      <c r="I249" s="432">
        <v>0</v>
      </c>
      <c r="J249" s="432">
        <v>0</v>
      </c>
      <c r="K249" s="556">
        <v>0</v>
      </c>
      <c r="L249" s="647">
        <v>0</v>
      </c>
      <c r="M249" s="435">
        <v>0</v>
      </c>
      <c r="N249" s="556">
        <v>0</v>
      </c>
      <c r="O249" s="556">
        <v>0</v>
      </c>
      <c r="P249" s="647">
        <v>0</v>
      </c>
      <c r="Q249" s="435">
        <v>0</v>
      </c>
      <c r="R249" s="924">
        <v>593</v>
      </c>
      <c r="S249" s="435">
        <v>906751</v>
      </c>
      <c r="T249" s="647">
        <v>0</v>
      </c>
      <c r="U249" s="486">
        <v>0</v>
      </c>
      <c r="V249" s="282"/>
      <c r="W249" s="282"/>
      <c r="X249" s="282">
        <f>S249/R249</f>
        <v>1529.0910623946038</v>
      </c>
      <c r="Y249" s="18">
        <f>E249/'часть 1'!I258</f>
        <v>666.18776859504135</v>
      </c>
    </row>
    <row r="250" spans="1:25" ht="18.600000000000001" customHeight="1">
      <c r="A250" s="430"/>
      <c r="B250" s="464" t="s">
        <v>866</v>
      </c>
      <c r="C250" s="432">
        <f>'часть 1'!L259</f>
        <v>898332</v>
      </c>
      <c r="D250" s="432">
        <f>E250+F250+G250+H250+I250+J250+K250</f>
        <v>0</v>
      </c>
      <c r="E250" s="432">
        <v>0</v>
      </c>
      <c r="F250" s="432">
        <v>0</v>
      </c>
      <c r="G250" s="432">
        <v>0</v>
      </c>
      <c r="H250" s="432">
        <v>0</v>
      </c>
      <c r="I250" s="432">
        <v>0</v>
      </c>
      <c r="J250" s="432">
        <v>0</v>
      </c>
      <c r="K250" s="556">
        <v>0</v>
      </c>
      <c r="L250" s="647">
        <v>0</v>
      </c>
      <c r="M250" s="435">
        <v>0</v>
      </c>
      <c r="N250" s="556">
        <v>0</v>
      </c>
      <c r="O250" s="556">
        <v>0</v>
      </c>
      <c r="P250" s="647">
        <v>0</v>
      </c>
      <c r="Q250" s="435">
        <v>0</v>
      </c>
      <c r="R250" s="924">
        <v>587.29999999999995</v>
      </c>
      <c r="S250" s="435">
        <v>898332</v>
      </c>
      <c r="T250" s="647">
        <v>0</v>
      </c>
      <c r="U250" s="486">
        <v>0</v>
      </c>
      <c r="V250" s="282"/>
      <c r="W250" s="282"/>
      <c r="X250" s="282">
        <f>S250/R250</f>
        <v>1529.5964583688065</v>
      </c>
    </row>
    <row r="251" spans="1:25" ht="18.75" customHeight="1">
      <c r="A251" s="430"/>
      <c r="B251" s="438" t="s">
        <v>72</v>
      </c>
      <c r="C251" s="432">
        <f>C252</f>
        <v>5868972</v>
      </c>
      <c r="D251" s="432">
        <f t="shared" ref="D251:U251" si="13">D252</f>
        <v>0</v>
      </c>
      <c r="E251" s="432">
        <f t="shared" si="13"/>
        <v>0</v>
      </c>
      <c r="F251" s="432">
        <f t="shared" si="13"/>
        <v>0</v>
      </c>
      <c r="G251" s="432">
        <f t="shared" si="13"/>
        <v>0</v>
      </c>
      <c r="H251" s="432">
        <f t="shared" si="13"/>
        <v>0</v>
      </c>
      <c r="I251" s="432">
        <f t="shared" si="13"/>
        <v>0</v>
      </c>
      <c r="J251" s="432">
        <f t="shared" si="13"/>
        <v>0</v>
      </c>
      <c r="K251" s="432">
        <f t="shared" si="13"/>
        <v>0</v>
      </c>
      <c r="L251" s="432">
        <f t="shared" si="13"/>
        <v>0</v>
      </c>
      <c r="M251" s="432">
        <f t="shared" si="13"/>
        <v>0</v>
      </c>
      <c r="N251" s="432">
        <f t="shared" si="13"/>
        <v>480</v>
      </c>
      <c r="O251" s="432">
        <f t="shared" si="13"/>
        <v>1516786</v>
      </c>
      <c r="P251" s="432">
        <f t="shared" si="13"/>
        <v>0</v>
      </c>
      <c r="Q251" s="432">
        <f t="shared" si="13"/>
        <v>0</v>
      </c>
      <c r="R251" s="432">
        <f t="shared" si="13"/>
        <v>2861</v>
      </c>
      <c r="S251" s="432">
        <f t="shared" si="13"/>
        <v>4352186</v>
      </c>
      <c r="T251" s="432">
        <f t="shared" si="13"/>
        <v>0</v>
      </c>
      <c r="U251" s="432">
        <f t="shared" si="13"/>
        <v>0</v>
      </c>
      <c r="V251" s="282"/>
      <c r="W251" s="282"/>
      <c r="X251" s="282"/>
    </row>
    <row r="252" spans="1:25" ht="30.75" customHeight="1">
      <c r="A252" s="430"/>
      <c r="B252" s="438" t="s">
        <v>95</v>
      </c>
      <c r="C252" s="432">
        <f>C253+C254+C255+C256+C257+C258+C259</f>
        <v>5868972</v>
      </c>
      <c r="D252" s="432">
        <f t="shared" ref="D252:V252" si="14">D253+D254+D255+D256+D257+D258+D259</f>
        <v>0</v>
      </c>
      <c r="E252" s="432">
        <f t="shared" si="14"/>
        <v>0</v>
      </c>
      <c r="F252" s="432">
        <f t="shared" si="14"/>
        <v>0</v>
      </c>
      <c r="G252" s="432">
        <f t="shared" si="14"/>
        <v>0</v>
      </c>
      <c r="H252" s="432">
        <f t="shared" si="14"/>
        <v>0</v>
      </c>
      <c r="I252" s="432">
        <f t="shared" si="14"/>
        <v>0</v>
      </c>
      <c r="J252" s="432">
        <f t="shared" si="14"/>
        <v>0</v>
      </c>
      <c r="K252" s="432">
        <f t="shared" si="14"/>
        <v>0</v>
      </c>
      <c r="L252" s="432">
        <f t="shared" si="14"/>
        <v>0</v>
      </c>
      <c r="M252" s="432">
        <f t="shared" si="14"/>
        <v>0</v>
      </c>
      <c r="N252" s="432">
        <f t="shared" si="14"/>
        <v>480</v>
      </c>
      <c r="O252" s="432">
        <f t="shared" si="14"/>
        <v>1516786</v>
      </c>
      <c r="P252" s="432">
        <f t="shared" si="14"/>
        <v>0</v>
      </c>
      <c r="Q252" s="432">
        <f t="shared" si="14"/>
        <v>0</v>
      </c>
      <c r="R252" s="432">
        <f t="shared" si="14"/>
        <v>2861</v>
      </c>
      <c r="S252" s="432">
        <f t="shared" si="14"/>
        <v>4352186</v>
      </c>
      <c r="T252" s="432">
        <f t="shared" si="14"/>
        <v>0</v>
      </c>
      <c r="U252" s="432">
        <f t="shared" si="14"/>
        <v>0</v>
      </c>
      <c r="V252" s="196">
        <f t="shared" si="14"/>
        <v>0</v>
      </c>
      <c r="W252" s="282"/>
      <c r="X252" s="282"/>
    </row>
    <row r="253" spans="1:25">
      <c r="A253" s="430">
        <v>1</v>
      </c>
      <c r="B253" s="467" t="s">
        <v>619</v>
      </c>
      <c r="C253" s="432">
        <f>'часть 1'!L262</f>
        <v>620394</v>
      </c>
      <c r="D253" s="432">
        <v>0</v>
      </c>
      <c r="E253" s="432">
        <v>0</v>
      </c>
      <c r="F253" s="432">
        <v>0</v>
      </c>
      <c r="G253" s="432">
        <v>0</v>
      </c>
      <c r="H253" s="432">
        <v>0</v>
      </c>
      <c r="I253" s="432">
        <v>0</v>
      </c>
      <c r="J253" s="432">
        <v>0</v>
      </c>
      <c r="K253" s="432">
        <v>0</v>
      </c>
      <c r="L253" s="463">
        <v>0</v>
      </c>
      <c r="M253" s="822">
        <v>0</v>
      </c>
      <c r="N253" s="441">
        <v>0</v>
      </c>
      <c r="O253" s="432">
        <v>0</v>
      </c>
      <c r="P253" s="463">
        <v>0</v>
      </c>
      <c r="Q253" s="432">
        <v>0</v>
      </c>
      <c r="R253" s="433">
        <v>408</v>
      </c>
      <c r="S253" s="432">
        <v>620394</v>
      </c>
      <c r="T253" s="463">
        <v>0</v>
      </c>
      <c r="U253" s="823">
        <v>0</v>
      </c>
      <c r="V253" s="282"/>
      <c r="W253" s="282"/>
      <c r="X253" s="282">
        <f>S253/R253</f>
        <v>1520.5735294117646</v>
      </c>
    </row>
    <row r="254" spans="1:25">
      <c r="A254" s="430">
        <v>2</v>
      </c>
      <c r="B254" s="467" t="s">
        <v>620</v>
      </c>
      <c r="C254" s="432">
        <f>'часть 1'!L263</f>
        <v>620324</v>
      </c>
      <c r="D254" s="432">
        <v>0</v>
      </c>
      <c r="E254" s="432">
        <v>0</v>
      </c>
      <c r="F254" s="432">
        <v>0</v>
      </c>
      <c r="G254" s="432">
        <v>0</v>
      </c>
      <c r="H254" s="432">
        <v>0</v>
      </c>
      <c r="I254" s="432">
        <v>0</v>
      </c>
      <c r="J254" s="432">
        <v>0</v>
      </c>
      <c r="K254" s="432">
        <v>0</v>
      </c>
      <c r="L254" s="463">
        <v>0</v>
      </c>
      <c r="M254" s="822">
        <v>0</v>
      </c>
      <c r="N254" s="441">
        <v>0</v>
      </c>
      <c r="O254" s="432">
        <v>0</v>
      </c>
      <c r="P254" s="463">
        <v>0</v>
      </c>
      <c r="Q254" s="432">
        <v>0</v>
      </c>
      <c r="R254" s="433">
        <v>408</v>
      </c>
      <c r="S254" s="432">
        <v>620324</v>
      </c>
      <c r="T254" s="463">
        <v>0</v>
      </c>
      <c r="U254" s="823">
        <v>0</v>
      </c>
      <c r="V254" s="282"/>
      <c r="W254" s="282"/>
      <c r="X254" s="282">
        <f t="shared" ref="X254:X259" si="15">S254/R254</f>
        <v>1520.4019607843138</v>
      </c>
    </row>
    <row r="255" spans="1:25">
      <c r="A255" s="430">
        <v>3</v>
      </c>
      <c r="B255" s="467" t="s">
        <v>621</v>
      </c>
      <c r="C255" s="432">
        <f>'часть 1'!L264</f>
        <v>626838</v>
      </c>
      <c r="D255" s="432">
        <v>0</v>
      </c>
      <c r="E255" s="432">
        <v>0</v>
      </c>
      <c r="F255" s="432">
        <v>0</v>
      </c>
      <c r="G255" s="432">
        <v>0</v>
      </c>
      <c r="H255" s="432">
        <v>0</v>
      </c>
      <c r="I255" s="432">
        <v>0</v>
      </c>
      <c r="J255" s="432">
        <v>0</v>
      </c>
      <c r="K255" s="432">
        <v>0</v>
      </c>
      <c r="L255" s="463">
        <v>0</v>
      </c>
      <c r="M255" s="822">
        <v>0</v>
      </c>
      <c r="N255" s="441">
        <v>0</v>
      </c>
      <c r="O255" s="432">
        <v>0</v>
      </c>
      <c r="P255" s="463">
        <v>0</v>
      </c>
      <c r="Q255" s="432">
        <v>0</v>
      </c>
      <c r="R255" s="433">
        <v>412</v>
      </c>
      <c r="S255" s="432">
        <v>626838</v>
      </c>
      <c r="T255" s="463">
        <v>0</v>
      </c>
      <c r="U255" s="823">
        <v>0</v>
      </c>
      <c r="V255" s="282"/>
      <c r="W255" s="282"/>
      <c r="X255" s="282">
        <f t="shared" si="15"/>
        <v>1521.4514563106795</v>
      </c>
    </row>
    <row r="256" spans="1:25">
      <c r="A256" s="430">
        <v>4</v>
      </c>
      <c r="B256" s="467" t="s">
        <v>622</v>
      </c>
      <c r="C256" s="432">
        <f>'часть 1'!L265</f>
        <v>2055193</v>
      </c>
      <c r="D256" s="432">
        <v>0</v>
      </c>
      <c r="E256" s="432">
        <v>0</v>
      </c>
      <c r="F256" s="432">
        <v>0</v>
      </c>
      <c r="G256" s="432">
        <v>0</v>
      </c>
      <c r="H256" s="432">
        <v>0</v>
      </c>
      <c r="I256" s="432">
        <v>0</v>
      </c>
      <c r="J256" s="432">
        <v>0</v>
      </c>
      <c r="K256" s="432">
        <v>0</v>
      </c>
      <c r="L256" s="463">
        <v>0</v>
      </c>
      <c r="M256" s="822">
        <v>0</v>
      </c>
      <c r="N256" s="441">
        <v>480</v>
      </c>
      <c r="O256" s="432">
        <v>1516786</v>
      </c>
      <c r="P256" s="463">
        <v>0</v>
      </c>
      <c r="Q256" s="432">
        <v>0</v>
      </c>
      <c r="R256" s="433">
        <v>352</v>
      </c>
      <c r="S256" s="432">
        <v>538407</v>
      </c>
      <c r="T256" s="463">
        <v>0</v>
      </c>
      <c r="U256" s="823">
        <v>0</v>
      </c>
      <c r="V256" s="282"/>
      <c r="W256" s="282">
        <f>O256/N256</f>
        <v>3159.9708333333333</v>
      </c>
      <c r="X256" s="282">
        <f t="shared" si="15"/>
        <v>1529.565340909091</v>
      </c>
    </row>
    <row r="257" spans="1:30">
      <c r="A257" s="430">
        <v>5</v>
      </c>
      <c r="B257" s="467" t="s">
        <v>392</v>
      </c>
      <c r="C257" s="432">
        <f>'часть 1'!L266</f>
        <v>626290</v>
      </c>
      <c r="D257" s="432">
        <v>0</v>
      </c>
      <c r="E257" s="432">
        <v>0</v>
      </c>
      <c r="F257" s="432">
        <v>0</v>
      </c>
      <c r="G257" s="432">
        <v>0</v>
      </c>
      <c r="H257" s="432">
        <v>0</v>
      </c>
      <c r="I257" s="432">
        <v>0</v>
      </c>
      <c r="J257" s="432">
        <v>0</v>
      </c>
      <c r="K257" s="432">
        <v>0</v>
      </c>
      <c r="L257" s="463">
        <v>0</v>
      </c>
      <c r="M257" s="822">
        <v>0</v>
      </c>
      <c r="N257" s="441">
        <v>0</v>
      </c>
      <c r="O257" s="432">
        <v>0</v>
      </c>
      <c r="P257" s="463">
        <v>0</v>
      </c>
      <c r="Q257" s="432">
        <v>0</v>
      </c>
      <c r="R257" s="433">
        <v>412</v>
      </c>
      <c r="S257" s="432">
        <v>626290</v>
      </c>
      <c r="T257" s="463">
        <v>0</v>
      </c>
      <c r="U257" s="823">
        <v>0</v>
      </c>
      <c r="V257" s="282"/>
      <c r="W257" s="282"/>
      <c r="X257" s="282">
        <f t="shared" si="15"/>
        <v>1520.1213592233009</v>
      </c>
    </row>
    <row r="258" spans="1:30">
      <c r="A258" s="430">
        <v>6</v>
      </c>
      <c r="B258" s="467" t="s">
        <v>623</v>
      </c>
      <c r="C258" s="432">
        <f>'часть 1'!L267</f>
        <v>555216</v>
      </c>
      <c r="D258" s="432">
        <v>0</v>
      </c>
      <c r="E258" s="432">
        <v>0</v>
      </c>
      <c r="F258" s="432">
        <v>0</v>
      </c>
      <c r="G258" s="432">
        <v>0</v>
      </c>
      <c r="H258" s="432">
        <v>0</v>
      </c>
      <c r="I258" s="432">
        <v>0</v>
      </c>
      <c r="J258" s="432">
        <v>0</v>
      </c>
      <c r="K258" s="432">
        <v>0</v>
      </c>
      <c r="L258" s="463">
        <v>0</v>
      </c>
      <c r="M258" s="822">
        <v>0</v>
      </c>
      <c r="N258" s="441">
        <v>0</v>
      </c>
      <c r="O258" s="432">
        <v>0</v>
      </c>
      <c r="P258" s="463">
        <v>0</v>
      </c>
      <c r="Q258" s="432">
        <v>0</v>
      </c>
      <c r="R258" s="433">
        <v>364</v>
      </c>
      <c r="S258" s="432">
        <v>555216</v>
      </c>
      <c r="T258" s="463">
        <v>0</v>
      </c>
      <c r="U258" s="823">
        <v>0</v>
      </c>
      <c r="V258" s="282"/>
      <c r="W258" s="282"/>
      <c r="X258" s="282">
        <f t="shared" si="15"/>
        <v>1525.3186813186812</v>
      </c>
    </row>
    <row r="259" spans="1:30">
      <c r="A259" s="430">
        <v>7</v>
      </c>
      <c r="B259" s="438" t="s">
        <v>628</v>
      </c>
      <c r="C259" s="432">
        <f>'часть 1'!L268</f>
        <v>764717</v>
      </c>
      <c r="D259" s="432">
        <v>0</v>
      </c>
      <c r="E259" s="432">
        <v>0</v>
      </c>
      <c r="F259" s="432">
        <v>0</v>
      </c>
      <c r="G259" s="432">
        <v>0</v>
      </c>
      <c r="H259" s="432">
        <v>0</v>
      </c>
      <c r="I259" s="432">
        <v>0</v>
      </c>
      <c r="J259" s="432">
        <v>0</v>
      </c>
      <c r="K259" s="432">
        <v>0</v>
      </c>
      <c r="L259" s="463">
        <v>0</v>
      </c>
      <c r="M259" s="822">
        <v>0</v>
      </c>
      <c r="N259" s="441">
        <v>0</v>
      </c>
      <c r="O259" s="432">
        <v>0</v>
      </c>
      <c r="P259" s="463">
        <v>0</v>
      </c>
      <c r="Q259" s="432">
        <v>0</v>
      </c>
      <c r="R259" s="433">
        <v>505</v>
      </c>
      <c r="S259" s="432">
        <v>764717</v>
      </c>
      <c r="T259" s="463"/>
      <c r="U259" s="823"/>
      <c r="V259" s="282"/>
      <c r="W259" s="282"/>
      <c r="X259" s="282">
        <f t="shared" si="15"/>
        <v>1514.2910891089109</v>
      </c>
    </row>
    <row r="260" spans="1:30">
      <c r="A260" s="198"/>
      <c r="B260" s="217" t="s">
        <v>41</v>
      </c>
      <c r="C260" s="192">
        <v>12161074</v>
      </c>
      <c r="D260" s="192"/>
      <c r="E260" s="192"/>
      <c r="F260" s="192"/>
      <c r="G260" s="192"/>
      <c r="H260" s="192"/>
      <c r="I260" s="192"/>
      <c r="J260" s="192"/>
      <c r="K260" s="192">
        <v>297717</v>
      </c>
      <c r="L260" s="205">
        <v>3</v>
      </c>
      <c r="M260" s="192">
        <v>5600526</v>
      </c>
      <c r="N260" s="192">
        <f>N261</f>
        <v>5180.68</v>
      </c>
      <c r="O260" s="192">
        <v>6262831</v>
      </c>
      <c r="P260" s="205">
        <v>0</v>
      </c>
      <c r="Q260" s="192">
        <v>0</v>
      </c>
      <c r="R260" s="193">
        <v>0</v>
      </c>
      <c r="S260" s="192">
        <v>0</v>
      </c>
      <c r="T260" s="205">
        <v>0</v>
      </c>
      <c r="U260" s="287">
        <v>0</v>
      </c>
      <c r="V260" s="282"/>
      <c r="W260" s="282"/>
      <c r="X260" s="282"/>
    </row>
    <row r="261" spans="1:30" ht="30">
      <c r="A261" s="198"/>
      <c r="B261" s="195" t="s">
        <v>96</v>
      </c>
      <c r="C261" s="196">
        <f>C262+C263+C264+C265+C266+C267+C268+C269+C270+C271</f>
        <v>22562280</v>
      </c>
      <c r="D261" s="196">
        <f t="shared" ref="D261:V261" si="16">D262+D263+D264+D265+D266+D267+D268+D269+D270+D271</f>
        <v>4389647</v>
      </c>
      <c r="E261" s="196">
        <f t="shared" si="16"/>
        <v>2047085</v>
      </c>
      <c r="F261" s="196">
        <f t="shared" si="16"/>
        <v>0</v>
      </c>
      <c r="G261" s="196">
        <f t="shared" si="16"/>
        <v>0</v>
      </c>
      <c r="H261" s="196">
        <f t="shared" si="16"/>
        <v>1420247</v>
      </c>
      <c r="I261" s="196">
        <f t="shared" si="16"/>
        <v>0</v>
      </c>
      <c r="J261" s="196">
        <f t="shared" si="16"/>
        <v>922315</v>
      </c>
      <c r="K261" s="196">
        <f t="shared" si="16"/>
        <v>0</v>
      </c>
      <c r="L261" s="196">
        <f t="shared" si="16"/>
        <v>0</v>
      </c>
      <c r="M261" s="196">
        <f t="shared" si="16"/>
        <v>0</v>
      </c>
      <c r="N261" s="196">
        <f t="shared" si="16"/>
        <v>5180.68</v>
      </c>
      <c r="O261" s="196">
        <f t="shared" si="16"/>
        <v>14270951</v>
      </c>
      <c r="P261" s="196">
        <f t="shared" si="16"/>
        <v>0</v>
      </c>
      <c r="Q261" s="196">
        <f t="shared" si="16"/>
        <v>0</v>
      </c>
      <c r="R261" s="196">
        <f t="shared" si="16"/>
        <v>2585.2599999999998</v>
      </c>
      <c r="S261" s="196">
        <f t="shared" si="16"/>
        <v>3901682</v>
      </c>
      <c r="T261" s="196">
        <f t="shared" si="16"/>
        <v>0</v>
      </c>
      <c r="U261" s="196">
        <f t="shared" si="16"/>
        <v>0</v>
      </c>
      <c r="V261" s="196">
        <f t="shared" si="16"/>
        <v>0</v>
      </c>
      <c r="W261" s="282"/>
      <c r="X261" s="282"/>
    </row>
    <row r="262" spans="1:30" ht="30">
      <c r="A262" s="198">
        <v>1</v>
      </c>
      <c r="B262" s="762" t="s">
        <v>813</v>
      </c>
      <c r="C262" s="196">
        <f>'часть 1'!L271</f>
        <v>2342562</v>
      </c>
      <c r="D262" s="196">
        <f>E262+F262+G262+H262+I262+J262+K262</f>
        <v>2342562</v>
      </c>
      <c r="E262" s="196">
        <v>0</v>
      </c>
      <c r="F262" s="196">
        <v>0</v>
      </c>
      <c r="G262" s="196">
        <v>0</v>
      </c>
      <c r="H262" s="196">
        <v>1420247</v>
      </c>
      <c r="I262" s="196">
        <v>0</v>
      </c>
      <c r="J262" s="196">
        <v>922315</v>
      </c>
      <c r="K262" s="196">
        <v>0</v>
      </c>
      <c r="L262" s="204">
        <v>0</v>
      </c>
      <c r="M262" s="199">
        <v>0</v>
      </c>
      <c r="N262" s="199">
        <v>0</v>
      </c>
      <c r="O262" s="196">
        <v>0</v>
      </c>
      <c r="P262" s="193">
        <v>0</v>
      </c>
      <c r="Q262" s="192">
        <v>0</v>
      </c>
      <c r="R262" s="193">
        <v>0</v>
      </c>
      <c r="S262" s="192">
        <v>0</v>
      </c>
      <c r="T262" s="205">
        <v>0</v>
      </c>
      <c r="U262" s="287">
        <v>0</v>
      </c>
      <c r="V262" s="282"/>
      <c r="W262" s="282"/>
      <c r="X262" s="282"/>
      <c r="AB262" s="1">
        <f>H262/'часть 1'!I271</f>
        <v>883.62284576619174</v>
      </c>
      <c r="AD262" s="1">
        <f>J262/'часть 1'!I271</f>
        <v>573.8287811858396</v>
      </c>
    </row>
    <row r="263" spans="1:30" ht="30">
      <c r="A263" s="198">
        <v>2</v>
      </c>
      <c r="B263" s="762" t="s">
        <v>814</v>
      </c>
      <c r="C263" s="196">
        <f>'часть 1'!L272</f>
        <v>2815415</v>
      </c>
      <c r="D263" s="196">
        <f t="shared" ref="D263:D271" si="17">E263+F263+G263+H263+I263+J263+K263</f>
        <v>0</v>
      </c>
      <c r="E263" s="196">
        <v>0</v>
      </c>
      <c r="F263" s="196">
        <v>0</v>
      </c>
      <c r="G263" s="196">
        <v>0</v>
      </c>
      <c r="H263" s="196">
        <v>0</v>
      </c>
      <c r="I263" s="196">
        <v>0</v>
      </c>
      <c r="J263" s="196">
        <v>0</v>
      </c>
      <c r="K263" s="196">
        <v>0</v>
      </c>
      <c r="L263" s="204">
        <v>0</v>
      </c>
      <c r="M263" s="199">
        <v>0</v>
      </c>
      <c r="N263" s="199">
        <v>892.68</v>
      </c>
      <c r="O263" s="196">
        <v>2815415</v>
      </c>
      <c r="P263" s="193">
        <v>0</v>
      </c>
      <c r="Q263" s="192">
        <v>0</v>
      </c>
      <c r="R263" s="193">
        <v>0</v>
      </c>
      <c r="S263" s="192">
        <v>0</v>
      </c>
      <c r="T263" s="205">
        <v>0</v>
      </c>
      <c r="U263" s="287">
        <v>0</v>
      </c>
      <c r="V263" s="282"/>
      <c r="W263" s="282">
        <f>O263/N263</f>
        <v>3153.8905318815255</v>
      </c>
      <c r="X263" s="282"/>
    </row>
    <row r="264" spans="1:30" ht="30">
      <c r="A264" s="198">
        <v>3</v>
      </c>
      <c r="B264" s="762" t="s">
        <v>815</v>
      </c>
      <c r="C264" s="196">
        <f>'часть 1'!L273</f>
        <v>3917668</v>
      </c>
      <c r="D264" s="196">
        <f t="shared" si="17"/>
        <v>0</v>
      </c>
      <c r="E264" s="196">
        <v>0</v>
      </c>
      <c r="F264" s="196">
        <v>0</v>
      </c>
      <c r="G264" s="196">
        <v>0</v>
      </c>
      <c r="H264" s="196">
        <v>0</v>
      </c>
      <c r="I264" s="196">
        <v>0</v>
      </c>
      <c r="J264" s="196">
        <v>0</v>
      </c>
      <c r="K264" s="196">
        <v>0</v>
      </c>
      <c r="L264" s="204">
        <v>0</v>
      </c>
      <c r="M264" s="199">
        <v>0</v>
      </c>
      <c r="N264" s="199">
        <v>1235</v>
      </c>
      <c r="O264" s="196">
        <v>3917668</v>
      </c>
      <c r="P264" s="193">
        <v>0</v>
      </c>
      <c r="Q264" s="192">
        <v>0</v>
      </c>
      <c r="R264" s="193">
        <v>0</v>
      </c>
      <c r="S264" s="192">
        <v>0</v>
      </c>
      <c r="T264" s="205">
        <v>0</v>
      </c>
      <c r="U264" s="287">
        <v>0</v>
      </c>
      <c r="V264" s="282"/>
      <c r="W264" s="282">
        <f>O264/N264</f>
        <v>3172.200809716599</v>
      </c>
      <c r="X264" s="282"/>
    </row>
    <row r="265" spans="1:30">
      <c r="A265" s="198">
        <v>4</v>
      </c>
      <c r="B265" s="762" t="s">
        <v>816</v>
      </c>
      <c r="C265" s="196">
        <f>'часть 1'!L274</f>
        <v>3136577</v>
      </c>
      <c r="D265" s="196">
        <f t="shared" si="17"/>
        <v>0</v>
      </c>
      <c r="E265" s="196">
        <v>0</v>
      </c>
      <c r="F265" s="196">
        <v>0</v>
      </c>
      <c r="G265" s="196">
        <v>0</v>
      </c>
      <c r="H265" s="196">
        <v>0</v>
      </c>
      <c r="I265" s="196">
        <v>0</v>
      </c>
      <c r="J265" s="196">
        <v>0</v>
      </c>
      <c r="K265" s="196">
        <v>0</v>
      </c>
      <c r="L265" s="204">
        <v>0</v>
      </c>
      <c r="M265" s="199">
        <v>0</v>
      </c>
      <c r="N265" s="199">
        <v>1270</v>
      </c>
      <c r="O265" s="196">
        <v>3136577</v>
      </c>
      <c r="P265" s="193">
        <v>0</v>
      </c>
      <c r="Q265" s="192">
        <v>0</v>
      </c>
      <c r="R265" s="193">
        <v>0</v>
      </c>
      <c r="S265" s="192">
        <v>0</v>
      </c>
      <c r="T265" s="205">
        <v>0</v>
      </c>
      <c r="U265" s="287">
        <v>0</v>
      </c>
      <c r="V265" s="282"/>
      <c r="W265" s="282">
        <f>O265/N265</f>
        <v>2469.7456692913388</v>
      </c>
      <c r="X265" s="282"/>
    </row>
    <row r="266" spans="1:30" ht="45">
      <c r="A266" s="198">
        <v>5</v>
      </c>
      <c r="B266" s="762" t="s">
        <v>817</v>
      </c>
      <c r="C266" s="196">
        <f>'часть 1'!L275</f>
        <v>1046329</v>
      </c>
      <c r="D266" s="196">
        <f t="shared" si="17"/>
        <v>0</v>
      </c>
      <c r="E266" s="196">
        <v>0</v>
      </c>
      <c r="F266" s="196">
        <v>0</v>
      </c>
      <c r="G266" s="196">
        <v>0</v>
      </c>
      <c r="H266" s="196">
        <v>0</v>
      </c>
      <c r="I266" s="196">
        <v>0</v>
      </c>
      <c r="J266" s="196">
        <v>0</v>
      </c>
      <c r="K266" s="196">
        <v>0</v>
      </c>
      <c r="L266" s="204">
        <v>0</v>
      </c>
      <c r="M266" s="199">
        <v>0</v>
      </c>
      <c r="N266" s="199">
        <v>424</v>
      </c>
      <c r="O266" s="196">
        <v>1046329</v>
      </c>
      <c r="P266" s="193">
        <v>0</v>
      </c>
      <c r="Q266" s="192">
        <v>0</v>
      </c>
      <c r="R266" s="193">
        <v>0</v>
      </c>
      <c r="S266" s="192">
        <v>0</v>
      </c>
      <c r="T266" s="205">
        <v>0</v>
      </c>
      <c r="U266" s="287">
        <v>0</v>
      </c>
      <c r="V266" s="282"/>
      <c r="W266" s="282">
        <f>O266/N266</f>
        <v>2467.757075471698</v>
      </c>
      <c r="X266" s="282"/>
    </row>
    <row r="267" spans="1:30">
      <c r="A267" s="198">
        <v>6</v>
      </c>
      <c r="B267" s="762" t="s">
        <v>818</v>
      </c>
      <c r="C267" s="196">
        <f>'часть 1'!L276</f>
        <v>2290833</v>
      </c>
      <c r="D267" s="196">
        <f t="shared" si="17"/>
        <v>717172</v>
      </c>
      <c r="E267" s="196">
        <v>717172</v>
      </c>
      <c r="F267" s="196">
        <v>0</v>
      </c>
      <c r="G267" s="196">
        <v>0</v>
      </c>
      <c r="H267" s="196">
        <v>0</v>
      </c>
      <c r="I267" s="196">
        <v>0</v>
      </c>
      <c r="J267" s="196">
        <v>0</v>
      </c>
      <c r="K267" s="196">
        <v>0</v>
      </c>
      <c r="L267" s="204">
        <v>0</v>
      </c>
      <c r="M267" s="199">
        <v>0</v>
      </c>
      <c r="N267" s="199">
        <v>0</v>
      </c>
      <c r="O267" s="196">
        <v>0</v>
      </c>
      <c r="P267" s="193">
        <v>0</v>
      </c>
      <c r="Q267" s="192">
        <v>0</v>
      </c>
      <c r="R267" s="193">
        <v>1043.7</v>
      </c>
      <c r="S267" s="192">
        <v>1573661</v>
      </c>
      <c r="T267" s="205">
        <v>0</v>
      </c>
      <c r="U267" s="287">
        <v>0</v>
      </c>
      <c r="V267" s="282"/>
      <c r="W267" s="282"/>
      <c r="X267" s="282">
        <f>S267/R267</f>
        <v>1507.7713902462392</v>
      </c>
    </row>
    <row r="268" spans="1:30">
      <c r="A268" s="198">
        <v>7</v>
      </c>
      <c r="B268" s="762" t="s">
        <v>819</v>
      </c>
      <c r="C268" s="196">
        <f>'часть 1'!L277</f>
        <v>1932078</v>
      </c>
      <c r="D268" s="196">
        <f t="shared" si="17"/>
        <v>625139</v>
      </c>
      <c r="E268" s="196">
        <v>625139</v>
      </c>
      <c r="F268" s="196">
        <v>0</v>
      </c>
      <c r="G268" s="196">
        <v>0</v>
      </c>
      <c r="H268" s="196">
        <v>0</v>
      </c>
      <c r="I268" s="196">
        <v>0</v>
      </c>
      <c r="J268" s="196">
        <v>0</v>
      </c>
      <c r="K268" s="196">
        <v>0</v>
      </c>
      <c r="L268" s="204">
        <v>0</v>
      </c>
      <c r="M268" s="199">
        <v>0</v>
      </c>
      <c r="N268" s="199">
        <v>0</v>
      </c>
      <c r="O268" s="196">
        <v>0</v>
      </c>
      <c r="P268" s="193">
        <v>0</v>
      </c>
      <c r="Q268" s="192">
        <v>0</v>
      </c>
      <c r="R268" s="193">
        <v>864.4</v>
      </c>
      <c r="S268" s="192">
        <v>1306939</v>
      </c>
      <c r="T268" s="205">
        <v>0</v>
      </c>
      <c r="U268" s="287">
        <v>0</v>
      </c>
      <c r="V268" s="282"/>
      <c r="W268" s="282"/>
      <c r="X268" s="282">
        <f>S268/R268</f>
        <v>1511.9608977325313</v>
      </c>
    </row>
    <row r="269" spans="1:30">
      <c r="A269" s="198">
        <v>8</v>
      </c>
      <c r="B269" s="762" t="s">
        <v>820</v>
      </c>
      <c r="C269" s="196">
        <f>'часть 1'!L278</f>
        <v>3354962</v>
      </c>
      <c r="D269" s="196">
        <f t="shared" si="17"/>
        <v>0</v>
      </c>
      <c r="E269" s="196">
        <v>0</v>
      </c>
      <c r="F269" s="196">
        <v>0</v>
      </c>
      <c r="G269" s="196">
        <v>0</v>
      </c>
      <c r="H269" s="196">
        <v>0</v>
      </c>
      <c r="I269" s="196">
        <v>0</v>
      </c>
      <c r="J269" s="196">
        <v>0</v>
      </c>
      <c r="K269" s="196">
        <v>0</v>
      </c>
      <c r="L269" s="204">
        <v>0</v>
      </c>
      <c r="M269" s="199">
        <v>0</v>
      </c>
      <c r="N269" s="199">
        <v>1359</v>
      </c>
      <c r="O269" s="196">
        <v>3354962</v>
      </c>
      <c r="P269" s="193">
        <v>0</v>
      </c>
      <c r="Q269" s="192">
        <v>0</v>
      </c>
      <c r="R269" s="193">
        <v>0</v>
      </c>
      <c r="S269" s="192">
        <v>0</v>
      </c>
      <c r="T269" s="205">
        <v>0</v>
      </c>
      <c r="U269" s="287">
        <v>0</v>
      </c>
      <c r="V269" s="282"/>
      <c r="W269" s="282">
        <f>O269/N269</f>
        <v>2468.6990434142754</v>
      </c>
      <c r="X269" s="282"/>
    </row>
    <row r="270" spans="1:30" ht="30">
      <c r="A270" s="198">
        <v>9</v>
      </c>
      <c r="B270" s="762" t="s">
        <v>821</v>
      </c>
      <c r="C270" s="196">
        <f>'часть 1'!L279</f>
        <v>280050</v>
      </c>
      <c r="D270" s="196">
        <f t="shared" si="17"/>
        <v>280050</v>
      </c>
      <c r="E270" s="196">
        <v>280050</v>
      </c>
      <c r="F270" s="196">
        <v>0</v>
      </c>
      <c r="G270" s="196">
        <v>0</v>
      </c>
      <c r="H270" s="196">
        <v>0</v>
      </c>
      <c r="I270" s="196">
        <v>0</v>
      </c>
      <c r="J270" s="196">
        <v>0</v>
      </c>
      <c r="K270" s="196">
        <v>0</v>
      </c>
      <c r="L270" s="204">
        <v>0</v>
      </c>
      <c r="M270" s="199">
        <v>0</v>
      </c>
      <c r="N270" s="192">
        <v>0</v>
      </c>
      <c r="O270" s="192">
        <v>0</v>
      </c>
      <c r="P270" s="193">
        <v>0</v>
      </c>
      <c r="Q270" s="192">
        <v>0</v>
      </c>
      <c r="R270" s="193">
        <v>0</v>
      </c>
      <c r="S270" s="192">
        <v>0</v>
      </c>
      <c r="T270" s="205">
        <v>0</v>
      </c>
      <c r="U270" s="287">
        <v>0</v>
      </c>
      <c r="V270" s="282"/>
      <c r="W270" s="282"/>
      <c r="X270" s="282"/>
      <c r="Y270" s="1">
        <f>E270/'часть 1'!I279</f>
        <v>767.13416972552454</v>
      </c>
    </row>
    <row r="271" spans="1:30" ht="30">
      <c r="A271" s="198">
        <v>10</v>
      </c>
      <c r="B271" s="763" t="s">
        <v>822</v>
      </c>
      <c r="C271" s="196">
        <f>'часть 1'!L280</f>
        <v>1445806</v>
      </c>
      <c r="D271" s="196">
        <f t="shared" si="17"/>
        <v>424724</v>
      </c>
      <c r="E271" s="196">
        <v>424724</v>
      </c>
      <c r="F271" s="196">
        <v>0</v>
      </c>
      <c r="G271" s="196">
        <v>0</v>
      </c>
      <c r="H271" s="196">
        <v>0</v>
      </c>
      <c r="I271" s="196">
        <v>0</v>
      </c>
      <c r="J271" s="196">
        <v>0</v>
      </c>
      <c r="K271" s="196">
        <v>0</v>
      </c>
      <c r="L271" s="204">
        <v>0</v>
      </c>
      <c r="M271" s="199">
        <v>0</v>
      </c>
      <c r="N271" s="199">
        <v>0</v>
      </c>
      <c r="O271" s="196">
        <v>0</v>
      </c>
      <c r="P271" s="193">
        <v>0</v>
      </c>
      <c r="Q271" s="211">
        <v>0</v>
      </c>
      <c r="R271" s="213">
        <v>677.16</v>
      </c>
      <c r="S271" s="211">
        <v>1021082</v>
      </c>
      <c r="T271" s="212">
        <v>0</v>
      </c>
      <c r="U271" s="290">
        <v>0</v>
      </c>
      <c r="V271" s="282"/>
      <c r="W271" s="282"/>
      <c r="X271" s="282">
        <f>S271/R271</f>
        <v>1507.8888298186544</v>
      </c>
      <c r="Y271" s="1">
        <f>E271/'часть 1'!I280</f>
        <v>677.17474489795916</v>
      </c>
    </row>
    <row r="272" spans="1:30">
      <c r="A272" s="198"/>
      <c r="B272" s="218" t="s">
        <v>68</v>
      </c>
      <c r="C272" s="196">
        <f>C273</f>
        <v>241114</v>
      </c>
      <c r="D272" s="196">
        <f t="shared" ref="D272:U272" si="18">D273</f>
        <v>0</v>
      </c>
      <c r="E272" s="196">
        <f t="shared" si="18"/>
        <v>241114</v>
      </c>
      <c r="F272" s="196">
        <f t="shared" si="18"/>
        <v>0</v>
      </c>
      <c r="G272" s="196">
        <f t="shared" si="18"/>
        <v>0</v>
      </c>
      <c r="H272" s="196">
        <f t="shared" si="18"/>
        <v>0</v>
      </c>
      <c r="I272" s="196">
        <f t="shared" si="18"/>
        <v>0</v>
      </c>
      <c r="J272" s="196">
        <f t="shared" si="18"/>
        <v>0</v>
      </c>
      <c r="K272" s="196">
        <f t="shared" si="18"/>
        <v>0</v>
      </c>
      <c r="L272" s="196">
        <f t="shared" si="18"/>
        <v>0</v>
      </c>
      <c r="M272" s="196">
        <f t="shared" si="18"/>
        <v>0</v>
      </c>
      <c r="N272" s="196">
        <f t="shared" si="18"/>
        <v>0</v>
      </c>
      <c r="O272" s="196">
        <f t="shared" si="18"/>
        <v>0</v>
      </c>
      <c r="P272" s="196">
        <f t="shared" si="18"/>
        <v>0</v>
      </c>
      <c r="Q272" s="196">
        <f t="shared" si="18"/>
        <v>0</v>
      </c>
      <c r="R272" s="196">
        <f t="shared" si="18"/>
        <v>0</v>
      </c>
      <c r="S272" s="196">
        <f t="shared" si="18"/>
        <v>0</v>
      </c>
      <c r="T272" s="196">
        <f t="shared" si="18"/>
        <v>0</v>
      </c>
      <c r="U272" s="196">
        <f t="shared" si="18"/>
        <v>0</v>
      </c>
      <c r="V272" s="282"/>
      <c r="W272" s="282"/>
      <c r="X272" s="282"/>
    </row>
    <row r="273" spans="1:35" ht="30">
      <c r="A273" s="430"/>
      <c r="B273" s="431" t="s">
        <v>97</v>
      </c>
      <c r="C273" s="432">
        <v>241114</v>
      </c>
      <c r="D273" s="432">
        <v>0</v>
      </c>
      <c r="E273" s="432">
        <v>241114</v>
      </c>
      <c r="F273" s="432">
        <v>0</v>
      </c>
      <c r="G273" s="432">
        <v>0</v>
      </c>
      <c r="H273" s="432">
        <v>0</v>
      </c>
      <c r="I273" s="432">
        <v>0</v>
      </c>
      <c r="J273" s="432">
        <v>0</v>
      </c>
      <c r="K273" s="432">
        <v>0</v>
      </c>
      <c r="L273" s="463">
        <v>0</v>
      </c>
      <c r="M273" s="432">
        <v>0</v>
      </c>
      <c r="N273" s="432">
        <v>0</v>
      </c>
      <c r="O273" s="432">
        <v>0</v>
      </c>
      <c r="P273" s="433">
        <v>0</v>
      </c>
      <c r="Q273" s="432">
        <v>0</v>
      </c>
      <c r="R273" s="433">
        <v>0</v>
      </c>
      <c r="S273" s="432">
        <v>0</v>
      </c>
      <c r="T273" s="463">
        <v>0</v>
      </c>
      <c r="U273" s="434">
        <v>0</v>
      </c>
      <c r="V273" s="282"/>
      <c r="W273" s="282"/>
      <c r="X273" s="282"/>
    </row>
    <row r="274" spans="1:35">
      <c r="A274" s="430"/>
      <c r="B274" s="464" t="s">
        <v>505</v>
      </c>
      <c r="C274" s="439">
        <v>241114</v>
      </c>
      <c r="D274" s="439">
        <v>0</v>
      </c>
      <c r="E274" s="439">
        <v>241114</v>
      </c>
      <c r="F274" s="439">
        <v>0</v>
      </c>
      <c r="G274" s="439">
        <v>0</v>
      </c>
      <c r="H274" s="439">
        <v>0</v>
      </c>
      <c r="I274" s="439">
        <v>0</v>
      </c>
      <c r="J274" s="439">
        <v>0</v>
      </c>
      <c r="K274" s="439">
        <v>0</v>
      </c>
      <c r="L274" s="440">
        <v>0</v>
      </c>
      <c r="M274" s="439">
        <v>0</v>
      </c>
      <c r="N274" s="439">
        <v>0</v>
      </c>
      <c r="O274" s="439">
        <v>0</v>
      </c>
      <c r="P274" s="442">
        <v>0</v>
      </c>
      <c r="Q274" s="439">
        <v>0</v>
      </c>
      <c r="R274" s="442">
        <v>0</v>
      </c>
      <c r="S274" s="439">
        <v>0</v>
      </c>
      <c r="T274" s="440">
        <v>0</v>
      </c>
      <c r="U274" s="443">
        <v>0</v>
      </c>
      <c r="V274" s="282"/>
      <c r="W274" s="282"/>
      <c r="X274" s="282"/>
      <c r="Y274" s="278">
        <f>E273/'часть 1'!I283</f>
        <v>974.591754244139</v>
      </c>
    </row>
    <row r="275" spans="1:35" s="18" customFormat="1">
      <c r="A275" s="198"/>
      <c r="B275" s="216" t="s">
        <v>43</v>
      </c>
      <c r="C275" s="211">
        <v>23032470</v>
      </c>
      <c r="D275" s="211"/>
      <c r="E275" s="211"/>
      <c r="F275" s="211"/>
      <c r="G275" s="211"/>
      <c r="H275" s="211"/>
      <c r="I275" s="211"/>
      <c r="J275" s="211"/>
      <c r="K275" s="211">
        <v>0</v>
      </c>
      <c r="L275" s="213">
        <v>0</v>
      </c>
      <c r="M275" s="211">
        <v>0</v>
      </c>
      <c r="N275" s="211">
        <v>11598.699999999999</v>
      </c>
      <c r="O275" s="211">
        <v>23032470</v>
      </c>
      <c r="P275" s="213">
        <v>0</v>
      </c>
      <c r="Q275" s="211">
        <v>0</v>
      </c>
      <c r="R275" s="213">
        <v>0</v>
      </c>
      <c r="S275" s="211">
        <v>0</v>
      </c>
      <c r="T275" s="213">
        <v>0</v>
      </c>
      <c r="U275" s="290">
        <v>0</v>
      </c>
      <c r="V275" s="282"/>
      <c r="W275" s="282"/>
      <c r="X275" s="282"/>
    </row>
    <row r="276" spans="1:35" ht="30">
      <c r="A276" s="198"/>
      <c r="B276" s="214" t="s">
        <v>125</v>
      </c>
      <c r="C276" s="211">
        <v>20696312</v>
      </c>
      <c r="D276" s="211"/>
      <c r="E276" s="211"/>
      <c r="F276" s="211"/>
      <c r="G276" s="211"/>
      <c r="H276" s="211"/>
      <c r="I276" s="211"/>
      <c r="J276" s="211"/>
      <c r="K276" s="211">
        <v>0</v>
      </c>
      <c r="L276" s="212">
        <v>0</v>
      </c>
      <c r="M276" s="211">
        <v>0</v>
      </c>
      <c r="N276" s="211">
        <v>10402.699999999999</v>
      </c>
      <c r="O276" s="211">
        <v>20696312</v>
      </c>
      <c r="P276" s="213">
        <v>0</v>
      </c>
      <c r="Q276" s="211">
        <v>0</v>
      </c>
      <c r="R276" s="213">
        <v>0</v>
      </c>
      <c r="S276" s="211">
        <v>0</v>
      </c>
      <c r="T276" s="212">
        <v>0</v>
      </c>
      <c r="U276" s="290">
        <v>0</v>
      </c>
      <c r="V276" s="282"/>
      <c r="W276" s="282"/>
      <c r="X276" s="282"/>
    </row>
    <row r="277" spans="1:35" s="46" customFormat="1">
      <c r="A277" s="198">
        <v>244</v>
      </c>
      <c r="B277" s="219" t="s">
        <v>405</v>
      </c>
      <c r="C277" s="220">
        <v>2301804</v>
      </c>
      <c r="D277" s="220"/>
      <c r="E277" s="220"/>
      <c r="F277" s="220"/>
      <c r="G277" s="220"/>
      <c r="H277" s="220"/>
      <c r="I277" s="220"/>
      <c r="J277" s="220"/>
      <c r="K277" s="221">
        <v>0</v>
      </c>
      <c r="L277" s="222">
        <v>0</v>
      </c>
      <c r="M277" s="221">
        <v>0</v>
      </c>
      <c r="N277" s="223">
        <v>1167</v>
      </c>
      <c r="O277" s="224">
        <v>2301804</v>
      </c>
      <c r="P277" s="225">
        <v>0</v>
      </c>
      <c r="Q277" s="221">
        <v>0</v>
      </c>
      <c r="R277" s="225">
        <v>0</v>
      </c>
      <c r="S277" s="221">
        <v>0</v>
      </c>
      <c r="T277" s="226">
        <v>0</v>
      </c>
      <c r="U277" s="291">
        <v>0</v>
      </c>
      <c r="V277" s="282"/>
      <c r="W277" s="282"/>
      <c r="X277" s="282"/>
    </row>
    <row r="278" spans="1:35" s="90" customFormat="1">
      <c r="A278" s="198">
        <v>245</v>
      </c>
      <c r="B278" s="219" t="s">
        <v>393</v>
      </c>
      <c r="C278" s="220">
        <v>1743478</v>
      </c>
      <c r="D278" s="220"/>
      <c r="E278" s="220"/>
      <c r="F278" s="220"/>
      <c r="G278" s="220"/>
      <c r="H278" s="220"/>
      <c r="I278" s="220"/>
      <c r="J278" s="220"/>
      <c r="K278" s="227">
        <v>0</v>
      </c>
      <c r="L278" s="208">
        <v>0</v>
      </c>
      <c r="M278" s="227">
        <v>0</v>
      </c>
      <c r="N278" s="228">
        <v>880</v>
      </c>
      <c r="O278" s="224">
        <v>1743478</v>
      </c>
      <c r="P278" s="225">
        <v>0</v>
      </c>
      <c r="Q278" s="221">
        <v>0</v>
      </c>
      <c r="R278" s="225">
        <v>0</v>
      </c>
      <c r="S278" s="221">
        <v>0</v>
      </c>
      <c r="T278" s="226">
        <v>0</v>
      </c>
      <c r="U278" s="291">
        <v>0</v>
      </c>
      <c r="V278" s="282"/>
      <c r="W278" s="282"/>
      <c r="X278" s="282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</row>
    <row r="279" spans="1:35" s="90" customFormat="1">
      <c r="A279" s="198">
        <v>246</v>
      </c>
      <c r="B279" s="219" t="s">
        <v>406</v>
      </c>
      <c r="C279" s="220">
        <v>2485001</v>
      </c>
      <c r="D279" s="220"/>
      <c r="E279" s="220"/>
      <c r="F279" s="220"/>
      <c r="G279" s="220"/>
      <c r="H279" s="220"/>
      <c r="I279" s="220"/>
      <c r="J279" s="220"/>
      <c r="K279" s="221">
        <v>0</v>
      </c>
      <c r="L279" s="222">
        <v>0</v>
      </c>
      <c r="M279" s="221">
        <v>0</v>
      </c>
      <c r="N279" s="229">
        <v>1268.4000000000001</v>
      </c>
      <c r="O279" s="224">
        <v>2485001</v>
      </c>
      <c r="P279" s="225">
        <v>0</v>
      </c>
      <c r="Q279" s="221">
        <v>0</v>
      </c>
      <c r="R279" s="225">
        <v>0</v>
      </c>
      <c r="S279" s="221">
        <v>0</v>
      </c>
      <c r="T279" s="226">
        <v>0</v>
      </c>
      <c r="U279" s="291">
        <v>0</v>
      </c>
      <c r="V279" s="282"/>
      <c r="W279" s="282"/>
      <c r="X279" s="282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</row>
    <row r="280" spans="1:35" s="46" customFormat="1">
      <c r="A280" s="198">
        <v>247</v>
      </c>
      <c r="B280" s="219" t="s">
        <v>402</v>
      </c>
      <c r="C280" s="220">
        <v>1237591</v>
      </c>
      <c r="D280" s="220"/>
      <c r="E280" s="220"/>
      <c r="F280" s="220"/>
      <c r="G280" s="220"/>
      <c r="H280" s="220"/>
      <c r="I280" s="220"/>
      <c r="J280" s="220"/>
      <c r="K280" s="221">
        <v>0</v>
      </c>
      <c r="L280" s="222">
        <v>0</v>
      </c>
      <c r="M280" s="221">
        <v>0</v>
      </c>
      <c r="N280" s="223">
        <v>620</v>
      </c>
      <c r="O280" s="224">
        <v>1237591</v>
      </c>
      <c r="P280" s="225">
        <v>0</v>
      </c>
      <c r="Q280" s="221">
        <v>0</v>
      </c>
      <c r="R280" s="225">
        <v>0</v>
      </c>
      <c r="S280" s="221">
        <v>0</v>
      </c>
      <c r="T280" s="226">
        <v>0</v>
      </c>
      <c r="U280" s="291">
        <v>0</v>
      </c>
      <c r="V280" s="282"/>
      <c r="W280" s="282"/>
      <c r="X280" s="282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</row>
    <row r="281" spans="1:35" s="42" customFormat="1">
      <c r="A281" s="198">
        <v>248</v>
      </c>
      <c r="B281" s="219" t="s">
        <v>397</v>
      </c>
      <c r="C281" s="220">
        <v>1448078</v>
      </c>
      <c r="D281" s="220"/>
      <c r="E281" s="220"/>
      <c r="F281" s="220"/>
      <c r="G281" s="220"/>
      <c r="H281" s="220"/>
      <c r="I281" s="220"/>
      <c r="J281" s="220"/>
      <c r="K281" s="221">
        <v>0</v>
      </c>
      <c r="L281" s="222">
        <v>0</v>
      </c>
      <c r="M281" s="221">
        <v>0</v>
      </c>
      <c r="N281" s="229">
        <v>729</v>
      </c>
      <c r="O281" s="224">
        <v>1448078</v>
      </c>
      <c r="P281" s="225">
        <v>0</v>
      </c>
      <c r="Q281" s="221">
        <v>0</v>
      </c>
      <c r="R281" s="225">
        <v>0</v>
      </c>
      <c r="S281" s="221">
        <v>0</v>
      </c>
      <c r="T281" s="226">
        <v>0</v>
      </c>
      <c r="U281" s="291">
        <v>0</v>
      </c>
      <c r="V281" s="282"/>
      <c r="W281" s="282"/>
      <c r="X281" s="282"/>
    </row>
    <row r="282" spans="1:35" s="46" customFormat="1">
      <c r="A282" s="198">
        <v>249</v>
      </c>
      <c r="B282" s="219" t="s">
        <v>398</v>
      </c>
      <c r="C282" s="220">
        <v>1963797</v>
      </c>
      <c r="D282" s="220"/>
      <c r="E282" s="220"/>
      <c r="F282" s="220"/>
      <c r="G282" s="220"/>
      <c r="H282" s="220"/>
      <c r="I282" s="220"/>
      <c r="J282" s="220"/>
      <c r="K282" s="221">
        <v>0</v>
      </c>
      <c r="L282" s="222">
        <v>0</v>
      </c>
      <c r="M282" s="221">
        <v>0</v>
      </c>
      <c r="N282" s="223">
        <v>991.4</v>
      </c>
      <c r="O282" s="224">
        <v>1963797</v>
      </c>
      <c r="P282" s="225">
        <v>0</v>
      </c>
      <c r="Q282" s="221">
        <v>0</v>
      </c>
      <c r="R282" s="225">
        <v>0</v>
      </c>
      <c r="S282" s="221">
        <v>0</v>
      </c>
      <c r="T282" s="226">
        <v>0</v>
      </c>
      <c r="U282" s="291">
        <v>0</v>
      </c>
      <c r="V282" s="282"/>
      <c r="W282" s="282"/>
      <c r="X282" s="282"/>
    </row>
    <row r="283" spans="1:35" s="46" customFormat="1">
      <c r="A283" s="198">
        <v>250</v>
      </c>
      <c r="B283" s="219" t="s">
        <v>399</v>
      </c>
      <c r="C283" s="220">
        <v>2119530</v>
      </c>
      <c r="D283" s="220"/>
      <c r="E283" s="220"/>
      <c r="F283" s="220"/>
      <c r="G283" s="220"/>
      <c r="H283" s="220"/>
      <c r="I283" s="220"/>
      <c r="J283" s="220"/>
      <c r="K283" s="221">
        <v>0</v>
      </c>
      <c r="L283" s="222">
        <v>0</v>
      </c>
      <c r="M283" s="221">
        <v>0</v>
      </c>
      <c r="N283" s="223">
        <v>1054.5</v>
      </c>
      <c r="O283" s="224">
        <v>2119530</v>
      </c>
      <c r="P283" s="225">
        <v>0</v>
      </c>
      <c r="Q283" s="221">
        <v>0</v>
      </c>
      <c r="R283" s="225">
        <v>0</v>
      </c>
      <c r="S283" s="221">
        <v>0</v>
      </c>
      <c r="T283" s="226">
        <v>0</v>
      </c>
      <c r="U283" s="291">
        <v>0</v>
      </c>
      <c r="V283" s="282"/>
      <c r="W283" s="282"/>
      <c r="X283" s="282"/>
    </row>
    <row r="284" spans="1:35" s="46" customFormat="1">
      <c r="A284" s="198">
        <v>251</v>
      </c>
      <c r="B284" s="219" t="s">
        <v>403</v>
      </c>
      <c r="C284" s="220">
        <v>1098163</v>
      </c>
      <c r="D284" s="220"/>
      <c r="E284" s="220"/>
      <c r="F284" s="220"/>
      <c r="G284" s="220"/>
      <c r="H284" s="220"/>
      <c r="I284" s="220"/>
      <c r="J284" s="220"/>
      <c r="K284" s="221">
        <v>0</v>
      </c>
      <c r="L284" s="222">
        <v>0</v>
      </c>
      <c r="M284" s="221">
        <v>0</v>
      </c>
      <c r="N284" s="223">
        <v>548</v>
      </c>
      <c r="O284" s="224">
        <v>1098163</v>
      </c>
      <c r="P284" s="225">
        <v>0</v>
      </c>
      <c r="Q284" s="221">
        <v>0</v>
      </c>
      <c r="R284" s="225">
        <v>0</v>
      </c>
      <c r="S284" s="221">
        <v>0</v>
      </c>
      <c r="T284" s="226">
        <v>0</v>
      </c>
      <c r="U284" s="291">
        <v>0</v>
      </c>
      <c r="V284" s="282"/>
      <c r="W284" s="282"/>
      <c r="X284" s="282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1:35" s="46" customFormat="1">
      <c r="A285" s="198">
        <v>252</v>
      </c>
      <c r="B285" s="219" t="s">
        <v>404</v>
      </c>
      <c r="C285" s="220">
        <v>1241309</v>
      </c>
      <c r="D285" s="220"/>
      <c r="E285" s="220"/>
      <c r="F285" s="220"/>
      <c r="G285" s="220"/>
      <c r="H285" s="220"/>
      <c r="I285" s="220"/>
      <c r="J285" s="220"/>
      <c r="K285" s="221">
        <v>0</v>
      </c>
      <c r="L285" s="222">
        <v>0</v>
      </c>
      <c r="M285" s="221">
        <v>0</v>
      </c>
      <c r="N285" s="223">
        <v>622</v>
      </c>
      <c r="O285" s="224">
        <v>1241309</v>
      </c>
      <c r="P285" s="225">
        <v>0</v>
      </c>
      <c r="Q285" s="221">
        <v>0</v>
      </c>
      <c r="R285" s="225">
        <v>0</v>
      </c>
      <c r="S285" s="221">
        <v>0</v>
      </c>
      <c r="T285" s="226">
        <v>0</v>
      </c>
      <c r="U285" s="291">
        <v>0</v>
      </c>
      <c r="V285" s="282"/>
      <c r="W285" s="282"/>
      <c r="X285" s="282"/>
    </row>
    <row r="286" spans="1:35" s="43" customFormat="1">
      <c r="A286" s="198">
        <v>253</v>
      </c>
      <c r="B286" s="219" t="s">
        <v>400</v>
      </c>
      <c r="C286" s="220">
        <v>1041360</v>
      </c>
      <c r="D286" s="220"/>
      <c r="E286" s="220"/>
      <c r="F286" s="220"/>
      <c r="G286" s="220"/>
      <c r="H286" s="220"/>
      <c r="I286" s="220"/>
      <c r="J286" s="220"/>
      <c r="K286" s="221">
        <v>0</v>
      </c>
      <c r="L286" s="222">
        <v>0</v>
      </c>
      <c r="M286" s="221">
        <v>0</v>
      </c>
      <c r="N286" s="223">
        <v>520</v>
      </c>
      <c r="O286" s="224">
        <v>1041360</v>
      </c>
      <c r="P286" s="225">
        <v>0</v>
      </c>
      <c r="Q286" s="221">
        <v>0</v>
      </c>
      <c r="R286" s="225">
        <v>0</v>
      </c>
      <c r="S286" s="221">
        <v>0</v>
      </c>
      <c r="T286" s="226">
        <v>0</v>
      </c>
      <c r="U286" s="291">
        <v>0</v>
      </c>
      <c r="V286" s="282"/>
      <c r="W286" s="282"/>
      <c r="X286" s="282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</row>
    <row r="287" spans="1:35" s="43" customFormat="1">
      <c r="A287" s="198">
        <v>254</v>
      </c>
      <c r="B287" s="219" t="s">
        <v>401</v>
      </c>
      <c r="C287" s="220">
        <v>1138866</v>
      </c>
      <c r="D287" s="220"/>
      <c r="E287" s="220"/>
      <c r="F287" s="220"/>
      <c r="G287" s="220"/>
      <c r="H287" s="220"/>
      <c r="I287" s="220"/>
      <c r="J287" s="220"/>
      <c r="K287" s="221">
        <v>0</v>
      </c>
      <c r="L287" s="222">
        <v>0</v>
      </c>
      <c r="M287" s="221">
        <v>0</v>
      </c>
      <c r="N287" s="223">
        <v>570</v>
      </c>
      <c r="O287" s="224">
        <v>1138866</v>
      </c>
      <c r="P287" s="225">
        <v>0</v>
      </c>
      <c r="Q287" s="221">
        <v>0</v>
      </c>
      <c r="R287" s="225">
        <v>0</v>
      </c>
      <c r="S287" s="221">
        <v>0</v>
      </c>
      <c r="T287" s="226">
        <v>0</v>
      </c>
      <c r="U287" s="291">
        <v>0</v>
      </c>
      <c r="V287" s="282"/>
      <c r="W287" s="282"/>
      <c r="X287" s="282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</row>
    <row r="288" spans="1:35" s="46" customFormat="1">
      <c r="A288" s="198">
        <v>255</v>
      </c>
      <c r="B288" s="219" t="s">
        <v>394</v>
      </c>
      <c r="C288" s="220">
        <v>848546</v>
      </c>
      <c r="D288" s="220"/>
      <c r="E288" s="220"/>
      <c r="F288" s="220"/>
      <c r="G288" s="220"/>
      <c r="H288" s="220"/>
      <c r="I288" s="220"/>
      <c r="J288" s="220"/>
      <c r="K288" s="221">
        <v>0</v>
      </c>
      <c r="L288" s="222">
        <v>0</v>
      </c>
      <c r="M288" s="221">
        <v>0</v>
      </c>
      <c r="N288" s="229">
        <v>421.2</v>
      </c>
      <c r="O288" s="224">
        <v>848546</v>
      </c>
      <c r="P288" s="225">
        <v>0</v>
      </c>
      <c r="Q288" s="221">
        <v>0</v>
      </c>
      <c r="R288" s="225">
        <v>0</v>
      </c>
      <c r="S288" s="221">
        <v>0</v>
      </c>
      <c r="T288" s="226">
        <v>0</v>
      </c>
      <c r="U288" s="291">
        <v>0</v>
      </c>
      <c r="V288" s="282"/>
      <c r="W288" s="282"/>
      <c r="X288" s="282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</row>
    <row r="289" spans="1:35" s="46" customFormat="1">
      <c r="A289" s="198">
        <v>256</v>
      </c>
      <c r="B289" s="219" t="s">
        <v>395</v>
      </c>
      <c r="C289" s="220">
        <v>848706</v>
      </c>
      <c r="D289" s="220"/>
      <c r="E289" s="220"/>
      <c r="F289" s="220"/>
      <c r="G289" s="220"/>
      <c r="H289" s="220"/>
      <c r="I289" s="220"/>
      <c r="J289" s="220"/>
      <c r="K289" s="221">
        <v>0</v>
      </c>
      <c r="L289" s="222">
        <v>0</v>
      </c>
      <c r="M289" s="221">
        <v>0</v>
      </c>
      <c r="N289" s="229">
        <v>421.2</v>
      </c>
      <c r="O289" s="224">
        <v>848706</v>
      </c>
      <c r="P289" s="225">
        <v>0</v>
      </c>
      <c r="Q289" s="221">
        <v>0</v>
      </c>
      <c r="R289" s="225">
        <v>0</v>
      </c>
      <c r="S289" s="221">
        <v>0</v>
      </c>
      <c r="T289" s="226">
        <v>0</v>
      </c>
      <c r="U289" s="291">
        <v>0</v>
      </c>
      <c r="V289" s="282"/>
      <c r="W289" s="282"/>
      <c r="X289" s="282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90"/>
    </row>
    <row r="290" spans="1:35" s="46" customFormat="1">
      <c r="A290" s="198">
        <v>257</v>
      </c>
      <c r="B290" s="219" t="s">
        <v>396</v>
      </c>
      <c r="C290" s="220">
        <v>1180083</v>
      </c>
      <c r="D290" s="220"/>
      <c r="E290" s="220"/>
      <c r="F290" s="220"/>
      <c r="G290" s="220"/>
      <c r="H290" s="220"/>
      <c r="I290" s="220"/>
      <c r="J290" s="220"/>
      <c r="K290" s="221">
        <v>0</v>
      </c>
      <c r="L290" s="222">
        <v>0</v>
      </c>
      <c r="M290" s="221">
        <v>0</v>
      </c>
      <c r="N290" s="229">
        <v>590</v>
      </c>
      <c r="O290" s="224">
        <v>1180083</v>
      </c>
      <c r="P290" s="225">
        <v>0</v>
      </c>
      <c r="Q290" s="221">
        <v>0</v>
      </c>
      <c r="R290" s="225">
        <v>0</v>
      </c>
      <c r="S290" s="221">
        <v>0</v>
      </c>
      <c r="T290" s="226">
        <v>0</v>
      </c>
      <c r="U290" s="291">
        <v>0</v>
      </c>
      <c r="V290" s="282"/>
      <c r="W290" s="282"/>
      <c r="X290" s="282"/>
    </row>
    <row r="291" spans="1:35" s="46" customFormat="1" ht="30">
      <c r="A291" s="198"/>
      <c r="B291" s="214" t="s">
        <v>210</v>
      </c>
      <c r="C291" s="220">
        <v>2336158</v>
      </c>
      <c r="D291" s="220"/>
      <c r="E291" s="220"/>
      <c r="F291" s="220"/>
      <c r="G291" s="220"/>
      <c r="H291" s="220"/>
      <c r="I291" s="220"/>
      <c r="J291" s="220"/>
      <c r="K291" s="220">
        <v>0</v>
      </c>
      <c r="L291" s="222">
        <v>0</v>
      </c>
      <c r="M291" s="220">
        <v>0</v>
      </c>
      <c r="N291" s="220">
        <v>1196</v>
      </c>
      <c r="O291" s="220">
        <v>2336158</v>
      </c>
      <c r="P291" s="230">
        <v>0</v>
      </c>
      <c r="Q291" s="220">
        <v>0</v>
      </c>
      <c r="R291" s="230">
        <v>0</v>
      </c>
      <c r="S291" s="220">
        <v>0</v>
      </c>
      <c r="T291" s="222">
        <v>0</v>
      </c>
      <c r="U291" s="292">
        <v>0</v>
      </c>
      <c r="V291" s="282"/>
      <c r="W291" s="282"/>
      <c r="X291" s="282"/>
    </row>
    <row r="292" spans="1:35" s="46" customFormat="1" ht="30">
      <c r="A292" s="198">
        <v>258</v>
      </c>
      <c r="B292" s="231" t="s">
        <v>407</v>
      </c>
      <c r="C292" s="220">
        <v>1168079</v>
      </c>
      <c r="D292" s="220"/>
      <c r="E292" s="220"/>
      <c r="F292" s="220"/>
      <c r="G292" s="220"/>
      <c r="H292" s="220"/>
      <c r="I292" s="220"/>
      <c r="J292" s="220"/>
      <c r="K292" s="221">
        <v>0</v>
      </c>
      <c r="L292" s="222">
        <v>0</v>
      </c>
      <c r="M292" s="221">
        <v>0</v>
      </c>
      <c r="N292" s="229">
        <v>598</v>
      </c>
      <c r="O292" s="224">
        <v>1168079</v>
      </c>
      <c r="P292" s="230">
        <v>0</v>
      </c>
      <c r="Q292" s="221">
        <v>0</v>
      </c>
      <c r="R292" s="230">
        <v>0</v>
      </c>
      <c r="S292" s="221">
        <v>0</v>
      </c>
      <c r="T292" s="222">
        <v>0</v>
      </c>
      <c r="U292" s="291">
        <v>0</v>
      </c>
      <c r="V292" s="282"/>
      <c r="W292" s="282"/>
      <c r="X292" s="282"/>
    </row>
    <row r="293" spans="1:35" s="46" customFormat="1" ht="30">
      <c r="A293" s="198">
        <v>259</v>
      </c>
      <c r="B293" s="231" t="s">
        <v>408</v>
      </c>
      <c r="C293" s="220">
        <v>1168079</v>
      </c>
      <c r="D293" s="220"/>
      <c r="E293" s="220"/>
      <c r="F293" s="220"/>
      <c r="G293" s="220"/>
      <c r="H293" s="220"/>
      <c r="I293" s="220"/>
      <c r="J293" s="220"/>
      <c r="K293" s="221">
        <v>0</v>
      </c>
      <c r="L293" s="222">
        <v>0</v>
      </c>
      <c r="M293" s="221">
        <v>0</v>
      </c>
      <c r="N293" s="229">
        <v>598</v>
      </c>
      <c r="O293" s="224">
        <v>1168079</v>
      </c>
      <c r="P293" s="230">
        <v>0</v>
      </c>
      <c r="Q293" s="221">
        <v>0</v>
      </c>
      <c r="R293" s="230">
        <v>0</v>
      </c>
      <c r="S293" s="221">
        <v>0</v>
      </c>
      <c r="T293" s="222">
        <v>0</v>
      </c>
      <c r="U293" s="291">
        <v>0</v>
      </c>
      <c r="V293" s="282"/>
      <c r="W293" s="282"/>
      <c r="X293" s="282"/>
    </row>
    <row r="294" spans="1:35" s="18" customFormat="1">
      <c r="A294" s="198"/>
      <c r="B294" s="216" t="s">
        <v>44</v>
      </c>
      <c r="C294" s="211">
        <v>4547180</v>
      </c>
      <c r="D294" s="211"/>
      <c r="E294" s="211"/>
      <c r="F294" s="211"/>
      <c r="G294" s="211"/>
      <c r="H294" s="211"/>
      <c r="I294" s="211"/>
      <c r="J294" s="211"/>
      <c r="K294" s="211">
        <v>0</v>
      </c>
      <c r="L294" s="212">
        <v>0</v>
      </c>
      <c r="M294" s="211">
        <v>0</v>
      </c>
      <c r="N294" s="211">
        <v>2270</v>
      </c>
      <c r="O294" s="211">
        <v>4547180</v>
      </c>
      <c r="P294" s="213">
        <v>0</v>
      </c>
      <c r="Q294" s="211">
        <v>0</v>
      </c>
      <c r="R294" s="213">
        <v>0</v>
      </c>
      <c r="S294" s="211">
        <v>0</v>
      </c>
      <c r="T294" s="212">
        <v>0</v>
      </c>
      <c r="U294" s="290">
        <v>0</v>
      </c>
      <c r="V294" s="282"/>
      <c r="W294" s="282"/>
      <c r="X294" s="282"/>
    </row>
    <row r="295" spans="1:35" ht="30">
      <c r="A295" s="198"/>
      <c r="B295" s="214" t="s">
        <v>435</v>
      </c>
      <c r="C295" s="211">
        <f>C296+C297</f>
        <v>2561132</v>
      </c>
      <c r="D295" s="211">
        <f t="shared" ref="D295:V295" si="19">D296+D297</f>
        <v>0</v>
      </c>
      <c r="E295" s="211">
        <f t="shared" si="19"/>
        <v>0</v>
      </c>
      <c r="F295" s="211">
        <f t="shared" si="19"/>
        <v>0</v>
      </c>
      <c r="G295" s="211">
        <f t="shared" si="19"/>
        <v>0</v>
      </c>
      <c r="H295" s="211">
        <f t="shared" si="19"/>
        <v>0</v>
      </c>
      <c r="I295" s="211">
        <f t="shared" si="19"/>
        <v>0</v>
      </c>
      <c r="J295" s="211">
        <f t="shared" si="19"/>
        <v>0</v>
      </c>
      <c r="K295" s="211">
        <f t="shared" si="19"/>
        <v>0</v>
      </c>
      <c r="L295" s="211">
        <f t="shared" si="19"/>
        <v>0</v>
      </c>
      <c r="M295" s="211">
        <f t="shared" si="19"/>
        <v>0</v>
      </c>
      <c r="N295" s="211">
        <f t="shared" si="19"/>
        <v>823.2</v>
      </c>
      <c r="O295" s="211">
        <f t="shared" si="19"/>
        <v>2219234</v>
      </c>
      <c r="P295" s="211">
        <f t="shared" si="19"/>
        <v>0</v>
      </c>
      <c r="Q295" s="211">
        <f t="shared" si="19"/>
        <v>0</v>
      </c>
      <c r="R295" s="211">
        <f t="shared" si="19"/>
        <v>220</v>
      </c>
      <c r="S295" s="211">
        <f t="shared" si="19"/>
        <v>341898</v>
      </c>
      <c r="T295" s="211">
        <f t="shared" si="19"/>
        <v>0</v>
      </c>
      <c r="U295" s="211">
        <f t="shared" si="19"/>
        <v>0</v>
      </c>
      <c r="V295" s="211">
        <f t="shared" si="19"/>
        <v>0</v>
      </c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</row>
    <row r="296" spans="1:35">
      <c r="A296" s="430">
        <v>260</v>
      </c>
      <c r="B296" s="438" t="s">
        <v>503</v>
      </c>
      <c r="C296" s="439">
        <v>1416533</v>
      </c>
      <c r="D296" s="439">
        <v>0</v>
      </c>
      <c r="E296" s="439">
        <v>0</v>
      </c>
      <c r="F296" s="439">
        <v>0</v>
      </c>
      <c r="G296" s="439">
        <v>0</v>
      </c>
      <c r="H296" s="439">
        <v>0</v>
      </c>
      <c r="I296" s="439">
        <v>0</v>
      </c>
      <c r="J296" s="439">
        <v>0</v>
      </c>
      <c r="K296" s="439">
        <v>0</v>
      </c>
      <c r="L296" s="440">
        <v>0</v>
      </c>
      <c r="M296" s="439">
        <v>0</v>
      </c>
      <c r="N296" s="441">
        <v>573.20000000000005</v>
      </c>
      <c r="O296" s="439">
        <v>1416533</v>
      </c>
      <c r="P296" s="442">
        <v>0</v>
      </c>
      <c r="Q296" s="439">
        <v>0</v>
      </c>
      <c r="R296" s="442">
        <v>0</v>
      </c>
      <c r="S296" s="439">
        <v>0</v>
      </c>
      <c r="T296" s="440">
        <v>0</v>
      </c>
      <c r="U296" s="443">
        <v>0</v>
      </c>
      <c r="V296" s="282"/>
      <c r="W296" s="282">
        <f>O296/N296</f>
        <v>2471.2718073970691</v>
      </c>
      <c r="X296" s="282"/>
    </row>
    <row r="297" spans="1:35">
      <c r="A297" s="430">
        <v>261</v>
      </c>
      <c r="B297" s="438" t="s">
        <v>504</v>
      </c>
      <c r="C297" s="439">
        <v>1144599</v>
      </c>
      <c r="D297" s="439">
        <v>0</v>
      </c>
      <c r="E297" s="439">
        <v>0</v>
      </c>
      <c r="F297" s="439">
        <v>0</v>
      </c>
      <c r="G297" s="439">
        <v>0</v>
      </c>
      <c r="H297" s="439">
        <v>0</v>
      </c>
      <c r="I297" s="439">
        <v>0</v>
      </c>
      <c r="J297" s="439">
        <v>0</v>
      </c>
      <c r="K297" s="439">
        <v>0</v>
      </c>
      <c r="L297" s="440">
        <v>0</v>
      </c>
      <c r="M297" s="439">
        <v>0</v>
      </c>
      <c r="N297" s="441">
        <v>250</v>
      </c>
      <c r="O297" s="439">
        <v>802701</v>
      </c>
      <c r="P297" s="442">
        <v>0</v>
      </c>
      <c r="Q297" s="439">
        <v>0</v>
      </c>
      <c r="R297" s="442">
        <v>220</v>
      </c>
      <c r="S297" s="439">
        <v>341898</v>
      </c>
      <c r="T297" s="440">
        <v>0</v>
      </c>
      <c r="U297" s="443">
        <v>0</v>
      </c>
      <c r="V297" s="282"/>
      <c r="W297" s="282">
        <f>O297/N297</f>
        <v>3210.8040000000001</v>
      </c>
      <c r="X297" s="282">
        <f>S297/R297</f>
        <v>1554.0818181818181</v>
      </c>
    </row>
    <row r="298" spans="1:35" ht="18.600000000000001" customHeight="1">
      <c r="A298" s="198"/>
      <c r="B298" s="216" t="s">
        <v>45</v>
      </c>
      <c r="C298" s="211">
        <f>C299+C301+C303+C305+C307+C308+C309</f>
        <v>9578601</v>
      </c>
      <c r="D298" s="211">
        <f t="shared" ref="D298:V298" si="20">D299+D301+D303+D305+D307+D308+D309</f>
        <v>0</v>
      </c>
      <c r="E298" s="211">
        <f t="shared" si="20"/>
        <v>0</v>
      </c>
      <c r="F298" s="211">
        <f t="shared" si="20"/>
        <v>0</v>
      </c>
      <c r="G298" s="211">
        <f t="shared" si="20"/>
        <v>0</v>
      </c>
      <c r="H298" s="211">
        <f t="shared" si="20"/>
        <v>0</v>
      </c>
      <c r="I298" s="211">
        <f t="shared" si="20"/>
        <v>0</v>
      </c>
      <c r="J298" s="211">
        <f t="shared" si="20"/>
        <v>0</v>
      </c>
      <c r="K298" s="211">
        <f t="shared" si="20"/>
        <v>0</v>
      </c>
      <c r="L298" s="211">
        <f t="shared" si="20"/>
        <v>0</v>
      </c>
      <c r="M298" s="211">
        <f t="shared" si="20"/>
        <v>0</v>
      </c>
      <c r="N298" s="211">
        <f t="shared" si="20"/>
        <v>3657.1600000000003</v>
      </c>
      <c r="O298" s="211">
        <f t="shared" si="20"/>
        <v>9578601</v>
      </c>
      <c r="P298" s="211">
        <f t="shared" si="20"/>
        <v>0</v>
      </c>
      <c r="Q298" s="211">
        <f t="shared" si="20"/>
        <v>0</v>
      </c>
      <c r="R298" s="211">
        <f t="shared" si="20"/>
        <v>0</v>
      </c>
      <c r="S298" s="211">
        <f t="shared" si="20"/>
        <v>0</v>
      </c>
      <c r="T298" s="211">
        <f t="shared" si="20"/>
        <v>0</v>
      </c>
      <c r="U298" s="211">
        <f t="shared" si="20"/>
        <v>0</v>
      </c>
      <c r="V298" s="211">
        <f t="shared" si="20"/>
        <v>0</v>
      </c>
      <c r="W298" s="282"/>
      <c r="X298" s="282"/>
    </row>
    <row r="299" spans="1:35" ht="30">
      <c r="A299" s="430"/>
      <c r="B299" s="438" t="s">
        <v>98</v>
      </c>
      <c r="C299" s="439">
        <f>C300</f>
        <v>2256851</v>
      </c>
      <c r="D299" s="439">
        <f t="shared" ref="D299:U299" si="21">D300</f>
        <v>0</v>
      </c>
      <c r="E299" s="439">
        <f t="shared" si="21"/>
        <v>0</v>
      </c>
      <c r="F299" s="439">
        <f t="shared" si="21"/>
        <v>0</v>
      </c>
      <c r="G299" s="439">
        <f t="shared" si="21"/>
        <v>0</v>
      </c>
      <c r="H299" s="439">
        <f t="shared" si="21"/>
        <v>0</v>
      </c>
      <c r="I299" s="439">
        <f t="shared" si="21"/>
        <v>0</v>
      </c>
      <c r="J299" s="439">
        <f t="shared" si="21"/>
        <v>0</v>
      </c>
      <c r="K299" s="439">
        <f t="shared" si="21"/>
        <v>0</v>
      </c>
      <c r="L299" s="439">
        <f t="shared" si="21"/>
        <v>0</v>
      </c>
      <c r="M299" s="439">
        <f t="shared" si="21"/>
        <v>0</v>
      </c>
      <c r="N299" s="439">
        <f t="shared" si="21"/>
        <v>911.86</v>
      </c>
      <c r="O299" s="439">
        <f t="shared" si="21"/>
        <v>2256851</v>
      </c>
      <c r="P299" s="439">
        <f t="shared" si="21"/>
        <v>0</v>
      </c>
      <c r="Q299" s="439">
        <f t="shared" si="21"/>
        <v>0</v>
      </c>
      <c r="R299" s="439">
        <f t="shared" si="21"/>
        <v>0</v>
      </c>
      <c r="S299" s="439">
        <f t="shared" si="21"/>
        <v>0</v>
      </c>
      <c r="T299" s="439">
        <f t="shared" si="21"/>
        <v>0</v>
      </c>
      <c r="U299" s="439">
        <f t="shared" si="21"/>
        <v>0</v>
      </c>
      <c r="V299" s="282"/>
      <c r="W299" s="282">
        <f>O299/N299</f>
        <v>2474.9972583510626</v>
      </c>
      <c r="X299" s="282"/>
    </row>
    <row r="300" spans="1:35">
      <c r="A300" s="430">
        <v>262</v>
      </c>
      <c r="B300" s="438" t="s">
        <v>794</v>
      </c>
      <c r="C300" s="439">
        <f>'часть 1'!L309</f>
        <v>2256851</v>
      </c>
      <c r="D300" s="439">
        <v>0</v>
      </c>
      <c r="E300" s="439">
        <v>0</v>
      </c>
      <c r="F300" s="439">
        <v>0</v>
      </c>
      <c r="G300" s="439">
        <v>0</v>
      </c>
      <c r="H300" s="439">
        <v>0</v>
      </c>
      <c r="I300" s="439">
        <v>0</v>
      </c>
      <c r="J300" s="439">
        <v>0</v>
      </c>
      <c r="K300" s="439">
        <v>0</v>
      </c>
      <c r="L300" s="440">
        <v>0</v>
      </c>
      <c r="M300" s="439">
        <v>0</v>
      </c>
      <c r="N300" s="441">
        <v>911.86</v>
      </c>
      <c r="O300" s="439">
        <v>2256851</v>
      </c>
      <c r="P300" s="442">
        <v>0</v>
      </c>
      <c r="Q300" s="439">
        <v>0</v>
      </c>
      <c r="R300" s="442">
        <v>0</v>
      </c>
      <c r="S300" s="439">
        <v>0</v>
      </c>
      <c r="T300" s="440">
        <v>0</v>
      </c>
      <c r="U300" s="443">
        <v>0</v>
      </c>
      <c r="V300" s="282"/>
      <c r="W300" s="282">
        <f t="shared" ref="W300:W310" si="22">O300/N300</f>
        <v>2474.9972583510626</v>
      </c>
      <c r="X300" s="282"/>
    </row>
    <row r="301" spans="1:35" ht="30">
      <c r="A301" s="430"/>
      <c r="B301" s="438" t="s">
        <v>688</v>
      </c>
      <c r="C301" s="439">
        <f>C302</f>
        <v>1826091</v>
      </c>
      <c r="D301" s="439">
        <f t="shared" ref="D301:V301" si="23">D302</f>
        <v>0</v>
      </c>
      <c r="E301" s="439">
        <f t="shared" si="23"/>
        <v>0</v>
      </c>
      <c r="F301" s="439">
        <f t="shared" si="23"/>
        <v>0</v>
      </c>
      <c r="G301" s="439">
        <f t="shared" si="23"/>
        <v>0</v>
      </c>
      <c r="H301" s="439">
        <f t="shared" si="23"/>
        <v>0</v>
      </c>
      <c r="I301" s="439">
        <f t="shared" si="23"/>
        <v>0</v>
      </c>
      <c r="J301" s="439">
        <f t="shared" si="23"/>
        <v>0</v>
      </c>
      <c r="K301" s="439">
        <f t="shared" si="23"/>
        <v>0</v>
      </c>
      <c r="L301" s="439">
        <f t="shared" si="23"/>
        <v>0</v>
      </c>
      <c r="M301" s="439">
        <f t="shared" si="23"/>
        <v>0</v>
      </c>
      <c r="N301" s="439">
        <f t="shared" si="23"/>
        <v>741</v>
      </c>
      <c r="O301" s="439">
        <f t="shared" si="23"/>
        <v>1826091</v>
      </c>
      <c r="P301" s="439">
        <f t="shared" si="23"/>
        <v>0</v>
      </c>
      <c r="Q301" s="439">
        <f t="shared" si="23"/>
        <v>0</v>
      </c>
      <c r="R301" s="439">
        <f t="shared" si="23"/>
        <v>0</v>
      </c>
      <c r="S301" s="439">
        <f t="shared" si="23"/>
        <v>0</v>
      </c>
      <c r="T301" s="439">
        <f t="shared" si="23"/>
        <v>0</v>
      </c>
      <c r="U301" s="439">
        <f t="shared" si="23"/>
        <v>0</v>
      </c>
      <c r="V301" s="439">
        <f t="shared" si="23"/>
        <v>0</v>
      </c>
      <c r="W301" s="282">
        <f t="shared" si="22"/>
        <v>2464.3603238866399</v>
      </c>
      <c r="X301" s="282"/>
    </row>
    <row r="302" spans="1:35" ht="30">
      <c r="A302" s="430"/>
      <c r="B302" s="438" t="s">
        <v>689</v>
      </c>
      <c r="C302" s="439">
        <f>'часть 1'!L311</f>
        <v>1826091</v>
      </c>
      <c r="D302" s="439">
        <v>0</v>
      </c>
      <c r="E302" s="439">
        <v>0</v>
      </c>
      <c r="F302" s="439">
        <v>0</v>
      </c>
      <c r="G302" s="439">
        <v>0</v>
      </c>
      <c r="H302" s="439">
        <v>0</v>
      </c>
      <c r="I302" s="439">
        <v>0</v>
      </c>
      <c r="J302" s="439">
        <v>0</v>
      </c>
      <c r="K302" s="439">
        <v>0</v>
      </c>
      <c r="L302" s="440">
        <v>0</v>
      </c>
      <c r="M302" s="439">
        <v>0</v>
      </c>
      <c r="N302" s="441">
        <v>741</v>
      </c>
      <c r="O302" s="439">
        <v>1826091</v>
      </c>
      <c r="P302" s="442">
        <v>0</v>
      </c>
      <c r="Q302" s="439">
        <v>0</v>
      </c>
      <c r="R302" s="442">
        <v>0</v>
      </c>
      <c r="S302" s="439">
        <v>0</v>
      </c>
      <c r="T302" s="440">
        <v>0</v>
      </c>
      <c r="U302" s="443">
        <v>0</v>
      </c>
      <c r="V302" s="282"/>
      <c r="W302" s="282">
        <f t="shared" si="22"/>
        <v>2464.3603238866399</v>
      </c>
      <c r="X302" s="282"/>
    </row>
    <row r="303" spans="1:35" ht="30">
      <c r="A303" s="430"/>
      <c r="B303" s="438" t="s">
        <v>99</v>
      </c>
      <c r="C303" s="439">
        <f>C304</f>
        <v>1602324</v>
      </c>
      <c r="D303" s="439">
        <f t="shared" ref="D303:V303" si="24">D304</f>
        <v>0</v>
      </c>
      <c r="E303" s="439">
        <f t="shared" si="24"/>
        <v>0</v>
      </c>
      <c r="F303" s="439">
        <f t="shared" si="24"/>
        <v>0</v>
      </c>
      <c r="G303" s="439">
        <f t="shared" si="24"/>
        <v>0</v>
      </c>
      <c r="H303" s="439">
        <f t="shared" si="24"/>
        <v>0</v>
      </c>
      <c r="I303" s="439">
        <f t="shared" si="24"/>
        <v>0</v>
      </c>
      <c r="J303" s="439">
        <f t="shared" si="24"/>
        <v>0</v>
      </c>
      <c r="K303" s="439">
        <f t="shared" si="24"/>
        <v>0</v>
      </c>
      <c r="L303" s="439">
        <f t="shared" si="24"/>
        <v>0</v>
      </c>
      <c r="M303" s="439">
        <f t="shared" si="24"/>
        <v>0</v>
      </c>
      <c r="N303" s="439">
        <f t="shared" si="24"/>
        <v>506.8</v>
      </c>
      <c r="O303" s="439">
        <f t="shared" si="24"/>
        <v>1602324</v>
      </c>
      <c r="P303" s="439">
        <f t="shared" si="24"/>
        <v>0</v>
      </c>
      <c r="Q303" s="439">
        <f t="shared" si="24"/>
        <v>0</v>
      </c>
      <c r="R303" s="439">
        <f t="shared" si="24"/>
        <v>0</v>
      </c>
      <c r="S303" s="439">
        <f t="shared" si="24"/>
        <v>0</v>
      </c>
      <c r="T303" s="439">
        <f t="shared" si="24"/>
        <v>0</v>
      </c>
      <c r="U303" s="439">
        <f t="shared" si="24"/>
        <v>0</v>
      </c>
      <c r="V303" s="211">
        <f t="shared" si="24"/>
        <v>0</v>
      </c>
      <c r="W303" s="282">
        <f t="shared" si="22"/>
        <v>3161.6495659037096</v>
      </c>
      <c r="X303" s="282"/>
    </row>
    <row r="304" spans="1:35" ht="30">
      <c r="A304" s="430">
        <v>265</v>
      </c>
      <c r="B304" s="438" t="s">
        <v>806</v>
      </c>
      <c r="C304" s="439">
        <f>'часть 1'!L313</f>
        <v>1602324</v>
      </c>
      <c r="D304" s="439">
        <v>0</v>
      </c>
      <c r="E304" s="439">
        <v>0</v>
      </c>
      <c r="F304" s="439">
        <v>0</v>
      </c>
      <c r="G304" s="439">
        <v>0</v>
      </c>
      <c r="H304" s="439">
        <v>0</v>
      </c>
      <c r="I304" s="439">
        <v>0</v>
      </c>
      <c r="J304" s="439">
        <v>0</v>
      </c>
      <c r="K304" s="439">
        <v>0</v>
      </c>
      <c r="L304" s="440">
        <v>0</v>
      </c>
      <c r="M304" s="439">
        <v>0</v>
      </c>
      <c r="N304" s="556">
        <v>506.8</v>
      </c>
      <c r="O304" s="439">
        <v>1602324</v>
      </c>
      <c r="P304" s="442">
        <v>0</v>
      </c>
      <c r="Q304" s="439">
        <v>0</v>
      </c>
      <c r="R304" s="442">
        <v>0</v>
      </c>
      <c r="S304" s="439">
        <v>0</v>
      </c>
      <c r="T304" s="440">
        <v>0</v>
      </c>
      <c r="U304" s="443">
        <v>0</v>
      </c>
      <c r="V304" s="282"/>
      <c r="W304" s="282">
        <f t="shared" si="22"/>
        <v>3161.6495659037096</v>
      </c>
      <c r="X304" s="282"/>
    </row>
    <row r="305" spans="1:24" ht="30">
      <c r="A305" s="430"/>
      <c r="B305" s="438" t="s">
        <v>100</v>
      </c>
      <c r="C305" s="439">
        <f>C306</f>
        <v>1986648</v>
      </c>
      <c r="D305" s="439">
        <f t="shared" ref="D305:V305" si="25">D306</f>
        <v>0</v>
      </c>
      <c r="E305" s="439">
        <f t="shared" si="25"/>
        <v>0</v>
      </c>
      <c r="F305" s="439">
        <f t="shared" si="25"/>
        <v>0</v>
      </c>
      <c r="G305" s="439">
        <f t="shared" si="25"/>
        <v>0</v>
      </c>
      <c r="H305" s="439">
        <f t="shared" si="25"/>
        <v>0</v>
      </c>
      <c r="I305" s="439">
        <f t="shared" si="25"/>
        <v>0</v>
      </c>
      <c r="J305" s="439">
        <f t="shared" si="25"/>
        <v>0</v>
      </c>
      <c r="K305" s="439">
        <f t="shared" si="25"/>
        <v>0</v>
      </c>
      <c r="L305" s="439">
        <f t="shared" si="25"/>
        <v>0</v>
      </c>
      <c r="M305" s="439">
        <f t="shared" si="25"/>
        <v>0</v>
      </c>
      <c r="N305" s="439">
        <f t="shared" si="25"/>
        <v>801</v>
      </c>
      <c r="O305" s="439">
        <f t="shared" si="25"/>
        <v>1986648</v>
      </c>
      <c r="P305" s="439">
        <f t="shared" si="25"/>
        <v>0</v>
      </c>
      <c r="Q305" s="439">
        <f t="shared" si="25"/>
        <v>0</v>
      </c>
      <c r="R305" s="439">
        <f t="shared" si="25"/>
        <v>0</v>
      </c>
      <c r="S305" s="439">
        <f t="shared" si="25"/>
        <v>0</v>
      </c>
      <c r="T305" s="439">
        <f t="shared" si="25"/>
        <v>0</v>
      </c>
      <c r="U305" s="439">
        <f t="shared" si="25"/>
        <v>0</v>
      </c>
      <c r="V305" s="439">
        <f t="shared" si="25"/>
        <v>0</v>
      </c>
      <c r="W305" s="282">
        <f t="shared" si="22"/>
        <v>2480.2097378277153</v>
      </c>
      <c r="X305" s="282"/>
    </row>
    <row r="306" spans="1:24" ht="30">
      <c r="A306" s="430">
        <v>267</v>
      </c>
      <c r="B306" s="438" t="s">
        <v>695</v>
      </c>
      <c r="C306" s="439">
        <v>1986648</v>
      </c>
      <c r="D306" s="439">
        <v>0</v>
      </c>
      <c r="E306" s="439">
        <v>0</v>
      </c>
      <c r="F306" s="439">
        <v>0</v>
      </c>
      <c r="G306" s="439">
        <v>0</v>
      </c>
      <c r="H306" s="439">
        <v>0</v>
      </c>
      <c r="I306" s="439">
        <v>0</v>
      </c>
      <c r="J306" s="439">
        <v>0</v>
      </c>
      <c r="K306" s="439">
        <v>0</v>
      </c>
      <c r="L306" s="440">
        <v>0</v>
      </c>
      <c r="M306" s="439">
        <v>0</v>
      </c>
      <c r="N306" s="441">
        <v>801</v>
      </c>
      <c r="O306" s="439">
        <v>1986648</v>
      </c>
      <c r="P306" s="442">
        <v>0</v>
      </c>
      <c r="Q306" s="439">
        <v>0</v>
      </c>
      <c r="R306" s="442">
        <v>0</v>
      </c>
      <c r="S306" s="439">
        <v>0</v>
      </c>
      <c r="T306" s="440">
        <v>0</v>
      </c>
      <c r="U306" s="443">
        <v>0</v>
      </c>
      <c r="V306" s="282"/>
      <c r="W306" s="282">
        <f t="shared" si="22"/>
        <v>2480.2097378277153</v>
      </c>
      <c r="X306" s="282"/>
    </row>
    <row r="307" spans="1:24" ht="30">
      <c r="A307" s="430"/>
      <c r="B307" s="438" t="s">
        <v>101</v>
      </c>
      <c r="C307" s="439">
        <v>0</v>
      </c>
      <c r="D307" s="439">
        <v>0</v>
      </c>
      <c r="E307" s="439">
        <v>0</v>
      </c>
      <c r="F307" s="439">
        <v>0</v>
      </c>
      <c r="G307" s="439">
        <v>0</v>
      </c>
      <c r="H307" s="439">
        <v>0</v>
      </c>
      <c r="I307" s="439">
        <v>0</v>
      </c>
      <c r="J307" s="439">
        <v>0</v>
      </c>
      <c r="K307" s="439">
        <v>0</v>
      </c>
      <c r="L307" s="440">
        <v>0</v>
      </c>
      <c r="M307" s="439">
        <v>0</v>
      </c>
      <c r="N307" s="439">
        <v>0</v>
      </c>
      <c r="O307" s="439">
        <v>0</v>
      </c>
      <c r="P307" s="442">
        <v>0</v>
      </c>
      <c r="Q307" s="439">
        <v>0</v>
      </c>
      <c r="R307" s="442">
        <v>0</v>
      </c>
      <c r="S307" s="439">
        <v>0</v>
      </c>
      <c r="T307" s="440">
        <v>0</v>
      </c>
      <c r="U307" s="443">
        <v>0</v>
      </c>
      <c r="V307" s="282"/>
      <c r="W307" s="282"/>
      <c r="X307" s="282"/>
    </row>
    <row r="308" spans="1:24" ht="30">
      <c r="A308" s="430"/>
      <c r="B308" s="438" t="s">
        <v>126</v>
      </c>
      <c r="C308" s="439">
        <v>0</v>
      </c>
      <c r="D308" s="439">
        <v>0</v>
      </c>
      <c r="E308" s="439">
        <v>0</v>
      </c>
      <c r="F308" s="439">
        <v>0</v>
      </c>
      <c r="G308" s="439">
        <v>0</v>
      </c>
      <c r="H308" s="439">
        <v>0</v>
      </c>
      <c r="I308" s="439">
        <v>0</v>
      </c>
      <c r="J308" s="439">
        <v>0</v>
      </c>
      <c r="K308" s="439">
        <v>0</v>
      </c>
      <c r="L308" s="439">
        <v>0</v>
      </c>
      <c r="M308" s="439">
        <v>0</v>
      </c>
      <c r="N308" s="439">
        <v>0</v>
      </c>
      <c r="O308" s="439">
        <v>0</v>
      </c>
      <c r="P308" s="439">
        <v>0</v>
      </c>
      <c r="Q308" s="439">
        <v>0</v>
      </c>
      <c r="R308" s="439">
        <v>0</v>
      </c>
      <c r="S308" s="439">
        <v>0</v>
      </c>
      <c r="T308" s="439">
        <v>0</v>
      </c>
      <c r="U308" s="439">
        <v>0</v>
      </c>
      <c r="V308" s="282"/>
      <c r="W308" s="282"/>
      <c r="X308" s="282"/>
    </row>
    <row r="309" spans="1:24" ht="37.15" customHeight="1">
      <c r="A309" s="430"/>
      <c r="B309" s="438" t="s">
        <v>861</v>
      </c>
      <c r="C309" s="439">
        <f>C310</f>
        <v>1906687</v>
      </c>
      <c r="D309" s="439">
        <f t="shared" ref="D309:U309" si="26">D310</f>
        <v>0</v>
      </c>
      <c r="E309" s="439">
        <f t="shared" si="26"/>
        <v>0</v>
      </c>
      <c r="F309" s="439">
        <f t="shared" si="26"/>
        <v>0</v>
      </c>
      <c r="G309" s="439">
        <f t="shared" si="26"/>
        <v>0</v>
      </c>
      <c r="H309" s="439">
        <f t="shared" si="26"/>
        <v>0</v>
      </c>
      <c r="I309" s="439">
        <f t="shared" si="26"/>
        <v>0</v>
      </c>
      <c r="J309" s="439">
        <f t="shared" si="26"/>
        <v>0</v>
      </c>
      <c r="K309" s="439">
        <f t="shared" si="26"/>
        <v>0</v>
      </c>
      <c r="L309" s="439">
        <f t="shared" si="26"/>
        <v>0</v>
      </c>
      <c r="M309" s="439">
        <f t="shared" si="26"/>
        <v>0</v>
      </c>
      <c r="N309" s="439">
        <f t="shared" si="26"/>
        <v>696.5</v>
      </c>
      <c r="O309" s="439">
        <f t="shared" si="26"/>
        <v>1906687</v>
      </c>
      <c r="P309" s="439">
        <f t="shared" si="26"/>
        <v>0</v>
      </c>
      <c r="Q309" s="439">
        <f t="shared" si="26"/>
        <v>0</v>
      </c>
      <c r="R309" s="439">
        <f t="shared" si="26"/>
        <v>0</v>
      </c>
      <c r="S309" s="439">
        <f t="shared" si="26"/>
        <v>0</v>
      </c>
      <c r="T309" s="439">
        <f t="shared" si="26"/>
        <v>0</v>
      </c>
      <c r="U309" s="439">
        <f t="shared" si="26"/>
        <v>0</v>
      </c>
      <c r="V309" s="282"/>
      <c r="W309" s="282">
        <f t="shared" si="22"/>
        <v>2737.5262024407753</v>
      </c>
      <c r="X309" s="282"/>
    </row>
    <row r="310" spans="1:24" ht="25.9" customHeight="1">
      <c r="A310" s="430"/>
      <c r="B310" s="438" t="s">
        <v>862</v>
      </c>
      <c r="C310" s="439">
        <f>'часть 1'!L319</f>
        <v>1906687</v>
      </c>
      <c r="D310" s="439">
        <v>0</v>
      </c>
      <c r="E310" s="439">
        <v>0</v>
      </c>
      <c r="F310" s="439">
        <v>0</v>
      </c>
      <c r="G310" s="439">
        <v>0</v>
      </c>
      <c r="H310" s="439">
        <v>0</v>
      </c>
      <c r="I310" s="439">
        <v>0</v>
      </c>
      <c r="J310" s="439">
        <v>0</v>
      </c>
      <c r="K310" s="439">
        <v>0</v>
      </c>
      <c r="L310" s="440">
        <v>0</v>
      </c>
      <c r="M310" s="439">
        <v>0</v>
      </c>
      <c r="N310" s="439">
        <v>696.5</v>
      </c>
      <c r="O310" s="439">
        <v>1906687</v>
      </c>
      <c r="P310" s="442">
        <v>0</v>
      </c>
      <c r="Q310" s="439">
        <v>0</v>
      </c>
      <c r="R310" s="442">
        <v>0</v>
      </c>
      <c r="S310" s="439">
        <v>0</v>
      </c>
      <c r="T310" s="440">
        <v>0</v>
      </c>
      <c r="U310" s="443">
        <v>0</v>
      </c>
      <c r="V310" s="282"/>
      <c r="W310" s="282">
        <f t="shared" si="22"/>
        <v>2737.5262024407753</v>
      </c>
      <c r="X310" s="282"/>
    </row>
    <row r="311" spans="1:24">
      <c r="A311" s="198"/>
      <c r="B311" s="216" t="s">
        <v>46</v>
      </c>
      <c r="C311" s="211">
        <f>C312</f>
        <v>1415265</v>
      </c>
      <c r="D311" s="211">
        <f t="shared" ref="D311:U311" si="27">D312</f>
        <v>0</v>
      </c>
      <c r="E311" s="211">
        <f t="shared" si="27"/>
        <v>0</v>
      </c>
      <c r="F311" s="211">
        <f t="shared" si="27"/>
        <v>0</v>
      </c>
      <c r="G311" s="211">
        <f t="shared" si="27"/>
        <v>0</v>
      </c>
      <c r="H311" s="211">
        <f t="shared" si="27"/>
        <v>0</v>
      </c>
      <c r="I311" s="211">
        <f t="shared" si="27"/>
        <v>0</v>
      </c>
      <c r="J311" s="211">
        <f t="shared" si="27"/>
        <v>0</v>
      </c>
      <c r="K311" s="211">
        <f t="shared" si="27"/>
        <v>0</v>
      </c>
      <c r="L311" s="211">
        <f t="shared" si="27"/>
        <v>0</v>
      </c>
      <c r="M311" s="211">
        <f t="shared" si="27"/>
        <v>0</v>
      </c>
      <c r="N311" s="211">
        <f t="shared" si="27"/>
        <v>457</v>
      </c>
      <c r="O311" s="211">
        <f t="shared" si="27"/>
        <v>1415265</v>
      </c>
      <c r="P311" s="211">
        <f t="shared" si="27"/>
        <v>0</v>
      </c>
      <c r="Q311" s="211">
        <f t="shared" si="27"/>
        <v>0</v>
      </c>
      <c r="R311" s="211">
        <f t="shared" si="27"/>
        <v>0</v>
      </c>
      <c r="S311" s="211">
        <f t="shared" si="27"/>
        <v>0</v>
      </c>
      <c r="T311" s="211">
        <f t="shared" si="27"/>
        <v>0</v>
      </c>
      <c r="U311" s="211">
        <f t="shared" si="27"/>
        <v>0</v>
      </c>
      <c r="V311" s="282"/>
      <c r="W311" s="282"/>
      <c r="X311" s="282"/>
    </row>
    <row r="312" spans="1:24" ht="30">
      <c r="A312" s="194"/>
      <c r="B312" s="214" t="s">
        <v>102</v>
      </c>
      <c r="C312" s="211">
        <f>C313</f>
        <v>1415265</v>
      </c>
      <c r="D312" s="211">
        <f t="shared" ref="D312:U312" si="28">D313</f>
        <v>0</v>
      </c>
      <c r="E312" s="211">
        <f t="shared" si="28"/>
        <v>0</v>
      </c>
      <c r="F312" s="211">
        <f t="shared" si="28"/>
        <v>0</v>
      </c>
      <c r="G312" s="211">
        <f t="shared" si="28"/>
        <v>0</v>
      </c>
      <c r="H312" s="211">
        <f t="shared" si="28"/>
        <v>0</v>
      </c>
      <c r="I312" s="211">
        <f t="shared" si="28"/>
        <v>0</v>
      </c>
      <c r="J312" s="211">
        <f t="shared" si="28"/>
        <v>0</v>
      </c>
      <c r="K312" s="211">
        <f t="shared" si="28"/>
        <v>0</v>
      </c>
      <c r="L312" s="211">
        <f t="shared" si="28"/>
        <v>0</v>
      </c>
      <c r="M312" s="211">
        <f t="shared" si="28"/>
        <v>0</v>
      </c>
      <c r="N312" s="211">
        <f t="shared" si="28"/>
        <v>457</v>
      </c>
      <c r="O312" s="211">
        <f t="shared" si="28"/>
        <v>1415265</v>
      </c>
      <c r="P312" s="211">
        <f t="shared" si="28"/>
        <v>0</v>
      </c>
      <c r="Q312" s="211">
        <f t="shared" si="28"/>
        <v>0</v>
      </c>
      <c r="R312" s="211">
        <f t="shared" si="28"/>
        <v>0</v>
      </c>
      <c r="S312" s="211">
        <f t="shared" si="28"/>
        <v>0</v>
      </c>
      <c r="T312" s="211">
        <f t="shared" si="28"/>
        <v>0</v>
      </c>
      <c r="U312" s="211">
        <f t="shared" si="28"/>
        <v>0</v>
      </c>
      <c r="V312" s="282"/>
      <c r="W312" s="282"/>
      <c r="X312" s="282"/>
    </row>
    <row r="313" spans="1:24">
      <c r="A313" s="430">
        <v>271</v>
      </c>
      <c r="B313" s="438" t="s">
        <v>485</v>
      </c>
      <c r="C313" s="439">
        <v>1415265</v>
      </c>
      <c r="D313" s="439">
        <v>0</v>
      </c>
      <c r="E313" s="439">
        <v>0</v>
      </c>
      <c r="F313" s="439">
        <v>0</v>
      </c>
      <c r="G313" s="439">
        <v>0</v>
      </c>
      <c r="H313" s="439">
        <v>0</v>
      </c>
      <c r="I313" s="439">
        <v>0</v>
      </c>
      <c r="J313" s="439">
        <v>0</v>
      </c>
      <c r="K313" s="439">
        <v>0</v>
      </c>
      <c r="L313" s="440">
        <v>0</v>
      </c>
      <c r="M313" s="439">
        <v>0</v>
      </c>
      <c r="N313" s="432">
        <v>457</v>
      </c>
      <c r="O313" s="439">
        <v>1415265</v>
      </c>
      <c r="P313" s="442">
        <v>0</v>
      </c>
      <c r="Q313" s="439">
        <v>0</v>
      </c>
      <c r="R313" s="442">
        <v>0</v>
      </c>
      <c r="S313" s="439">
        <v>0</v>
      </c>
      <c r="T313" s="440">
        <v>0</v>
      </c>
      <c r="U313" s="443">
        <v>0</v>
      </c>
      <c r="V313" s="282"/>
      <c r="W313" s="282">
        <f>O313/N313</f>
        <v>3096.8599562363238</v>
      </c>
      <c r="X313" s="282"/>
    </row>
    <row r="314" spans="1:24">
      <c r="A314" s="430"/>
      <c r="B314" s="438"/>
      <c r="C314" s="439"/>
      <c r="D314" s="439"/>
      <c r="E314" s="439"/>
      <c r="F314" s="439"/>
      <c r="G314" s="439"/>
      <c r="H314" s="439"/>
      <c r="I314" s="439"/>
      <c r="J314" s="439"/>
      <c r="K314" s="439"/>
      <c r="L314" s="440"/>
      <c r="M314" s="439"/>
      <c r="N314" s="439"/>
      <c r="O314" s="439"/>
      <c r="P314" s="442"/>
      <c r="Q314" s="439"/>
      <c r="R314" s="442"/>
      <c r="S314" s="439"/>
      <c r="T314" s="440"/>
      <c r="U314" s="443"/>
      <c r="V314" s="282"/>
      <c r="W314" s="282"/>
      <c r="X314" s="282"/>
    </row>
    <row r="315" spans="1:24" s="18" customFormat="1" ht="28.15" customHeight="1">
      <c r="A315" s="198"/>
      <c r="B315" s="216" t="s">
        <v>47</v>
      </c>
      <c r="C315" s="211">
        <f>C316</f>
        <v>6592116</v>
      </c>
      <c r="D315" s="211">
        <f t="shared" ref="D315:U315" si="29">D316</f>
        <v>0</v>
      </c>
      <c r="E315" s="211">
        <f t="shared" si="29"/>
        <v>0</v>
      </c>
      <c r="F315" s="211">
        <f t="shared" si="29"/>
        <v>0</v>
      </c>
      <c r="G315" s="211">
        <f t="shared" si="29"/>
        <v>0</v>
      </c>
      <c r="H315" s="211">
        <f t="shared" si="29"/>
        <v>0</v>
      </c>
      <c r="I315" s="211">
        <f t="shared" si="29"/>
        <v>0</v>
      </c>
      <c r="J315" s="211">
        <f t="shared" si="29"/>
        <v>0</v>
      </c>
      <c r="K315" s="211">
        <f t="shared" si="29"/>
        <v>0</v>
      </c>
      <c r="L315" s="211">
        <f t="shared" si="29"/>
        <v>0</v>
      </c>
      <c r="M315" s="211">
        <f t="shared" si="29"/>
        <v>0</v>
      </c>
      <c r="N315" s="211">
        <f t="shared" si="29"/>
        <v>2228.25</v>
      </c>
      <c r="O315" s="211">
        <f t="shared" si="29"/>
        <v>6592116</v>
      </c>
      <c r="P315" s="211">
        <f t="shared" si="29"/>
        <v>0</v>
      </c>
      <c r="Q315" s="211">
        <f t="shared" si="29"/>
        <v>0</v>
      </c>
      <c r="R315" s="211">
        <f t="shared" si="29"/>
        <v>0</v>
      </c>
      <c r="S315" s="211">
        <f t="shared" si="29"/>
        <v>0</v>
      </c>
      <c r="T315" s="211">
        <f t="shared" si="29"/>
        <v>0</v>
      </c>
      <c r="U315" s="211">
        <f t="shared" si="29"/>
        <v>0</v>
      </c>
      <c r="V315" s="282"/>
      <c r="W315" s="282"/>
      <c r="X315" s="282"/>
    </row>
    <row r="316" spans="1:24" ht="30">
      <c r="A316" s="430"/>
      <c r="B316" s="438" t="s">
        <v>103</v>
      </c>
      <c r="C316" s="439">
        <f>C317+C318+C319+C320+C321</f>
        <v>6592116</v>
      </c>
      <c r="D316" s="439">
        <f t="shared" ref="D316:U316" si="30">D317+D318+D319+D320+D321</f>
        <v>0</v>
      </c>
      <c r="E316" s="439">
        <f t="shared" si="30"/>
        <v>0</v>
      </c>
      <c r="F316" s="439">
        <f t="shared" si="30"/>
        <v>0</v>
      </c>
      <c r="G316" s="439">
        <f t="shared" si="30"/>
        <v>0</v>
      </c>
      <c r="H316" s="439">
        <f t="shared" si="30"/>
        <v>0</v>
      </c>
      <c r="I316" s="439">
        <f t="shared" si="30"/>
        <v>0</v>
      </c>
      <c r="J316" s="439">
        <f t="shared" si="30"/>
        <v>0</v>
      </c>
      <c r="K316" s="439">
        <f t="shared" si="30"/>
        <v>0</v>
      </c>
      <c r="L316" s="439">
        <f t="shared" si="30"/>
        <v>0</v>
      </c>
      <c r="M316" s="439">
        <f t="shared" si="30"/>
        <v>0</v>
      </c>
      <c r="N316" s="439">
        <f t="shared" si="30"/>
        <v>2228.25</v>
      </c>
      <c r="O316" s="439">
        <f t="shared" si="30"/>
        <v>6592116</v>
      </c>
      <c r="P316" s="439">
        <f t="shared" si="30"/>
        <v>0</v>
      </c>
      <c r="Q316" s="439">
        <f t="shared" si="30"/>
        <v>0</v>
      </c>
      <c r="R316" s="439">
        <f t="shared" si="30"/>
        <v>0</v>
      </c>
      <c r="S316" s="439">
        <f t="shared" si="30"/>
        <v>0</v>
      </c>
      <c r="T316" s="439">
        <f t="shared" si="30"/>
        <v>0</v>
      </c>
      <c r="U316" s="439">
        <f t="shared" si="30"/>
        <v>0</v>
      </c>
      <c r="V316" s="282"/>
      <c r="W316" s="282"/>
      <c r="X316" s="282"/>
    </row>
    <row r="317" spans="1:24" ht="15.75">
      <c r="A317" s="430">
        <v>273</v>
      </c>
      <c r="B317" s="936" t="s">
        <v>723</v>
      </c>
      <c r="C317" s="439">
        <f>'часть 1'!L326</f>
        <v>1682684</v>
      </c>
      <c r="D317" s="439">
        <v>0</v>
      </c>
      <c r="E317" s="439">
        <v>0</v>
      </c>
      <c r="F317" s="439">
        <v>0</v>
      </c>
      <c r="G317" s="439">
        <v>0</v>
      </c>
      <c r="H317" s="439">
        <v>0</v>
      </c>
      <c r="I317" s="439">
        <v>0</v>
      </c>
      <c r="J317" s="439">
        <v>0</v>
      </c>
      <c r="K317" s="439">
        <v>0</v>
      </c>
      <c r="L317" s="440">
        <v>0</v>
      </c>
      <c r="M317" s="439">
        <v>0</v>
      </c>
      <c r="N317" s="439">
        <v>680</v>
      </c>
      <c r="O317" s="439">
        <v>1682684</v>
      </c>
      <c r="P317" s="442">
        <v>0</v>
      </c>
      <c r="Q317" s="439">
        <v>0</v>
      </c>
      <c r="R317" s="442">
        <v>0</v>
      </c>
      <c r="S317" s="439">
        <v>0</v>
      </c>
      <c r="T317" s="440">
        <v>0</v>
      </c>
      <c r="U317" s="443">
        <v>0</v>
      </c>
      <c r="V317" s="282"/>
      <c r="W317" s="282">
        <f>O317/N317</f>
        <v>2474.535294117647</v>
      </c>
      <c r="X317" s="282"/>
    </row>
    <row r="318" spans="1:24" ht="15.75">
      <c r="A318" s="430">
        <v>274</v>
      </c>
      <c r="B318" s="936" t="s">
        <v>870</v>
      </c>
      <c r="C318" s="439">
        <f>'часть 1'!L327</f>
        <v>1227835</v>
      </c>
      <c r="D318" s="439">
        <v>0</v>
      </c>
      <c r="E318" s="439">
        <v>0</v>
      </c>
      <c r="F318" s="439">
        <v>0</v>
      </c>
      <c r="G318" s="439">
        <v>0</v>
      </c>
      <c r="H318" s="439">
        <v>0</v>
      </c>
      <c r="I318" s="439">
        <v>0</v>
      </c>
      <c r="J318" s="439">
        <v>0</v>
      </c>
      <c r="K318" s="439">
        <v>0</v>
      </c>
      <c r="L318" s="440">
        <v>0</v>
      </c>
      <c r="M318" s="439">
        <v>0</v>
      </c>
      <c r="N318" s="439">
        <v>387.2</v>
      </c>
      <c r="O318" s="439">
        <v>1227835</v>
      </c>
      <c r="P318" s="442">
        <v>0</v>
      </c>
      <c r="Q318" s="439">
        <v>0</v>
      </c>
      <c r="R318" s="442">
        <v>0</v>
      </c>
      <c r="S318" s="439">
        <v>0</v>
      </c>
      <c r="T318" s="440">
        <v>0</v>
      </c>
      <c r="U318" s="443">
        <v>0</v>
      </c>
      <c r="V318" s="282"/>
      <c r="W318" s="282">
        <f t="shared" ref="W318:W321" si="31">O318/N318</f>
        <v>3171.0614669421489</v>
      </c>
      <c r="X318" s="282"/>
    </row>
    <row r="319" spans="1:24" ht="15.75">
      <c r="A319" s="430">
        <v>275</v>
      </c>
      <c r="B319" s="936" t="s">
        <v>871</v>
      </c>
      <c r="C319" s="439">
        <f>'часть 1'!L328</f>
        <v>1562951</v>
      </c>
      <c r="D319" s="439">
        <v>0</v>
      </c>
      <c r="E319" s="439">
        <v>0</v>
      </c>
      <c r="F319" s="439">
        <v>0</v>
      </c>
      <c r="G319" s="439">
        <v>0</v>
      </c>
      <c r="H319" s="439">
        <v>0</v>
      </c>
      <c r="I319" s="439">
        <v>0</v>
      </c>
      <c r="J319" s="439">
        <v>0</v>
      </c>
      <c r="K319" s="439">
        <v>0</v>
      </c>
      <c r="L319" s="440">
        <v>0</v>
      </c>
      <c r="M319" s="439">
        <v>0</v>
      </c>
      <c r="N319" s="439">
        <v>495.05</v>
      </c>
      <c r="O319" s="439">
        <v>1562951</v>
      </c>
      <c r="P319" s="442">
        <v>0</v>
      </c>
      <c r="Q319" s="439">
        <v>0</v>
      </c>
      <c r="R319" s="442">
        <v>0</v>
      </c>
      <c r="S319" s="439">
        <v>0</v>
      </c>
      <c r="T319" s="440">
        <v>0</v>
      </c>
      <c r="U319" s="443">
        <v>0</v>
      </c>
      <c r="V319" s="282"/>
      <c r="W319" s="282">
        <f t="shared" si="31"/>
        <v>3157.1578628421371</v>
      </c>
      <c r="X319" s="282"/>
    </row>
    <row r="320" spans="1:24" ht="15.75">
      <c r="A320" s="430">
        <v>276</v>
      </c>
      <c r="B320" s="936" t="s">
        <v>872</v>
      </c>
      <c r="C320" s="439">
        <f>'часть 1'!L329</f>
        <v>974952</v>
      </c>
      <c r="D320" s="439">
        <v>0</v>
      </c>
      <c r="E320" s="439">
        <v>0</v>
      </c>
      <c r="F320" s="439">
        <v>0</v>
      </c>
      <c r="G320" s="439">
        <v>0</v>
      </c>
      <c r="H320" s="439">
        <v>0</v>
      </c>
      <c r="I320" s="439">
        <v>0</v>
      </c>
      <c r="J320" s="439">
        <v>0</v>
      </c>
      <c r="K320" s="439">
        <v>0</v>
      </c>
      <c r="L320" s="440">
        <v>0</v>
      </c>
      <c r="M320" s="439">
        <v>0</v>
      </c>
      <c r="N320" s="439">
        <v>306</v>
      </c>
      <c r="O320" s="439">
        <v>974952</v>
      </c>
      <c r="P320" s="442">
        <v>0</v>
      </c>
      <c r="Q320" s="439">
        <v>0</v>
      </c>
      <c r="R320" s="442">
        <v>0</v>
      </c>
      <c r="S320" s="439">
        <v>0</v>
      </c>
      <c r="T320" s="440">
        <v>0</v>
      </c>
      <c r="U320" s="443">
        <v>0</v>
      </c>
      <c r="V320" s="282"/>
      <c r="W320" s="282">
        <f t="shared" si="31"/>
        <v>3186.1176470588234</v>
      </c>
      <c r="X320" s="282"/>
    </row>
    <row r="321" spans="1:26" ht="15.75">
      <c r="A321" s="430">
        <v>276</v>
      </c>
      <c r="B321" s="936" t="s">
        <v>873</v>
      </c>
      <c r="C321" s="439">
        <f>'часть 1'!L330</f>
        <v>1143694</v>
      </c>
      <c r="D321" s="439">
        <v>0</v>
      </c>
      <c r="E321" s="439">
        <v>0</v>
      </c>
      <c r="F321" s="439">
        <v>0</v>
      </c>
      <c r="G321" s="439">
        <v>0</v>
      </c>
      <c r="H321" s="439">
        <v>0</v>
      </c>
      <c r="I321" s="439">
        <v>0</v>
      </c>
      <c r="J321" s="439">
        <v>0</v>
      </c>
      <c r="K321" s="439">
        <v>0</v>
      </c>
      <c r="L321" s="440">
        <v>0</v>
      </c>
      <c r="M321" s="439">
        <v>0</v>
      </c>
      <c r="N321" s="439">
        <v>360</v>
      </c>
      <c r="O321" s="439">
        <v>1143694</v>
      </c>
      <c r="P321" s="442">
        <v>0</v>
      </c>
      <c r="Q321" s="439">
        <v>0</v>
      </c>
      <c r="R321" s="442">
        <v>0</v>
      </c>
      <c r="S321" s="439">
        <v>0</v>
      </c>
      <c r="T321" s="440">
        <v>0</v>
      </c>
      <c r="U321" s="443">
        <v>0</v>
      </c>
      <c r="V321" s="282"/>
      <c r="W321" s="282">
        <f t="shared" si="31"/>
        <v>3176.9277777777779</v>
      </c>
      <c r="X321" s="282"/>
    </row>
    <row r="322" spans="1:26" s="91" customFormat="1">
      <c r="A322" s="198"/>
      <c r="B322" s="216" t="s">
        <v>48</v>
      </c>
      <c r="C322" s="211">
        <v>3947863</v>
      </c>
      <c r="D322" s="211"/>
      <c r="E322" s="211"/>
      <c r="F322" s="211"/>
      <c r="G322" s="211"/>
      <c r="H322" s="211"/>
      <c r="I322" s="211"/>
      <c r="J322" s="211"/>
      <c r="K322" s="211">
        <v>163315</v>
      </c>
      <c r="L322" s="212">
        <v>0</v>
      </c>
      <c r="M322" s="211">
        <v>0</v>
      </c>
      <c r="N322" s="211">
        <v>1314.93</v>
      </c>
      <c r="O322" s="211">
        <v>2673179</v>
      </c>
      <c r="P322" s="213">
        <v>0</v>
      </c>
      <c r="Q322" s="211">
        <v>0</v>
      </c>
      <c r="R322" s="211">
        <v>759.4</v>
      </c>
      <c r="S322" s="211">
        <v>1111369</v>
      </c>
      <c r="T322" s="212">
        <v>0</v>
      </c>
      <c r="U322" s="290">
        <v>0</v>
      </c>
      <c r="V322" s="282"/>
      <c r="W322" s="282"/>
      <c r="X322" s="282"/>
    </row>
    <row r="323" spans="1:26" ht="30">
      <c r="A323" s="430"/>
      <c r="B323" s="438" t="s">
        <v>107</v>
      </c>
      <c r="C323" s="439">
        <f>C324+C325</f>
        <v>3145909</v>
      </c>
      <c r="D323" s="439">
        <f t="shared" ref="D323:V323" si="32">D324+D325</f>
        <v>0</v>
      </c>
      <c r="E323" s="439">
        <f t="shared" si="32"/>
        <v>0</v>
      </c>
      <c r="F323" s="439">
        <f t="shared" si="32"/>
        <v>0</v>
      </c>
      <c r="G323" s="439">
        <f t="shared" si="32"/>
        <v>0</v>
      </c>
      <c r="H323" s="439">
        <f t="shared" si="32"/>
        <v>0</v>
      </c>
      <c r="I323" s="439">
        <f t="shared" si="32"/>
        <v>0</v>
      </c>
      <c r="J323" s="439">
        <f t="shared" si="32"/>
        <v>0</v>
      </c>
      <c r="K323" s="439">
        <f t="shared" si="32"/>
        <v>0</v>
      </c>
      <c r="L323" s="439">
        <f t="shared" si="32"/>
        <v>0</v>
      </c>
      <c r="M323" s="439">
        <f t="shared" si="32"/>
        <v>0</v>
      </c>
      <c r="N323" s="439">
        <f t="shared" si="32"/>
        <v>997.02</v>
      </c>
      <c r="O323" s="439">
        <f t="shared" si="32"/>
        <v>3145909</v>
      </c>
      <c r="P323" s="439">
        <f t="shared" si="32"/>
        <v>0</v>
      </c>
      <c r="Q323" s="439">
        <f t="shared" si="32"/>
        <v>0</v>
      </c>
      <c r="R323" s="439">
        <f t="shared" si="32"/>
        <v>0</v>
      </c>
      <c r="S323" s="439">
        <f t="shared" si="32"/>
        <v>0</v>
      </c>
      <c r="T323" s="439">
        <f t="shared" si="32"/>
        <v>0</v>
      </c>
      <c r="U323" s="439">
        <f t="shared" si="32"/>
        <v>0</v>
      </c>
      <c r="V323" s="439">
        <f t="shared" si="32"/>
        <v>0</v>
      </c>
      <c r="W323" s="282"/>
      <c r="X323" s="282"/>
    </row>
    <row r="324" spans="1:26">
      <c r="A324" s="430">
        <v>277</v>
      </c>
      <c r="B324" s="438" t="s">
        <v>770</v>
      </c>
      <c r="C324" s="439">
        <f>'часть 1'!L333</f>
        <v>1590271</v>
      </c>
      <c r="D324" s="439">
        <v>0</v>
      </c>
      <c r="E324" s="439">
        <v>0</v>
      </c>
      <c r="F324" s="439">
        <v>0</v>
      </c>
      <c r="G324" s="439">
        <v>0</v>
      </c>
      <c r="H324" s="439">
        <v>0</v>
      </c>
      <c r="I324" s="439">
        <v>0</v>
      </c>
      <c r="J324" s="439">
        <v>0</v>
      </c>
      <c r="K324" s="435">
        <v>0</v>
      </c>
      <c r="L324" s="485">
        <v>0</v>
      </c>
      <c r="M324" s="435">
        <v>0</v>
      </c>
      <c r="N324" s="435">
        <v>504</v>
      </c>
      <c r="O324" s="468">
        <v>1590271</v>
      </c>
      <c r="P324" s="573">
        <v>0</v>
      </c>
      <c r="Q324" s="435">
        <v>0</v>
      </c>
      <c r="R324" s="435">
        <v>0</v>
      </c>
      <c r="S324" s="435">
        <v>0</v>
      </c>
      <c r="T324" s="485">
        <v>0</v>
      </c>
      <c r="U324" s="486">
        <v>0</v>
      </c>
      <c r="V324" s="282"/>
      <c r="W324" s="282">
        <f>O324/N324</f>
        <v>3155.2996031746034</v>
      </c>
      <c r="X324" s="282"/>
      <c r="Y324" s="25"/>
      <c r="Z324" s="25"/>
    </row>
    <row r="325" spans="1:26">
      <c r="A325" s="430">
        <v>278</v>
      </c>
      <c r="B325" s="438" t="s">
        <v>771</v>
      </c>
      <c r="C325" s="439">
        <f>'часть 1'!L334</f>
        <v>1555638</v>
      </c>
      <c r="D325" s="439">
        <v>0</v>
      </c>
      <c r="E325" s="439">
        <v>0</v>
      </c>
      <c r="F325" s="439">
        <v>0</v>
      </c>
      <c r="G325" s="439">
        <v>0</v>
      </c>
      <c r="H325" s="439">
        <v>0</v>
      </c>
      <c r="I325" s="439">
        <v>0</v>
      </c>
      <c r="J325" s="439">
        <v>0</v>
      </c>
      <c r="K325" s="435">
        <v>0</v>
      </c>
      <c r="L325" s="440">
        <v>0</v>
      </c>
      <c r="M325" s="439">
        <v>0</v>
      </c>
      <c r="N325" s="435">
        <v>493.02</v>
      </c>
      <c r="O325" s="468">
        <v>1555638</v>
      </c>
      <c r="P325" s="442">
        <v>0</v>
      </c>
      <c r="Q325" s="439">
        <v>0</v>
      </c>
      <c r="R325" s="435">
        <v>0</v>
      </c>
      <c r="S325" s="435">
        <v>0</v>
      </c>
      <c r="T325" s="440">
        <v>0</v>
      </c>
      <c r="U325" s="443">
        <v>0</v>
      </c>
      <c r="V325" s="282"/>
      <c r="W325" s="282">
        <f>O325/N325</f>
        <v>3155.3243276134845</v>
      </c>
      <c r="X325" s="282"/>
      <c r="Y325" s="25"/>
      <c r="Z325" s="25"/>
    </row>
    <row r="326" spans="1:26" ht="30">
      <c r="A326" s="198"/>
      <c r="B326" s="214" t="s">
        <v>104</v>
      </c>
      <c r="C326" s="211">
        <v>553839</v>
      </c>
      <c r="D326" s="211"/>
      <c r="E326" s="211"/>
      <c r="F326" s="211"/>
      <c r="G326" s="211"/>
      <c r="H326" s="211"/>
      <c r="I326" s="211"/>
      <c r="J326" s="211"/>
      <c r="K326" s="211">
        <v>0</v>
      </c>
      <c r="L326" s="212">
        <v>0</v>
      </c>
      <c r="M326" s="211">
        <v>0</v>
      </c>
      <c r="N326" s="211">
        <v>270.93</v>
      </c>
      <c r="O326" s="211">
        <v>553839</v>
      </c>
      <c r="P326" s="213">
        <v>0</v>
      </c>
      <c r="Q326" s="211">
        <v>0</v>
      </c>
      <c r="R326" s="213">
        <v>0</v>
      </c>
      <c r="S326" s="211">
        <v>0</v>
      </c>
      <c r="T326" s="212">
        <v>0</v>
      </c>
      <c r="U326" s="290">
        <v>0</v>
      </c>
      <c r="V326" s="282"/>
      <c r="W326" s="282"/>
      <c r="X326" s="282"/>
    </row>
    <row r="327" spans="1:26" ht="30">
      <c r="A327" s="198">
        <v>280</v>
      </c>
      <c r="B327" s="214" t="s">
        <v>452</v>
      </c>
      <c r="C327" s="211">
        <v>553839</v>
      </c>
      <c r="D327" s="211"/>
      <c r="E327" s="211"/>
      <c r="F327" s="211"/>
      <c r="G327" s="211"/>
      <c r="H327" s="211"/>
      <c r="I327" s="211"/>
      <c r="J327" s="211"/>
      <c r="K327" s="211">
        <v>0</v>
      </c>
      <c r="L327" s="212">
        <v>0</v>
      </c>
      <c r="M327" s="211">
        <v>0</v>
      </c>
      <c r="N327" s="199">
        <v>270.93</v>
      </c>
      <c r="O327" s="211">
        <v>553839</v>
      </c>
      <c r="P327" s="213">
        <v>0</v>
      </c>
      <c r="Q327" s="211">
        <v>0</v>
      </c>
      <c r="R327" s="213">
        <v>0</v>
      </c>
      <c r="S327" s="211">
        <v>0</v>
      </c>
      <c r="T327" s="212">
        <v>0</v>
      </c>
      <c r="U327" s="290">
        <v>0</v>
      </c>
      <c r="V327" s="282"/>
      <c r="W327" s="282"/>
      <c r="X327" s="282"/>
    </row>
    <row r="328" spans="1:26">
      <c r="A328" s="198"/>
      <c r="B328" s="216" t="s">
        <v>49</v>
      </c>
      <c r="C328" s="211">
        <v>8949722</v>
      </c>
      <c r="D328" s="211"/>
      <c r="E328" s="211"/>
      <c r="F328" s="211"/>
      <c r="G328" s="211"/>
      <c r="H328" s="211"/>
      <c r="I328" s="211"/>
      <c r="J328" s="211"/>
      <c r="K328" s="211">
        <v>0</v>
      </c>
      <c r="L328" s="212">
        <v>0</v>
      </c>
      <c r="M328" s="211">
        <v>0</v>
      </c>
      <c r="N328" s="211">
        <v>3313.5</v>
      </c>
      <c r="O328" s="211">
        <v>6652861</v>
      </c>
      <c r="P328" s="213">
        <v>0</v>
      </c>
      <c r="Q328" s="211">
        <v>0</v>
      </c>
      <c r="R328" s="211">
        <v>1589</v>
      </c>
      <c r="S328" s="211">
        <v>2296861</v>
      </c>
      <c r="T328" s="212">
        <v>0</v>
      </c>
      <c r="U328" s="290">
        <v>0</v>
      </c>
      <c r="V328" s="282"/>
      <c r="W328" s="282"/>
      <c r="X328" s="282"/>
    </row>
    <row r="329" spans="1:26" ht="30">
      <c r="A329" s="198"/>
      <c r="B329" s="214" t="s">
        <v>105</v>
      </c>
      <c r="C329" s="211">
        <f>C330</f>
        <v>1505603</v>
      </c>
      <c r="D329" s="211">
        <f t="shared" ref="D329:U329" si="33">D330</f>
        <v>0</v>
      </c>
      <c r="E329" s="211">
        <f t="shared" si="33"/>
        <v>0</v>
      </c>
      <c r="F329" s="211">
        <f t="shared" si="33"/>
        <v>0</v>
      </c>
      <c r="G329" s="211">
        <f t="shared" si="33"/>
        <v>0</v>
      </c>
      <c r="H329" s="211">
        <f t="shared" si="33"/>
        <v>0</v>
      </c>
      <c r="I329" s="211">
        <f t="shared" si="33"/>
        <v>0</v>
      </c>
      <c r="J329" s="211">
        <f t="shared" si="33"/>
        <v>0</v>
      </c>
      <c r="K329" s="211">
        <f t="shared" si="33"/>
        <v>0</v>
      </c>
      <c r="L329" s="211">
        <f t="shared" si="33"/>
        <v>0</v>
      </c>
      <c r="M329" s="211">
        <f t="shared" si="33"/>
        <v>0</v>
      </c>
      <c r="N329" s="211">
        <f t="shared" si="33"/>
        <v>476.3</v>
      </c>
      <c r="O329" s="211">
        <f t="shared" si="33"/>
        <v>1505603</v>
      </c>
      <c r="P329" s="211">
        <f t="shared" si="33"/>
        <v>0</v>
      </c>
      <c r="Q329" s="211">
        <f t="shared" si="33"/>
        <v>0</v>
      </c>
      <c r="R329" s="211">
        <f t="shared" si="33"/>
        <v>0</v>
      </c>
      <c r="S329" s="211">
        <f t="shared" si="33"/>
        <v>0</v>
      </c>
      <c r="T329" s="211">
        <f t="shared" si="33"/>
        <v>0</v>
      </c>
      <c r="U329" s="211">
        <f t="shared" si="33"/>
        <v>0</v>
      </c>
      <c r="V329" s="282"/>
      <c r="W329" s="282"/>
      <c r="X329" s="282"/>
    </row>
    <row r="330" spans="1:26" s="18" customFormat="1">
      <c r="A330" s="430">
        <v>281</v>
      </c>
      <c r="B330" s="464" t="s">
        <v>481</v>
      </c>
      <c r="C330" s="439">
        <v>1505603</v>
      </c>
      <c r="D330" s="439">
        <v>0</v>
      </c>
      <c r="E330" s="439">
        <v>0</v>
      </c>
      <c r="F330" s="439">
        <v>0</v>
      </c>
      <c r="G330" s="439">
        <v>0</v>
      </c>
      <c r="H330" s="439">
        <v>0</v>
      </c>
      <c r="I330" s="439">
        <v>0</v>
      </c>
      <c r="J330" s="439">
        <v>0</v>
      </c>
      <c r="K330" s="439">
        <v>0</v>
      </c>
      <c r="L330" s="440">
        <v>0</v>
      </c>
      <c r="M330" s="439">
        <v>0</v>
      </c>
      <c r="N330" s="439">
        <v>476.3</v>
      </c>
      <c r="O330" s="439">
        <v>1505603</v>
      </c>
      <c r="P330" s="442">
        <v>0</v>
      </c>
      <c r="Q330" s="439">
        <v>0</v>
      </c>
      <c r="R330" s="442">
        <v>0</v>
      </c>
      <c r="S330" s="439">
        <v>0</v>
      </c>
      <c r="T330" s="440">
        <v>0</v>
      </c>
      <c r="U330" s="443">
        <v>0</v>
      </c>
      <c r="V330" s="282"/>
      <c r="W330" s="282">
        <f>O330/N330</f>
        <v>3161.039260969977</v>
      </c>
      <c r="X330" s="282"/>
    </row>
    <row r="331" spans="1:26" s="18" customFormat="1" ht="30">
      <c r="A331" s="194"/>
      <c r="B331" s="214" t="s">
        <v>985</v>
      </c>
      <c r="C331" s="211">
        <f>C332+C333</f>
        <v>7561422.5999999996</v>
      </c>
      <c r="D331" s="211">
        <f t="shared" ref="D331:V331" si="34">D332+D333</f>
        <v>0</v>
      </c>
      <c r="E331" s="211">
        <f t="shared" si="34"/>
        <v>0</v>
      </c>
      <c r="F331" s="211">
        <f t="shared" si="34"/>
        <v>0</v>
      </c>
      <c r="G331" s="211">
        <f t="shared" si="34"/>
        <v>0</v>
      </c>
      <c r="H331" s="211">
        <f t="shared" si="34"/>
        <v>0</v>
      </c>
      <c r="I331" s="211">
        <f t="shared" si="34"/>
        <v>0</v>
      </c>
      <c r="J331" s="211">
        <f t="shared" si="34"/>
        <v>0</v>
      </c>
      <c r="K331" s="211">
        <f t="shared" si="34"/>
        <v>0</v>
      </c>
      <c r="L331" s="211">
        <f t="shared" si="34"/>
        <v>0</v>
      </c>
      <c r="M331" s="211">
        <f t="shared" si="34"/>
        <v>0</v>
      </c>
      <c r="N331" s="211">
        <f t="shared" si="34"/>
        <v>1800</v>
      </c>
      <c r="O331" s="211">
        <f t="shared" si="34"/>
        <v>5463000</v>
      </c>
      <c r="P331" s="211">
        <f t="shared" si="34"/>
        <v>0</v>
      </c>
      <c r="Q331" s="211">
        <f t="shared" si="34"/>
        <v>0</v>
      </c>
      <c r="R331" s="211">
        <f t="shared" si="34"/>
        <v>1444.2</v>
      </c>
      <c r="S331" s="211">
        <f t="shared" si="34"/>
        <v>2098422</v>
      </c>
      <c r="T331" s="211">
        <f t="shared" si="34"/>
        <v>0</v>
      </c>
      <c r="U331" s="211">
        <f t="shared" si="34"/>
        <v>0</v>
      </c>
      <c r="V331" s="211">
        <f t="shared" si="34"/>
        <v>0</v>
      </c>
      <c r="W331" s="282"/>
      <c r="X331" s="282"/>
    </row>
    <row r="332" spans="1:26" s="18" customFormat="1" ht="19.899999999999999" customHeight="1">
      <c r="A332" s="194"/>
      <c r="B332" s="567" t="s">
        <v>986</v>
      </c>
      <c r="C332" s="211">
        <f>'часть 1'!L342</f>
        <v>3779403.6</v>
      </c>
      <c r="D332" s="211">
        <v>0</v>
      </c>
      <c r="E332" s="211">
        <v>0</v>
      </c>
      <c r="F332" s="211">
        <v>0</v>
      </c>
      <c r="G332" s="211">
        <v>0</v>
      </c>
      <c r="H332" s="211">
        <v>0</v>
      </c>
      <c r="I332" s="211">
        <v>0</v>
      </c>
      <c r="J332" s="211">
        <v>0</v>
      </c>
      <c r="K332" s="211">
        <v>0</v>
      </c>
      <c r="L332" s="212">
        <v>0</v>
      </c>
      <c r="M332" s="211">
        <v>0</v>
      </c>
      <c r="N332" s="211">
        <v>900</v>
      </c>
      <c r="O332" s="211">
        <v>2731500</v>
      </c>
      <c r="P332" s="213">
        <v>0</v>
      </c>
      <c r="Q332" s="211">
        <v>0</v>
      </c>
      <c r="R332" s="213">
        <v>721.2</v>
      </c>
      <c r="S332" s="211">
        <v>1047903</v>
      </c>
      <c r="T332" s="212">
        <v>0</v>
      </c>
      <c r="U332" s="290">
        <v>0</v>
      </c>
      <c r="V332" s="282"/>
      <c r="W332" s="282">
        <f>O332/N332</f>
        <v>3035</v>
      </c>
      <c r="X332" s="282">
        <f>S332/R332</f>
        <v>1452.9991680532446</v>
      </c>
    </row>
    <row r="333" spans="1:26" s="18" customFormat="1" ht="24" customHeight="1">
      <c r="A333" s="194"/>
      <c r="B333" s="567" t="s">
        <v>987</v>
      </c>
      <c r="C333" s="211">
        <f>'часть 1'!L343</f>
        <v>3782019</v>
      </c>
      <c r="D333" s="211">
        <v>0</v>
      </c>
      <c r="E333" s="211">
        <v>0</v>
      </c>
      <c r="F333" s="211">
        <v>0</v>
      </c>
      <c r="G333" s="211">
        <v>0</v>
      </c>
      <c r="H333" s="211">
        <v>0</v>
      </c>
      <c r="I333" s="211">
        <v>0</v>
      </c>
      <c r="J333" s="211">
        <v>0</v>
      </c>
      <c r="K333" s="211">
        <v>0</v>
      </c>
      <c r="L333" s="212">
        <v>0</v>
      </c>
      <c r="M333" s="211">
        <v>0</v>
      </c>
      <c r="N333" s="211">
        <v>900</v>
      </c>
      <c r="O333" s="211">
        <v>2731500</v>
      </c>
      <c r="P333" s="213">
        <v>0</v>
      </c>
      <c r="Q333" s="211">
        <v>0</v>
      </c>
      <c r="R333" s="213">
        <v>723</v>
      </c>
      <c r="S333" s="211">
        <v>1050519</v>
      </c>
      <c r="T333" s="212">
        <v>0</v>
      </c>
      <c r="U333" s="290">
        <v>0</v>
      </c>
      <c r="V333" s="282"/>
      <c r="W333" s="282">
        <f>O333/N333</f>
        <v>3035</v>
      </c>
      <c r="X333" s="282">
        <f>S333/R333</f>
        <v>1453</v>
      </c>
    </row>
    <row r="334" spans="1:26" s="18" customFormat="1" ht="30">
      <c r="A334" s="198"/>
      <c r="B334" s="214" t="s">
        <v>188</v>
      </c>
      <c r="C334" s="211">
        <v>1905804</v>
      </c>
      <c r="D334" s="211"/>
      <c r="E334" s="211"/>
      <c r="F334" s="211"/>
      <c r="G334" s="211"/>
      <c r="H334" s="211"/>
      <c r="I334" s="211"/>
      <c r="J334" s="211"/>
      <c r="K334" s="211">
        <v>0</v>
      </c>
      <c r="L334" s="212">
        <v>0</v>
      </c>
      <c r="M334" s="211">
        <v>0</v>
      </c>
      <c r="N334" s="211">
        <v>968.7</v>
      </c>
      <c r="O334" s="211">
        <v>1905804</v>
      </c>
      <c r="P334" s="213">
        <v>0</v>
      </c>
      <c r="Q334" s="211">
        <v>0</v>
      </c>
      <c r="R334" s="213">
        <v>0</v>
      </c>
      <c r="S334" s="211">
        <v>0</v>
      </c>
      <c r="T334" s="212">
        <v>0</v>
      </c>
      <c r="U334" s="290">
        <v>0</v>
      </c>
      <c r="V334" s="282"/>
      <c r="W334" s="282"/>
      <c r="X334" s="282"/>
    </row>
    <row r="335" spans="1:26" s="18" customFormat="1">
      <c r="A335" s="198">
        <v>283</v>
      </c>
      <c r="B335" s="214" t="s">
        <v>410</v>
      </c>
      <c r="C335" s="211">
        <v>958459</v>
      </c>
      <c r="D335" s="211"/>
      <c r="E335" s="211"/>
      <c r="F335" s="211"/>
      <c r="G335" s="211"/>
      <c r="H335" s="211"/>
      <c r="I335" s="211"/>
      <c r="J335" s="211"/>
      <c r="K335" s="211">
        <v>0</v>
      </c>
      <c r="L335" s="212">
        <v>0</v>
      </c>
      <c r="M335" s="211">
        <v>0</v>
      </c>
      <c r="N335" s="211">
        <v>487.2</v>
      </c>
      <c r="O335" s="211">
        <v>958459</v>
      </c>
      <c r="P335" s="213">
        <v>0</v>
      </c>
      <c r="Q335" s="211">
        <v>0</v>
      </c>
      <c r="R335" s="213">
        <v>0</v>
      </c>
      <c r="S335" s="211">
        <v>0</v>
      </c>
      <c r="T335" s="212">
        <v>0</v>
      </c>
      <c r="U335" s="290">
        <v>0</v>
      </c>
      <c r="V335" s="282"/>
      <c r="W335" s="282"/>
      <c r="X335" s="282"/>
    </row>
    <row r="336" spans="1:26" s="18" customFormat="1">
      <c r="A336" s="198">
        <v>284</v>
      </c>
      <c r="B336" s="214" t="s">
        <v>411</v>
      </c>
      <c r="C336" s="211">
        <v>947345</v>
      </c>
      <c r="D336" s="211"/>
      <c r="E336" s="211"/>
      <c r="F336" s="211"/>
      <c r="G336" s="211"/>
      <c r="H336" s="211"/>
      <c r="I336" s="211"/>
      <c r="J336" s="211"/>
      <c r="K336" s="211">
        <v>0</v>
      </c>
      <c r="L336" s="212">
        <v>0</v>
      </c>
      <c r="M336" s="211">
        <v>0</v>
      </c>
      <c r="N336" s="211">
        <v>481.5</v>
      </c>
      <c r="O336" s="211">
        <v>947345</v>
      </c>
      <c r="P336" s="213">
        <v>0</v>
      </c>
      <c r="Q336" s="211">
        <v>0</v>
      </c>
      <c r="R336" s="213">
        <v>0</v>
      </c>
      <c r="S336" s="211">
        <v>0</v>
      </c>
      <c r="T336" s="212">
        <v>0</v>
      </c>
      <c r="U336" s="290">
        <v>0</v>
      </c>
      <c r="V336" s="282"/>
      <c r="W336" s="282"/>
      <c r="X336" s="282"/>
    </row>
    <row r="337" spans="1:24" s="18" customFormat="1" ht="30">
      <c r="A337" s="198"/>
      <c r="B337" s="214" t="s">
        <v>189</v>
      </c>
      <c r="C337" s="211">
        <v>820660</v>
      </c>
      <c r="D337" s="211"/>
      <c r="E337" s="211"/>
      <c r="F337" s="211"/>
      <c r="G337" s="211"/>
      <c r="H337" s="211"/>
      <c r="I337" s="211"/>
      <c r="J337" s="211"/>
      <c r="K337" s="211">
        <v>0</v>
      </c>
      <c r="L337" s="212">
        <v>0</v>
      </c>
      <c r="M337" s="211">
        <v>0</v>
      </c>
      <c r="N337" s="211">
        <v>406.8</v>
      </c>
      <c r="O337" s="211">
        <v>820660</v>
      </c>
      <c r="P337" s="213">
        <v>0</v>
      </c>
      <c r="Q337" s="211">
        <v>0</v>
      </c>
      <c r="R337" s="213">
        <v>0</v>
      </c>
      <c r="S337" s="211">
        <v>0</v>
      </c>
      <c r="T337" s="212">
        <v>0</v>
      </c>
      <c r="U337" s="290">
        <v>0</v>
      </c>
      <c r="V337" s="282"/>
      <c r="W337" s="282"/>
      <c r="X337" s="282"/>
    </row>
    <row r="338" spans="1:24" s="18" customFormat="1">
      <c r="A338" s="198">
        <v>285</v>
      </c>
      <c r="B338" s="214" t="s">
        <v>412</v>
      </c>
      <c r="C338" s="211">
        <v>820660</v>
      </c>
      <c r="D338" s="211"/>
      <c r="E338" s="211"/>
      <c r="F338" s="211"/>
      <c r="G338" s="211"/>
      <c r="H338" s="211"/>
      <c r="I338" s="211"/>
      <c r="J338" s="211"/>
      <c r="K338" s="211">
        <v>0</v>
      </c>
      <c r="L338" s="212">
        <v>0</v>
      </c>
      <c r="M338" s="211">
        <v>0</v>
      </c>
      <c r="N338" s="211">
        <v>406.8</v>
      </c>
      <c r="O338" s="211">
        <v>820660</v>
      </c>
      <c r="P338" s="213">
        <v>0</v>
      </c>
      <c r="Q338" s="211">
        <v>0</v>
      </c>
      <c r="R338" s="213">
        <v>0</v>
      </c>
      <c r="S338" s="211">
        <v>0</v>
      </c>
      <c r="T338" s="212">
        <v>0</v>
      </c>
      <c r="U338" s="290">
        <v>0</v>
      </c>
      <c r="V338" s="282"/>
      <c r="W338" s="282"/>
      <c r="X338" s="282"/>
    </row>
    <row r="339" spans="1:24" s="18" customFormat="1" ht="30">
      <c r="A339" s="198"/>
      <c r="B339" s="214" t="s">
        <v>131</v>
      </c>
      <c r="C339" s="211">
        <f>C340</f>
        <v>2888385</v>
      </c>
      <c r="D339" s="211">
        <f t="shared" ref="D339:U339" si="35">D340</f>
        <v>0</v>
      </c>
      <c r="E339" s="211">
        <f t="shared" si="35"/>
        <v>0</v>
      </c>
      <c r="F339" s="211">
        <f t="shared" si="35"/>
        <v>0</v>
      </c>
      <c r="G339" s="211">
        <f t="shared" si="35"/>
        <v>0</v>
      </c>
      <c r="H339" s="211">
        <f t="shared" si="35"/>
        <v>0</v>
      </c>
      <c r="I339" s="211">
        <f t="shared" si="35"/>
        <v>0</v>
      </c>
      <c r="J339" s="211">
        <f t="shared" si="35"/>
        <v>0</v>
      </c>
      <c r="K339" s="211">
        <f t="shared" si="35"/>
        <v>0</v>
      </c>
      <c r="L339" s="211">
        <f t="shared" si="35"/>
        <v>0</v>
      </c>
      <c r="M339" s="211">
        <f t="shared" si="35"/>
        <v>0</v>
      </c>
      <c r="N339" s="211">
        <f t="shared" si="35"/>
        <v>1205</v>
      </c>
      <c r="O339" s="211">
        <f t="shared" si="35"/>
        <v>2888285</v>
      </c>
      <c r="P339" s="211">
        <f t="shared" si="35"/>
        <v>0</v>
      </c>
      <c r="Q339" s="211">
        <f t="shared" si="35"/>
        <v>0</v>
      </c>
      <c r="R339" s="211">
        <f t="shared" si="35"/>
        <v>0</v>
      </c>
      <c r="S339" s="211">
        <f t="shared" si="35"/>
        <v>0</v>
      </c>
      <c r="T339" s="211">
        <f t="shared" si="35"/>
        <v>0</v>
      </c>
      <c r="U339" s="211">
        <f t="shared" si="35"/>
        <v>0</v>
      </c>
      <c r="V339" s="282"/>
      <c r="W339" s="282"/>
      <c r="X339" s="282"/>
    </row>
    <row r="340" spans="1:24" s="18" customFormat="1" ht="23.45" customHeight="1">
      <c r="A340" s="198">
        <v>286</v>
      </c>
      <c r="B340" s="214" t="s">
        <v>659</v>
      </c>
      <c r="C340" s="211">
        <v>2888385</v>
      </c>
      <c r="D340" s="211">
        <v>0</v>
      </c>
      <c r="E340" s="211">
        <v>0</v>
      </c>
      <c r="F340" s="211">
        <v>0</v>
      </c>
      <c r="G340" s="211">
        <v>0</v>
      </c>
      <c r="H340" s="211">
        <v>0</v>
      </c>
      <c r="I340" s="211">
        <v>0</v>
      </c>
      <c r="J340" s="211">
        <v>0</v>
      </c>
      <c r="K340" s="211">
        <v>0</v>
      </c>
      <c r="L340" s="212">
        <v>0</v>
      </c>
      <c r="M340" s="211">
        <v>0</v>
      </c>
      <c r="N340" s="233">
        <v>1205</v>
      </c>
      <c r="O340" s="211">
        <v>2888285</v>
      </c>
      <c r="P340" s="213">
        <v>0</v>
      </c>
      <c r="Q340" s="211">
        <v>0</v>
      </c>
      <c r="R340" s="213">
        <v>0</v>
      </c>
      <c r="S340" s="211">
        <v>0</v>
      </c>
      <c r="T340" s="212">
        <v>0</v>
      </c>
      <c r="U340" s="290">
        <v>0</v>
      </c>
      <c r="V340" s="282"/>
      <c r="W340" s="282">
        <f>O340/N340</f>
        <v>2396.9170124481329</v>
      </c>
      <c r="X340" s="282"/>
    </row>
    <row r="341" spans="1:24" s="18" customFormat="1">
      <c r="A341" s="198"/>
      <c r="B341" s="214"/>
      <c r="C341" s="211"/>
      <c r="D341" s="211"/>
      <c r="E341" s="211"/>
      <c r="F341" s="211"/>
      <c r="G341" s="211"/>
      <c r="H341" s="211"/>
      <c r="I341" s="211"/>
      <c r="J341" s="211"/>
      <c r="K341" s="211"/>
      <c r="L341" s="212"/>
      <c r="M341" s="211"/>
      <c r="N341" s="211"/>
      <c r="O341" s="211"/>
      <c r="P341" s="213"/>
      <c r="Q341" s="211"/>
      <c r="R341" s="215"/>
      <c r="S341" s="211"/>
      <c r="T341" s="212"/>
      <c r="U341" s="290"/>
      <c r="V341" s="282"/>
      <c r="W341" s="282"/>
      <c r="X341" s="282"/>
    </row>
    <row r="342" spans="1:24" s="17" customFormat="1">
      <c r="A342" s="198"/>
      <c r="B342" s="216" t="s">
        <v>50</v>
      </c>
      <c r="C342" s="211">
        <f>C343</f>
        <v>14213854</v>
      </c>
      <c r="D342" s="211">
        <f t="shared" ref="D342:U342" si="36">D343</f>
        <v>0</v>
      </c>
      <c r="E342" s="211">
        <f t="shared" si="36"/>
        <v>0</v>
      </c>
      <c r="F342" s="211">
        <f t="shared" si="36"/>
        <v>0</v>
      </c>
      <c r="G342" s="211">
        <f t="shared" si="36"/>
        <v>0</v>
      </c>
      <c r="H342" s="211">
        <f t="shared" si="36"/>
        <v>0</v>
      </c>
      <c r="I342" s="211">
        <f t="shared" si="36"/>
        <v>0</v>
      </c>
      <c r="J342" s="211">
        <f t="shared" si="36"/>
        <v>0</v>
      </c>
      <c r="K342" s="211">
        <f t="shared" si="36"/>
        <v>0</v>
      </c>
      <c r="L342" s="211">
        <f t="shared" si="36"/>
        <v>0</v>
      </c>
      <c r="M342" s="211">
        <f t="shared" si="36"/>
        <v>0</v>
      </c>
      <c r="N342" s="211">
        <f t="shared" si="36"/>
        <v>4604</v>
      </c>
      <c r="O342" s="211">
        <f t="shared" si="36"/>
        <v>14213854</v>
      </c>
      <c r="P342" s="211">
        <f t="shared" si="36"/>
        <v>0</v>
      </c>
      <c r="Q342" s="211">
        <f t="shared" si="36"/>
        <v>0</v>
      </c>
      <c r="R342" s="211">
        <f t="shared" si="36"/>
        <v>0</v>
      </c>
      <c r="S342" s="211">
        <f t="shared" si="36"/>
        <v>0</v>
      </c>
      <c r="T342" s="211">
        <f t="shared" si="36"/>
        <v>0</v>
      </c>
      <c r="U342" s="211">
        <f t="shared" si="36"/>
        <v>0</v>
      </c>
      <c r="V342" s="282"/>
      <c r="W342" s="282"/>
      <c r="X342" s="282"/>
    </row>
    <row r="343" spans="1:24" ht="30">
      <c r="A343" s="198"/>
      <c r="B343" s="214" t="s">
        <v>106</v>
      </c>
      <c r="C343" s="211">
        <f>C344+C345+C346+C347+C348+C349+C350+C351+C352</f>
        <v>14213854</v>
      </c>
      <c r="D343" s="211">
        <f t="shared" ref="D343:U343" si="37">D344+D345+D346+D347+D348+D349+D350+D351+D352</f>
        <v>0</v>
      </c>
      <c r="E343" s="211">
        <f t="shared" si="37"/>
        <v>0</v>
      </c>
      <c r="F343" s="211">
        <f t="shared" si="37"/>
        <v>0</v>
      </c>
      <c r="G343" s="211">
        <f t="shared" si="37"/>
        <v>0</v>
      </c>
      <c r="H343" s="211">
        <f t="shared" si="37"/>
        <v>0</v>
      </c>
      <c r="I343" s="211">
        <f t="shared" si="37"/>
        <v>0</v>
      </c>
      <c r="J343" s="211">
        <f t="shared" si="37"/>
        <v>0</v>
      </c>
      <c r="K343" s="211">
        <f t="shared" si="37"/>
        <v>0</v>
      </c>
      <c r="L343" s="211">
        <f t="shared" si="37"/>
        <v>0</v>
      </c>
      <c r="M343" s="211">
        <f t="shared" si="37"/>
        <v>0</v>
      </c>
      <c r="N343" s="211">
        <f t="shared" si="37"/>
        <v>4604</v>
      </c>
      <c r="O343" s="211">
        <f t="shared" si="37"/>
        <v>14213854</v>
      </c>
      <c r="P343" s="211">
        <f t="shared" si="37"/>
        <v>0</v>
      </c>
      <c r="Q343" s="211">
        <f t="shared" si="37"/>
        <v>0</v>
      </c>
      <c r="R343" s="211">
        <f t="shared" si="37"/>
        <v>0</v>
      </c>
      <c r="S343" s="211">
        <f t="shared" si="37"/>
        <v>0</v>
      </c>
      <c r="T343" s="211">
        <f t="shared" si="37"/>
        <v>0</v>
      </c>
      <c r="U343" s="211">
        <f t="shared" si="37"/>
        <v>0</v>
      </c>
      <c r="V343" s="282"/>
      <c r="W343" s="282"/>
      <c r="X343" s="282"/>
    </row>
    <row r="344" spans="1:24" ht="15.75">
      <c r="A344" s="198">
        <v>288</v>
      </c>
      <c r="B344" s="165" t="s">
        <v>836</v>
      </c>
      <c r="C344" s="211">
        <f>'часть 1'!L354</f>
        <v>1666855</v>
      </c>
      <c r="D344" s="211">
        <v>0</v>
      </c>
      <c r="E344" s="211">
        <v>0</v>
      </c>
      <c r="F344" s="211">
        <v>0</v>
      </c>
      <c r="G344" s="211">
        <v>0</v>
      </c>
      <c r="H344" s="211">
        <v>0</v>
      </c>
      <c r="I344" s="211">
        <v>0</v>
      </c>
      <c r="J344" s="211">
        <v>0</v>
      </c>
      <c r="K344" s="211">
        <v>0</v>
      </c>
      <c r="L344" s="212">
        <v>0</v>
      </c>
      <c r="M344" s="211">
        <v>0</v>
      </c>
      <c r="N344" s="234">
        <v>528.6</v>
      </c>
      <c r="O344" s="211">
        <v>1666855</v>
      </c>
      <c r="P344" s="213">
        <v>0</v>
      </c>
      <c r="Q344" s="211">
        <v>0</v>
      </c>
      <c r="R344" s="213">
        <v>0</v>
      </c>
      <c r="S344" s="211">
        <v>0</v>
      </c>
      <c r="T344" s="212">
        <v>0</v>
      </c>
      <c r="U344" s="290">
        <v>0</v>
      </c>
      <c r="V344" s="282"/>
      <c r="W344" s="282">
        <f>O344/N344</f>
        <v>3153.3390087022321</v>
      </c>
      <c r="X344" s="282"/>
    </row>
    <row r="345" spans="1:24" ht="15.75">
      <c r="A345" s="198">
        <v>289</v>
      </c>
      <c r="B345" s="165" t="s">
        <v>837</v>
      </c>
      <c r="C345" s="211">
        <f>'часть 1'!L355</f>
        <v>2505131</v>
      </c>
      <c r="D345" s="211">
        <v>0</v>
      </c>
      <c r="E345" s="211">
        <v>0</v>
      </c>
      <c r="F345" s="211">
        <v>0</v>
      </c>
      <c r="G345" s="211">
        <v>0</v>
      </c>
      <c r="H345" s="211">
        <v>0</v>
      </c>
      <c r="I345" s="211">
        <v>0</v>
      </c>
      <c r="J345" s="211">
        <v>0</v>
      </c>
      <c r="K345" s="211">
        <v>0</v>
      </c>
      <c r="L345" s="212">
        <v>0</v>
      </c>
      <c r="M345" s="211">
        <v>0</v>
      </c>
      <c r="N345" s="234">
        <v>798</v>
      </c>
      <c r="O345" s="211">
        <v>2505131</v>
      </c>
      <c r="P345" s="213">
        <v>0</v>
      </c>
      <c r="Q345" s="211">
        <v>0</v>
      </c>
      <c r="R345" s="213">
        <v>0</v>
      </c>
      <c r="S345" s="211">
        <v>0</v>
      </c>
      <c r="T345" s="212">
        <v>0</v>
      </c>
      <c r="U345" s="290">
        <v>0</v>
      </c>
      <c r="V345" s="282"/>
      <c r="W345" s="282">
        <f t="shared" ref="W345:W352" si="38">O345/N345</f>
        <v>3139.2619047619046</v>
      </c>
      <c r="X345" s="282"/>
    </row>
    <row r="346" spans="1:24" ht="15.75">
      <c r="A346" s="198">
        <v>290</v>
      </c>
      <c r="B346" s="165" t="s">
        <v>838</v>
      </c>
      <c r="C346" s="211">
        <f>'часть 1'!L356</f>
        <v>2532008</v>
      </c>
      <c r="D346" s="211">
        <v>0</v>
      </c>
      <c r="E346" s="211">
        <v>0</v>
      </c>
      <c r="F346" s="211">
        <v>0</v>
      </c>
      <c r="G346" s="211">
        <v>0</v>
      </c>
      <c r="H346" s="211">
        <v>0</v>
      </c>
      <c r="I346" s="211">
        <v>0</v>
      </c>
      <c r="J346" s="211">
        <v>0</v>
      </c>
      <c r="K346" s="211">
        <v>0</v>
      </c>
      <c r="L346" s="212">
        <v>0</v>
      </c>
      <c r="M346" s="211">
        <v>0</v>
      </c>
      <c r="N346" s="234">
        <v>808</v>
      </c>
      <c r="O346" s="211">
        <v>2532008</v>
      </c>
      <c r="P346" s="213">
        <v>0</v>
      </c>
      <c r="Q346" s="211">
        <v>0</v>
      </c>
      <c r="R346" s="213">
        <v>0</v>
      </c>
      <c r="S346" s="211">
        <v>0</v>
      </c>
      <c r="T346" s="212">
        <v>0</v>
      </c>
      <c r="U346" s="290">
        <v>0</v>
      </c>
      <c r="V346" s="282"/>
      <c r="W346" s="282">
        <f t="shared" si="38"/>
        <v>3133.6732673267325</v>
      </c>
      <c r="X346" s="282"/>
    </row>
    <row r="347" spans="1:24" ht="15.75">
      <c r="A347" s="198">
        <v>291</v>
      </c>
      <c r="B347" s="165" t="s">
        <v>839</v>
      </c>
      <c r="C347" s="211">
        <f>'часть 1'!L357</f>
        <v>1684781</v>
      </c>
      <c r="D347" s="211">
        <v>0</v>
      </c>
      <c r="E347" s="211">
        <v>0</v>
      </c>
      <c r="F347" s="211">
        <v>0</v>
      </c>
      <c r="G347" s="211">
        <v>0</v>
      </c>
      <c r="H347" s="211">
        <v>0</v>
      </c>
      <c r="I347" s="211">
        <v>0</v>
      </c>
      <c r="J347" s="211">
        <v>0</v>
      </c>
      <c r="K347" s="211">
        <v>0</v>
      </c>
      <c r="L347" s="212">
        <v>0</v>
      </c>
      <c r="M347" s="211">
        <v>0</v>
      </c>
      <c r="N347" s="234">
        <v>534.4</v>
      </c>
      <c r="O347" s="211">
        <v>1684781</v>
      </c>
      <c r="P347" s="213">
        <v>0</v>
      </c>
      <c r="Q347" s="211">
        <v>0</v>
      </c>
      <c r="R347" s="213">
        <v>0</v>
      </c>
      <c r="S347" s="211">
        <v>0</v>
      </c>
      <c r="T347" s="212">
        <v>0</v>
      </c>
      <c r="U347" s="290">
        <v>0</v>
      </c>
      <c r="V347" s="282"/>
      <c r="W347" s="282">
        <f t="shared" si="38"/>
        <v>3152.6590568862275</v>
      </c>
      <c r="X347" s="282"/>
    </row>
    <row r="348" spans="1:24" ht="15.75">
      <c r="A348" s="198">
        <v>292</v>
      </c>
      <c r="B348" s="165" t="s">
        <v>840</v>
      </c>
      <c r="C348" s="211">
        <f>'часть 1'!L358</f>
        <v>1111881</v>
      </c>
      <c r="D348" s="211">
        <v>0</v>
      </c>
      <c r="E348" s="211">
        <v>0</v>
      </c>
      <c r="F348" s="211">
        <v>0</v>
      </c>
      <c r="G348" s="211">
        <v>0</v>
      </c>
      <c r="H348" s="211">
        <v>0</v>
      </c>
      <c r="I348" s="211">
        <v>0</v>
      </c>
      <c r="J348" s="211">
        <v>0</v>
      </c>
      <c r="K348" s="211">
        <v>0</v>
      </c>
      <c r="L348" s="212">
        <v>0</v>
      </c>
      <c r="M348" s="211">
        <v>0</v>
      </c>
      <c r="N348" s="234">
        <v>350</v>
      </c>
      <c r="O348" s="211">
        <v>1111881</v>
      </c>
      <c r="P348" s="213">
        <v>0</v>
      </c>
      <c r="Q348" s="211">
        <v>0</v>
      </c>
      <c r="R348" s="213">
        <v>0</v>
      </c>
      <c r="S348" s="211">
        <v>0</v>
      </c>
      <c r="T348" s="212">
        <v>0</v>
      </c>
      <c r="U348" s="290">
        <v>0</v>
      </c>
      <c r="V348" s="282"/>
      <c r="W348" s="282">
        <f t="shared" si="38"/>
        <v>3176.8028571428572</v>
      </c>
      <c r="X348" s="282"/>
    </row>
    <row r="349" spans="1:24" ht="15.75">
      <c r="A349" s="198">
        <v>293</v>
      </c>
      <c r="B349" s="165" t="s">
        <v>841</v>
      </c>
      <c r="C349" s="211">
        <f>'часть 1'!L359</f>
        <v>1500589</v>
      </c>
      <c r="D349" s="211">
        <v>0</v>
      </c>
      <c r="E349" s="211">
        <v>0</v>
      </c>
      <c r="F349" s="211">
        <v>0</v>
      </c>
      <c r="G349" s="211">
        <v>0</v>
      </c>
      <c r="H349" s="211">
        <v>0</v>
      </c>
      <c r="I349" s="211">
        <v>0</v>
      </c>
      <c r="J349" s="211">
        <v>0</v>
      </c>
      <c r="K349" s="211">
        <v>0</v>
      </c>
      <c r="L349" s="212">
        <v>0</v>
      </c>
      <c r="M349" s="211">
        <v>0</v>
      </c>
      <c r="N349" s="234">
        <v>475</v>
      </c>
      <c r="O349" s="211">
        <v>1500589</v>
      </c>
      <c r="P349" s="213">
        <v>0</v>
      </c>
      <c r="Q349" s="211">
        <v>0</v>
      </c>
      <c r="R349" s="213">
        <v>0</v>
      </c>
      <c r="S349" s="211">
        <v>0</v>
      </c>
      <c r="T349" s="212">
        <v>0</v>
      </c>
      <c r="U349" s="290">
        <v>0</v>
      </c>
      <c r="V349" s="282"/>
      <c r="W349" s="282">
        <f t="shared" si="38"/>
        <v>3159.1347368421052</v>
      </c>
      <c r="X349" s="282"/>
    </row>
    <row r="350" spans="1:24" ht="15.75">
      <c r="A350" s="198">
        <v>294</v>
      </c>
      <c r="B350" s="165" t="s">
        <v>842</v>
      </c>
      <c r="C350" s="211">
        <f>'часть 1'!L360</f>
        <v>1161775</v>
      </c>
      <c r="D350" s="211">
        <v>0</v>
      </c>
      <c r="E350" s="211">
        <v>0</v>
      </c>
      <c r="F350" s="211">
        <v>0</v>
      </c>
      <c r="G350" s="211">
        <v>0</v>
      </c>
      <c r="H350" s="211">
        <v>0</v>
      </c>
      <c r="I350" s="211">
        <v>0</v>
      </c>
      <c r="J350" s="211">
        <v>0</v>
      </c>
      <c r="K350" s="211">
        <v>0</v>
      </c>
      <c r="L350" s="212">
        <v>0</v>
      </c>
      <c r="M350" s="211">
        <v>0</v>
      </c>
      <c r="N350" s="234">
        <v>465</v>
      </c>
      <c r="O350" s="211">
        <v>1161775</v>
      </c>
      <c r="P350" s="213">
        <v>0</v>
      </c>
      <c r="Q350" s="211">
        <v>0</v>
      </c>
      <c r="R350" s="213">
        <v>0</v>
      </c>
      <c r="S350" s="211">
        <v>0</v>
      </c>
      <c r="T350" s="212">
        <v>0</v>
      </c>
      <c r="U350" s="290">
        <v>0</v>
      </c>
      <c r="V350" s="282"/>
      <c r="W350" s="282">
        <f t="shared" si="38"/>
        <v>2498.4408602150538</v>
      </c>
      <c r="X350" s="282"/>
    </row>
    <row r="351" spans="1:24" ht="15.75">
      <c r="A351" s="198">
        <v>295</v>
      </c>
      <c r="B351" s="165" t="s">
        <v>846</v>
      </c>
      <c r="C351" s="211">
        <f>'часть 1'!L361</f>
        <v>537007</v>
      </c>
      <c r="D351" s="211">
        <v>0</v>
      </c>
      <c r="E351" s="211">
        <v>0</v>
      </c>
      <c r="F351" s="211">
        <v>0</v>
      </c>
      <c r="G351" s="211">
        <v>0</v>
      </c>
      <c r="H351" s="211">
        <v>0</v>
      </c>
      <c r="I351" s="211">
        <v>0</v>
      </c>
      <c r="J351" s="211">
        <v>0</v>
      </c>
      <c r="K351" s="211">
        <v>0</v>
      </c>
      <c r="L351" s="212">
        <v>0</v>
      </c>
      <c r="M351" s="211">
        <v>0</v>
      </c>
      <c r="N351" s="234">
        <v>165</v>
      </c>
      <c r="O351" s="211">
        <v>537007</v>
      </c>
      <c r="P351" s="213">
        <v>0</v>
      </c>
      <c r="Q351" s="211">
        <v>0</v>
      </c>
      <c r="R351" s="213">
        <v>0</v>
      </c>
      <c r="S351" s="211">
        <v>0</v>
      </c>
      <c r="T351" s="212">
        <v>0</v>
      </c>
      <c r="U351" s="290">
        <v>0</v>
      </c>
      <c r="V351" s="282"/>
      <c r="W351" s="282">
        <f t="shared" si="38"/>
        <v>3254.5878787878787</v>
      </c>
      <c r="X351" s="282"/>
    </row>
    <row r="352" spans="1:24" ht="15.75">
      <c r="A352" s="198">
        <v>296</v>
      </c>
      <c r="B352" s="165" t="s">
        <v>845</v>
      </c>
      <c r="C352" s="211">
        <f>'часть 1'!L362</f>
        <v>1513827</v>
      </c>
      <c r="D352" s="211">
        <v>0</v>
      </c>
      <c r="E352" s="211">
        <v>0</v>
      </c>
      <c r="F352" s="211">
        <v>0</v>
      </c>
      <c r="G352" s="211">
        <v>0</v>
      </c>
      <c r="H352" s="211">
        <v>0</v>
      </c>
      <c r="I352" s="211">
        <v>0</v>
      </c>
      <c r="J352" s="211">
        <v>0</v>
      </c>
      <c r="K352" s="211">
        <v>0</v>
      </c>
      <c r="L352" s="212">
        <v>0</v>
      </c>
      <c r="M352" s="211">
        <v>0</v>
      </c>
      <c r="N352" s="234">
        <v>480</v>
      </c>
      <c r="O352" s="211">
        <v>1513827</v>
      </c>
      <c r="P352" s="213">
        <v>0</v>
      </c>
      <c r="Q352" s="211">
        <v>0</v>
      </c>
      <c r="R352" s="213">
        <v>0</v>
      </c>
      <c r="S352" s="211">
        <v>0</v>
      </c>
      <c r="T352" s="212">
        <v>0</v>
      </c>
      <c r="U352" s="290">
        <v>0</v>
      </c>
      <c r="V352" s="282"/>
      <c r="W352" s="282">
        <f t="shared" si="38"/>
        <v>3153.8062500000001</v>
      </c>
      <c r="X352" s="282"/>
    </row>
    <row r="353" spans="1:24">
      <c r="A353" s="198"/>
      <c r="B353" s="216" t="s">
        <v>51</v>
      </c>
      <c r="C353" s="211">
        <v>13321832</v>
      </c>
      <c r="D353" s="211"/>
      <c r="E353" s="211"/>
      <c r="F353" s="211"/>
      <c r="G353" s="211"/>
      <c r="H353" s="211"/>
      <c r="I353" s="211"/>
      <c r="J353" s="211"/>
      <c r="K353" s="211">
        <v>148073</v>
      </c>
      <c r="L353" s="212">
        <v>0</v>
      </c>
      <c r="M353" s="211">
        <v>0</v>
      </c>
      <c r="N353" s="211">
        <v>6258.7000000000007</v>
      </c>
      <c r="O353" s="211">
        <v>12532204</v>
      </c>
      <c r="P353" s="213">
        <v>0</v>
      </c>
      <c r="Q353" s="211">
        <v>0</v>
      </c>
      <c r="R353" s="211">
        <v>440.1</v>
      </c>
      <c r="S353" s="211">
        <v>641555</v>
      </c>
      <c r="T353" s="212">
        <v>0</v>
      </c>
      <c r="U353" s="290">
        <v>0</v>
      </c>
      <c r="V353" s="282"/>
      <c r="W353" s="282"/>
      <c r="X353" s="282"/>
    </row>
    <row r="354" spans="1:24" ht="30">
      <c r="A354" s="198"/>
      <c r="B354" s="214" t="s">
        <v>108</v>
      </c>
      <c r="C354" s="211">
        <f>C355+C356+C357+C358+C359+C360+C361+C362</f>
        <v>11379869</v>
      </c>
      <c r="D354" s="211">
        <f t="shared" ref="D354:U354" si="39">D355+D356+D357+D358+D359+D360+D361+D362</f>
        <v>0</v>
      </c>
      <c r="E354" s="211">
        <f t="shared" si="39"/>
        <v>0</v>
      </c>
      <c r="F354" s="211">
        <f t="shared" si="39"/>
        <v>0</v>
      </c>
      <c r="G354" s="211">
        <f t="shared" si="39"/>
        <v>0</v>
      </c>
      <c r="H354" s="211">
        <f t="shared" si="39"/>
        <v>0</v>
      </c>
      <c r="I354" s="211">
        <f t="shared" si="39"/>
        <v>0</v>
      </c>
      <c r="J354" s="211">
        <f t="shared" si="39"/>
        <v>0</v>
      </c>
      <c r="K354" s="211">
        <f t="shared" si="39"/>
        <v>0</v>
      </c>
      <c r="L354" s="211">
        <f t="shared" si="39"/>
        <v>0</v>
      </c>
      <c r="M354" s="211">
        <f t="shared" si="39"/>
        <v>0</v>
      </c>
      <c r="N354" s="211">
        <f t="shared" si="39"/>
        <v>3962.8</v>
      </c>
      <c r="O354" s="211">
        <f t="shared" si="39"/>
        <v>11379869</v>
      </c>
      <c r="P354" s="211">
        <f t="shared" si="39"/>
        <v>0</v>
      </c>
      <c r="Q354" s="211">
        <f t="shared" si="39"/>
        <v>0</v>
      </c>
      <c r="R354" s="211">
        <f t="shared" si="39"/>
        <v>0</v>
      </c>
      <c r="S354" s="211">
        <f t="shared" si="39"/>
        <v>0</v>
      </c>
      <c r="T354" s="211">
        <f t="shared" si="39"/>
        <v>0</v>
      </c>
      <c r="U354" s="211">
        <f t="shared" si="39"/>
        <v>0</v>
      </c>
      <c r="V354" s="282"/>
      <c r="W354" s="282"/>
      <c r="X354" s="282"/>
    </row>
    <row r="355" spans="1:24" ht="15.75">
      <c r="A355" s="198">
        <v>298</v>
      </c>
      <c r="B355" s="947" t="s">
        <v>998</v>
      </c>
      <c r="C355" s="211">
        <f>'часть 1'!L365</f>
        <v>957124</v>
      </c>
      <c r="D355" s="211">
        <v>0</v>
      </c>
      <c r="E355" s="211">
        <v>0</v>
      </c>
      <c r="F355" s="211">
        <v>0</v>
      </c>
      <c r="G355" s="211">
        <v>0</v>
      </c>
      <c r="H355" s="211">
        <v>0</v>
      </c>
      <c r="I355" s="211">
        <v>0</v>
      </c>
      <c r="J355" s="211">
        <v>0</v>
      </c>
      <c r="K355" s="211">
        <v>0</v>
      </c>
      <c r="L355" s="212">
        <v>0</v>
      </c>
      <c r="M355" s="211">
        <v>0</v>
      </c>
      <c r="N355" s="211">
        <v>303</v>
      </c>
      <c r="O355" s="211">
        <f>'часть 1'!L365</f>
        <v>957124</v>
      </c>
      <c r="P355" s="213">
        <v>0</v>
      </c>
      <c r="Q355" s="211">
        <v>0</v>
      </c>
      <c r="R355" s="213">
        <v>0</v>
      </c>
      <c r="S355" s="211">
        <v>0</v>
      </c>
      <c r="T355" s="212">
        <v>0</v>
      </c>
      <c r="U355" s="290">
        <v>0</v>
      </c>
      <c r="V355" s="282"/>
      <c r="W355" s="282">
        <f>O355/N355</f>
        <v>3158.8250825082509</v>
      </c>
      <c r="X355" s="282"/>
    </row>
    <row r="356" spans="1:24" ht="15.75">
      <c r="A356" s="198">
        <v>299</v>
      </c>
      <c r="B356" s="947" t="s">
        <v>999</v>
      </c>
      <c r="C356" s="211">
        <f>'часть 1'!L366</f>
        <v>1382612</v>
      </c>
      <c r="D356" s="211">
        <v>0</v>
      </c>
      <c r="E356" s="211">
        <v>0</v>
      </c>
      <c r="F356" s="211">
        <v>0</v>
      </c>
      <c r="G356" s="211">
        <v>0</v>
      </c>
      <c r="H356" s="211">
        <v>0</v>
      </c>
      <c r="I356" s="211">
        <v>0</v>
      </c>
      <c r="J356" s="211">
        <v>0</v>
      </c>
      <c r="K356" s="211">
        <v>0</v>
      </c>
      <c r="L356" s="212">
        <v>0</v>
      </c>
      <c r="M356" s="211">
        <v>0</v>
      </c>
      <c r="N356" s="211">
        <v>437.1</v>
      </c>
      <c r="O356" s="211">
        <v>1382612</v>
      </c>
      <c r="P356" s="213">
        <v>0</v>
      </c>
      <c r="Q356" s="211">
        <v>0</v>
      </c>
      <c r="R356" s="213">
        <v>0</v>
      </c>
      <c r="S356" s="211">
        <v>0</v>
      </c>
      <c r="T356" s="212">
        <v>0</v>
      </c>
      <c r="U356" s="290">
        <v>0</v>
      </c>
      <c r="V356" s="282"/>
      <c r="W356" s="282">
        <f t="shared" ref="W356:W362" si="40">O356/N356</f>
        <v>3163.1480210478148</v>
      </c>
      <c r="X356" s="282"/>
    </row>
    <row r="357" spans="1:24" ht="15.75">
      <c r="A357" s="198">
        <v>300</v>
      </c>
      <c r="B357" s="947" t="s">
        <v>1000</v>
      </c>
      <c r="C357" s="211">
        <f>'часть 1'!L367</f>
        <v>2008170</v>
      </c>
      <c r="D357" s="211">
        <v>0</v>
      </c>
      <c r="E357" s="211">
        <v>0</v>
      </c>
      <c r="F357" s="211">
        <v>0</v>
      </c>
      <c r="G357" s="211">
        <v>0</v>
      </c>
      <c r="H357" s="211">
        <v>0</v>
      </c>
      <c r="I357" s="211">
        <v>0</v>
      </c>
      <c r="J357" s="211">
        <v>0</v>
      </c>
      <c r="K357" s="211">
        <v>0</v>
      </c>
      <c r="L357" s="212">
        <v>0</v>
      </c>
      <c r="M357" s="211">
        <v>0</v>
      </c>
      <c r="N357" s="211">
        <v>812.7</v>
      </c>
      <c r="O357" s="211">
        <f>'часть 1'!L367</f>
        <v>2008170</v>
      </c>
      <c r="P357" s="213">
        <v>0</v>
      </c>
      <c r="Q357" s="211">
        <v>0</v>
      </c>
      <c r="R357" s="213">
        <v>0</v>
      </c>
      <c r="S357" s="211">
        <v>0</v>
      </c>
      <c r="T357" s="212">
        <v>0</v>
      </c>
      <c r="U357" s="290">
        <v>0</v>
      </c>
      <c r="V357" s="282"/>
      <c r="W357" s="282">
        <f>O357/N357</f>
        <v>2470.9856035437429</v>
      </c>
      <c r="X357" s="282"/>
    </row>
    <row r="358" spans="1:24" ht="15.75">
      <c r="A358" s="198">
        <v>301</v>
      </c>
      <c r="B358" s="171" t="s">
        <v>1001</v>
      </c>
      <c r="C358" s="211">
        <f>'часть 1'!L368</f>
        <v>1551693</v>
      </c>
      <c r="D358" s="211">
        <v>0</v>
      </c>
      <c r="E358" s="211">
        <v>0</v>
      </c>
      <c r="F358" s="211">
        <v>0</v>
      </c>
      <c r="G358" s="211">
        <v>0</v>
      </c>
      <c r="H358" s="211">
        <v>0</v>
      </c>
      <c r="I358" s="211">
        <v>0</v>
      </c>
      <c r="J358" s="211">
        <v>0</v>
      </c>
      <c r="K358" s="211">
        <v>0</v>
      </c>
      <c r="L358" s="212">
        <v>0</v>
      </c>
      <c r="M358" s="211">
        <v>0</v>
      </c>
      <c r="N358" s="211">
        <v>491.5</v>
      </c>
      <c r="O358" s="211">
        <f>'часть 1'!L368</f>
        <v>1551693</v>
      </c>
      <c r="P358" s="213">
        <v>0</v>
      </c>
      <c r="Q358" s="211">
        <v>0</v>
      </c>
      <c r="R358" s="213">
        <v>0</v>
      </c>
      <c r="S358" s="211">
        <v>0</v>
      </c>
      <c r="T358" s="212">
        <v>0</v>
      </c>
      <c r="U358" s="290">
        <v>0</v>
      </c>
      <c r="V358" s="282"/>
      <c r="W358" s="282">
        <f t="shared" si="40"/>
        <v>3157.055951169888</v>
      </c>
      <c r="X358" s="282"/>
    </row>
    <row r="359" spans="1:24" ht="15.75">
      <c r="A359" s="198">
        <v>302</v>
      </c>
      <c r="B359" s="947" t="s">
        <v>1002</v>
      </c>
      <c r="C359" s="211">
        <f>'часть 1'!L369</f>
        <v>1404334</v>
      </c>
      <c r="D359" s="211">
        <v>0</v>
      </c>
      <c r="E359" s="211">
        <v>0</v>
      </c>
      <c r="F359" s="211">
        <v>0</v>
      </c>
      <c r="G359" s="211">
        <v>0</v>
      </c>
      <c r="H359" s="211">
        <v>0</v>
      </c>
      <c r="I359" s="211">
        <v>0</v>
      </c>
      <c r="J359" s="211">
        <v>0</v>
      </c>
      <c r="K359" s="211">
        <v>0</v>
      </c>
      <c r="L359" s="212">
        <v>0</v>
      </c>
      <c r="M359" s="211">
        <v>0</v>
      </c>
      <c r="N359" s="211">
        <v>444.1</v>
      </c>
      <c r="O359" s="211">
        <f>'часть 1'!L369</f>
        <v>1404334</v>
      </c>
      <c r="P359" s="213">
        <v>0</v>
      </c>
      <c r="Q359" s="211">
        <v>0</v>
      </c>
      <c r="R359" s="213">
        <v>0</v>
      </c>
      <c r="S359" s="211">
        <v>0</v>
      </c>
      <c r="T359" s="212">
        <v>0</v>
      </c>
      <c r="U359" s="290">
        <v>0</v>
      </c>
      <c r="V359" s="282"/>
      <c r="W359" s="282">
        <f t="shared" si="40"/>
        <v>3162.2022067102002</v>
      </c>
      <c r="X359" s="282"/>
    </row>
    <row r="360" spans="1:24" ht="15.75">
      <c r="A360" s="198">
        <v>303</v>
      </c>
      <c r="B360" s="567" t="s">
        <v>1003</v>
      </c>
      <c r="C360" s="211">
        <f>'часть 1'!L370</f>
        <v>1321007</v>
      </c>
      <c r="D360" s="211">
        <v>0</v>
      </c>
      <c r="E360" s="211">
        <v>0</v>
      </c>
      <c r="F360" s="211">
        <v>0</v>
      </c>
      <c r="G360" s="211">
        <v>0</v>
      </c>
      <c r="H360" s="211">
        <v>0</v>
      </c>
      <c r="I360" s="211">
        <v>0</v>
      </c>
      <c r="J360" s="211">
        <v>0</v>
      </c>
      <c r="K360" s="211">
        <v>0</v>
      </c>
      <c r="L360" s="212">
        <v>0</v>
      </c>
      <c r="M360" s="211">
        <v>0</v>
      </c>
      <c r="N360" s="211">
        <v>417.4</v>
      </c>
      <c r="O360" s="211">
        <f>'часть 1'!L370</f>
        <v>1321007</v>
      </c>
      <c r="P360" s="213">
        <v>0</v>
      </c>
      <c r="Q360" s="211">
        <v>0</v>
      </c>
      <c r="R360" s="213">
        <v>0</v>
      </c>
      <c r="S360" s="211">
        <v>0</v>
      </c>
      <c r="T360" s="212">
        <v>0</v>
      </c>
      <c r="U360" s="290">
        <v>0</v>
      </c>
      <c r="V360" s="282"/>
      <c r="W360" s="282">
        <f t="shared" si="40"/>
        <v>3164.8466698610446</v>
      </c>
      <c r="X360" s="282"/>
    </row>
    <row r="361" spans="1:24" ht="15.75">
      <c r="A361" s="198">
        <v>304</v>
      </c>
      <c r="B361" s="947" t="s">
        <v>1004</v>
      </c>
      <c r="C361" s="211">
        <f>'часть 1'!L371</f>
        <v>576885</v>
      </c>
      <c r="D361" s="211">
        <v>0</v>
      </c>
      <c r="E361" s="211">
        <v>0</v>
      </c>
      <c r="F361" s="211">
        <v>0</v>
      </c>
      <c r="G361" s="211">
        <v>0</v>
      </c>
      <c r="H361" s="211">
        <v>0</v>
      </c>
      <c r="I361" s="211">
        <v>0</v>
      </c>
      <c r="J361" s="211">
        <v>0</v>
      </c>
      <c r="K361" s="211">
        <v>0</v>
      </c>
      <c r="L361" s="212">
        <v>0</v>
      </c>
      <c r="M361" s="211">
        <v>0</v>
      </c>
      <c r="N361" s="211">
        <v>177.9</v>
      </c>
      <c r="O361" s="211">
        <f>'часть 1'!L371</f>
        <v>576885</v>
      </c>
      <c r="P361" s="213">
        <v>0</v>
      </c>
      <c r="Q361" s="211">
        <v>0</v>
      </c>
      <c r="R361" s="213">
        <v>0</v>
      </c>
      <c r="S361" s="211">
        <v>0</v>
      </c>
      <c r="T361" s="212">
        <v>0</v>
      </c>
      <c r="U361" s="290">
        <v>0</v>
      </c>
      <c r="V361" s="282"/>
      <c r="W361" s="282">
        <f t="shared" si="40"/>
        <v>3242.7487352445191</v>
      </c>
      <c r="X361" s="282"/>
    </row>
    <row r="362" spans="1:24" ht="15.75">
      <c r="A362" s="198">
        <v>305</v>
      </c>
      <c r="B362" s="947" t="s">
        <v>1005</v>
      </c>
      <c r="C362" s="211">
        <f>'часть 1'!L372</f>
        <v>2178044</v>
      </c>
      <c r="D362" s="211">
        <v>0</v>
      </c>
      <c r="E362" s="211">
        <v>0</v>
      </c>
      <c r="F362" s="211">
        <v>0</v>
      </c>
      <c r="G362" s="211">
        <v>0</v>
      </c>
      <c r="H362" s="211">
        <v>0</v>
      </c>
      <c r="I362" s="211">
        <v>0</v>
      </c>
      <c r="J362" s="211">
        <v>0</v>
      </c>
      <c r="K362" s="211">
        <v>0</v>
      </c>
      <c r="L362" s="212">
        <v>0</v>
      </c>
      <c r="M362" s="211">
        <v>0</v>
      </c>
      <c r="N362" s="211">
        <v>879.1</v>
      </c>
      <c r="O362" s="211">
        <f>'часть 1'!L372</f>
        <v>2178044</v>
      </c>
      <c r="P362" s="213">
        <v>0</v>
      </c>
      <c r="Q362" s="211">
        <v>0</v>
      </c>
      <c r="R362" s="213">
        <v>0</v>
      </c>
      <c r="S362" s="211">
        <v>0</v>
      </c>
      <c r="T362" s="212">
        <v>0</v>
      </c>
      <c r="U362" s="290">
        <v>0</v>
      </c>
      <c r="V362" s="282"/>
      <c r="W362" s="282">
        <f t="shared" si="40"/>
        <v>2477.5838926174497</v>
      </c>
      <c r="X362" s="282"/>
    </row>
    <row r="363" spans="1:24" ht="30">
      <c r="A363" s="430"/>
      <c r="B363" s="438" t="s">
        <v>882</v>
      </c>
      <c r="C363" s="439">
        <f>C364+C365</f>
        <v>2903743</v>
      </c>
      <c r="D363" s="439">
        <f t="shared" ref="D363:U363" si="41">D364+D365</f>
        <v>0</v>
      </c>
      <c r="E363" s="439">
        <f t="shared" si="41"/>
        <v>0</v>
      </c>
      <c r="F363" s="439">
        <f t="shared" si="41"/>
        <v>0</v>
      </c>
      <c r="G363" s="439">
        <f t="shared" si="41"/>
        <v>0</v>
      </c>
      <c r="H363" s="439">
        <f t="shared" si="41"/>
        <v>0</v>
      </c>
      <c r="I363" s="439">
        <f t="shared" si="41"/>
        <v>0</v>
      </c>
      <c r="J363" s="439">
        <f t="shared" si="41"/>
        <v>0</v>
      </c>
      <c r="K363" s="439">
        <f t="shared" si="41"/>
        <v>0</v>
      </c>
      <c r="L363" s="439">
        <f t="shared" si="41"/>
        <v>0</v>
      </c>
      <c r="M363" s="439">
        <f t="shared" si="41"/>
        <v>0</v>
      </c>
      <c r="N363" s="439">
        <f t="shared" si="41"/>
        <v>918.8</v>
      </c>
      <c r="O363" s="439">
        <f t="shared" si="41"/>
        <v>2903743</v>
      </c>
      <c r="P363" s="439">
        <f t="shared" si="41"/>
        <v>0</v>
      </c>
      <c r="Q363" s="439">
        <f t="shared" si="41"/>
        <v>0</v>
      </c>
      <c r="R363" s="439">
        <f t="shared" si="41"/>
        <v>0</v>
      </c>
      <c r="S363" s="439">
        <f t="shared" si="41"/>
        <v>0</v>
      </c>
      <c r="T363" s="439">
        <f t="shared" si="41"/>
        <v>0</v>
      </c>
      <c r="U363" s="439">
        <f t="shared" si="41"/>
        <v>0</v>
      </c>
      <c r="V363" s="282"/>
      <c r="W363" s="282"/>
      <c r="X363" s="282"/>
    </row>
    <row r="364" spans="1:24" ht="30">
      <c r="A364" s="430"/>
      <c r="B364" s="438" t="s">
        <v>883</v>
      </c>
      <c r="C364" s="439">
        <f>'часть 1'!L374</f>
        <v>1605412</v>
      </c>
      <c r="D364" s="439">
        <v>0</v>
      </c>
      <c r="E364" s="439">
        <v>0</v>
      </c>
      <c r="F364" s="439">
        <v>0</v>
      </c>
      <c r="G364" s="439">
        <v>0</v>
      </c>
      <c r="H364" s="439">
        <v>0</v>
      </c>
      <c r="I364" s="439">
        <v>0</v>
      </c>
      <c r="J364" s="439">
        <v>0</v>
      </c>
      <c r="K364" s="439">
        <v>0</v>
      </c>
      <c r="L364" s="440">
        <v>0</v>
      </c>
      <c r="M364" s="439">
        <v>0</v>
      </c>
      <c r="N364" s="439">
        <v>508.8</v>
      </c>
      <c r="O364" s="439">
        <v>1605412</v>
      </c>
      <c r="P364" s="442">
        <v>0</v>
      </c>
      <c r="Q364" s="439">
        <v>0</v>
      </c>
      <c r="R364" s="439">
        <v>0</v>
      </c>
      <c r="S364" s="439">
        <v>0</v>
      </c>
      <c r="T364" s="440">
        <v>0</v>
      </c>
      <c r="U364" s="443">
        <v>0</v>
      </c>
      <c r="V364" s="282"/>
      <c r="W364" s="282">
        <f>O364/N364</f>
        <v>3155.2908805031448</v>
      </c>
      <c r="X364" s="282"/>
    </row>
    <row r="365" spans="1:24" ht="28.15" customHeight="1">
      <c r="A365" s="430"/>
      <c r="B365" s="438" t="s">
        <v>884</v>
      </c>
      <c r="C365" s="439">
        <f>'часть 1'!L375</f>
        <v>1298331</v>
      </c>
      <c r="D365" s="439">
        <v>0</v>
      </c>
      <c r="E365" s="439">
        <v>0</v>
      </c>
      <c r="F365" s="439">
        <v>0</v>
      </c>
      <c r="G365" s="439">
        <v>0</v>
      </c>
      <c r="H365" s="439">
        <v>0</v>
      </c>
      <c r="I365" s="439">
        <v>0</v>
      </c>
      <c r="J365" s="439">
        <v>0</v>
      </c>
      <c r="K365" s="439">
        <v>0</v>
      </c>
      <c r="L365" s="440">
        <v>0</v>
      </c>
      <c r="M365" s="439">
        <v>0</v>
      </c>
      <c r="N365" s="439">
        <v>410</v>
      </c>
      <c r="O365" s="439">
        <v>1298331</v>
      </c>
      <c r="P365" s="442">
        <v>0</v>
      </c>
      <c r="Q365" s="439">
        <v>0</v>
      </c>
      <c r="R365" s="439">
        <v>0</v>
      </c>
      <c r="S365" s="439">
        <v>0</v>
      </c>
      <c r="T365" s="440">
        <v>0</v>
      </c>
      <c r="U365" s="443">
        <v>0</v>
      </c>
      <c r="V365" s="282"/>
      <c r="W365" s="282">
        <f>O365/N365</f>
        <v>3166.660975609756</v>
      </c>
      <c r="X365" s="282"/>
    </row>
    <row r="366" spans="1:24" s="17" customFormat="1">
      <c r="A366" s="198"/>
      <c r="B366" s="216" t="s">
        <v>52</v>
      </c>
      <c r="C366" s="211">
        <v>3908951</v>
      </c>
      <c r="D366" s="211"/>
      <c r="E366" s="211"/>
      <c r="F366" s="211"/>
      <c r="G366" s="211"/>
      <c r="H366" s="211"/>
      <c r="I366" s="211"/>
      <c r="J366" s="211"/>
      <c r="K366" s="211">
        <v>201010</v>
      </c>
      <c r="L366" s="212">
        <v>0</v>
      </c>
      <c r="M366" s="211">
        <v>0</v>
      </c>
      <c r="N366" s="211">
        <v>1869.42</v>
      </c>
      <c r="O366" s="211">
        <v>3707941</v>
      </c>
      <c r="P366" s="213">
        <v>0</v>
      </c>
      <c r="Q366" s="211">
        <v>0</v>
      </c>
      <c r="R366" s="213">
        <v>0</v>
      </c>
      <c r="S366" s="211">
        <v>0</v>
      </c>
      <c r="T366" s="212">
        <v>0</v>
      </c>
      <c r="U366" s="290">
        <v>0</v>
      </c>
      <c r="V366" s="282"/>
      <c r="W366" s="282"/>
      <c r="X366" s="282"/>
    </row>
    <row r="367" spans="1:24" s="18" customFormat="1" ht="30">
      <c r="A367" s="430"/>
      <c r="B367" s="438" t="s">
        <v>130</v>
      </c>
      <c r="C367" s="439">
        <f>C368</f>
        <v>1828731</v>
      </c>
      <c r="D367" s="439">
        <f t="shared" ref="D367:V367" si="42">D368</f>
        <v>0</v>
      </c>
      <c r="E367" s="439">
        <f t="shared" si="42"/>
        <v>0</v>
      </c>
      <c r="F367" s="439">
        <f t="shared" si="42"/>
        <v>0</v>
      </c>
      <c r="G367" s="439">
        <f t="shared" si="42"/>
        <v>0</v>
      </c>
      <c r="H367" s="439">
        <f t="shared" si="42"/>
        <v>0</v>
      </c>
      <c r="I367" s="439">
        <f t="shared" si="42"/>
        <v>0</v>
      </c>
      <c r="J367" s="439">
        <f t="shared" si="42"/>
        <v>0</v>
      </c>
      <c r="K367" s="439">
        <f t="shared" si="42"/>
        <v>0</v>
      </c>
      <c r="L367" s="439">
        <f t="shared" si="42"/>
        <v>0</v>
      </c>
      <c r="M367" s="439">
        <f t="shared" si="42"/>
        <v>0</v>
      </c>
      <c r="N367" s="439">
        <f t="shared" si="42"/>
        <v>581</v>
      </c>
      <c r="O367" s="439">
        <f t="shared" si="42"/>
        <v>1828731</v>
      </c>
      <c r="P367" s="439">
        <f t="shared" si="42"/>
        <v>0</v>
      </c>
      <c r="Q367" s="439">
        <f t="shared" si="42"/>
        <v>0</v>
      </c>
      <c r="R367" s="439">
        <f t="shared" si="42"/>
        <v>0</v>
      </c>
      <c r="S367" s="439">
        <f t="shared" si="42"/>
        <v>0</v>
      </c>
      <c r="T367" s="439">
        <f t="shared" si="42"/>
        <v>0</v>
      </c>
      <c r="U367" s="439">
        <f t="shared" si="42"/>
        <v>0</v>
      </c>
      <c r="V367" s="211">
        <f t="shared" si="42"/>
        <v>0</v>
      </c>
      <c r="W367" s="282"/>
      <c r="X367" s="282"/>
    </row>
    <row r="368" spans="1:24" s="17" customFormat="1">
      <c r="A368" s="430">
        <v>312</v>
      </c>
      <c r="B368" s="438" t="s">
        <v>672</v>
      </c>
      <c r="C368" s="439">
        <v>1828731</v>
      </c>
      <c r="D368" s="439">
        <v>0</v>
      </c>
      <c r="E368" s="439">
        <v>0</v>
      </c>
      <c r="F368" s="439">
        <v>0</v>
      </c>
      <c r="G368" s="439">
        <v>0</v>
      </c>
      <c r="H368" s="439">
        <v>0</v>
      </c>
      <c r="I368" s="439">
        <v>0</v>
      </c>
      <c r="J368" s="439">
        <v>0</v>
      </c>
      <c r="K368" s="439">
        <v>0</v>
      </c>
      <c r="L368" s="442">
        <v>0</v>
      </c>
      <c r="M368" s="439">
        <v>0</v>
      </c>
      <c r="N368" s="441">
        <v>581</v>
      </c>
      <c r="O368" s="439">
        <v>1828731</v>
      </c>
      <c r="P368" s="442">
        <v>0</v>
      </c>
      <c r="Q368" s="439">
        <v>0</v>
      </c>
      <c r="R368" s="442">
        <v>0</v>
      </c>
      <c r="S368" s="439">
        <v>0</v>
      </c>
      <c r="T368" s="442">
        <v>0</v>
      </c>
      <c r="U368" s="443">
        <v>0</v>
      </c>
      <c r="V368" s="282"/>
      <c r="W368" s="282">
        <f>O368/N368</f>
        <v>3147.5576592082616</v>
      </c>
      <c r="X368" s="282"/>
    </row>
    <row r="369" spans="1:32" s="17" customFormat="1">
      <c r="A369" s="430"/>
      <c r="B369" s="438"/>
      <c r="C369" s="439"/>
      <c r="D369" s="439"/>
      <c r="E369" s="439"/>
      <c r="F369" s="439"/>
      <c r="G369" s="439"/>
      <c r="H369" s="439"/>
      <c r="I369" s="439"/>
      <c r="J369" s="439"/>
      <c r="K369" s="439"/>
      <c r="L369" s="442"/>
      <c r="M369" s="439"/>
      <c r="N369" s="441"/>
      <c r="O369" s="439"/>
      <c r="P369" s="442"/>
      <c r="Q369" s="439"/>
      <c r="R369" s="442"/>
      <c r="S369" s="439"/>
      <c r="T369" s="442"/>
      <c r="U369" s="443"/>
      <c r="V369" s="282"/>
      <c r="W369" s="282"/>
      <c r="X369" s="282"/>
    </row>
    <row r="370" spans="1:32" ht="30">
      <c r="A370" s="198"/>
      <c r="B370" s="214" t="s">
        <v>109</v>
      </c>
      <c r="C370" s="211">
        <v>201010</v>
      </c>
      <c r="D370" s="211"/>
      <c r="E370" s="211"/>
      <c r="F370" s="211"/>
      <c r="G370" s="211"/>
      <c r="H370" s="211"/>
      <c r="I370" s="211"/>
      <c r="J370" s="211"/>
      <c r="K370" s="211">
        <v>201010</v>
      </c>
      <c r="L370" s="212">
        <v>0</v>
      </c>
      <c r="M370" s="211">
        <v>0</v>
      </c>
      <c r="N370" s="211">
        <v>0</v>
      </c>
      <c r="O370" s="211">
        <v>0</v>
      </c>
      <c r="P370" s="213">
        <v>0</v>
      </c>
      <c r="Q370" s="211">
        <v>0</v>
      </c>
      <c r="R370" s="213">
        <v>0</v>
      </c>
      <c r="S370" s="211">
        <v>0</v>
      </c>
      <c r="T370" s="212">
        <v>0</v>
      </c>
      <c r="U370" s="290">
        <v>0</v>
      </c>
      <c r="V370" s="282"/>
      <c r="W370" s="282"/>
      <c r="X370" s="282"/>
    </row>
    <row r="371" spans="1:32">
      <c r="A371" s="198">
        <v>314</v>
      </c>
      <c r="B371" s="216" t="s">
        <v>414</v>
      </c>
      <c r="C371" s="211">
        <v>201010</v>
      </c>
      <c r="D371" s="211"/>
      <c r="E371" s="211"/>
      <c r="F371" s="211"/>
      <c r="G371" s="211"/>
      <c r="H371" s="211"/>
      <c r="I371" s="211"/>
      <c r="J371" s="211"/>
      <c r="K371" s="211">
        <v>201010</v>
      </c>
      <c r="L371" s="212">
        <v>0</v>
      </c>
      <c r="M371" s="211">
        <v>0</v>
      </c>
      <c r="N371" s="211">
        <v>0</v>
      </c>
      <c r="O371" s="211">
        <v>0</v>
      </c>
      <c r="P371" s="213">
        <v>0</v>
      </c>
      <c r="Q371" s="211">
        <v>0</v>
      </c>
      <c r="R371" s="213">
        <v>0</v>
      </c>
      <c r="S371" s="211">
        <v>0</v>
      </c>
      <c r="T371" s="212">
        <v>0</v>
      </c>
      <c r="U371" s="290">
        <v>0</v>
      </c>
      <c r="V371" s="282"/>
      <c r="W371" s="282"/>
      <c r="X371" s="282"/>
    </row>
    <row r="372" spans="1:32" ht="30">
      <c r="A372" s="198"/>
      <c r="B372" s="214" t="s">
        <v>198</v>
      </c>
      <c r="C372" s="211">
        <v>1091336</v>
      </c>
      <c r="D372" s="211"/>
      <c r="E372" s="211"/>
      <c r="F372" s="211"/>
      <c r="G372" s="211"/>
      <c r="H372" s="211"/>
      <c r="I372" s="211"/>
      <c r="J372" s="211"/>
      <c r="K372" s="211">
        <v>0</v>
      </c>
      <c r="L372" s="212">
        <v>0</v>
      </c>
      <c r="M372" s="211">
        <v>0</v>
      </c>
      <c r="N372" s="211">
        <v>554.41999999999996</v>
      </c>
      <c r="O372" s="211">
        <v>1091336</v>
      </c>
      <c r="P372" s="213">
        <v>0</v>
      </c>
      <c r="Q372" s="211">
        <v>0</v>
      </c>
      <c r="R372" s="213">
        <v>0</v>
      </c>
      <c r="S372" s="211">
        <v>0</v>
      </c>
      <c r="T372" s="212">
        <v>0</v>
      </c>
      <c r="U372" s="290">
        <v>0</v>
      </c>
      <c r="V372" s="282"/>
      <c r="W372" s="282"/>
      <c r="X372" s="282"/>
    </row>
    <row r="373" spans="1:32" ht="30">
      <c r="A373" s="198">
        <v>315</v>
      </c>
      <c r="B373" s="214" t="s">
        <v>444</v>
      </c>
      <c r="C373" s="211">
        <v>1091336</v>
      </c>
      <c r="D373" s="211"/>
      <c r="E373" s="211"/>
      <c r="F373" s="211"/>
      <c r="G373" s="211"/>
      <c r="H373" s="211"/>
      <c r="I373" s="211"/>
      <c r="J373" s="211"/>
      <c r="K373" s="211">
        <v>0</v>
      </c>
      <c r="L373" s="212">
        <v>0</v>
      </c>
      <c r="M373" s="211">
        <v>0</v>
      </c>
      <c r="N373" s="211">
        <v>554.41999999999996</v>
      </c>
      <c r="O373" s="211">
        <v>1091336</v>
      </c>
      <c r="P373" s="213">
        <v>0</v>
      </c>
      <c r="Q373" s="211">
        <v>0</v>
      </c>
      <c r="R373" s="213">
        <v>0</v>
      </c>
      <c r="S373" s="211">
        <v>0</v>
      </c>
      <c r="T373" s="212">
        <v>0</v>
      </c>
      <c r="U373" s="290">
        <v>0</v>
      </c>
      <c r="V373" s="282"/>
      <c r="W373" s="282"/>
      <c r="X373" s="282"/>
    </row>
    <row r="374" spans="1:32" s="17" customFormat="1">
      <c r="A374" s="198"/>
      <c r="B374" s="216" t="s">
        <v>53</v>
      </c>
      <c r="C374" s="211">
        <v>51240898.530000001</v>
      </c>
      <c r="D374" s="211"/>
      <c r="E374" s="211"/>
      <c r="F374" s="211"/>
      <c r="G374" s="211"/>
      <c r="H374" s="211"/>
      <c r="I374" s="211"/>
      <c r="J374" s="211"/>
      <c r="K374" s="211">
        <v>1666943.13</v>
      </c>
      <c r="L374" s="212">
        <v>16</v>
      </c>
      <c r="M374" s="211">
        <f>M375+M395+M397+M400+M410+M412+M414</f>
        <v>19456700</v>
      </c>
      <c r="N374" s="211">
        <f>N375+N395+N397+N400+N410+N412+N414</f>
        <v>12350.9</v>
      </c>
      <c r="O374" s="211">
        <f>O375+O395+O397+O400+O410+O412+O414</f>
        <v>30465500.920000002</v>
      </c>
      <c r="P374" s="213">
        <v>0</v>
      </c>
      <c r="Q374" s="211">
        <v>0</v>
      </c>
      <c r="R374" s="211">
        <v>3776.66</v>
      </c>
      <c r="S374" s="211">
        <v>2073719.84</v>
      </c>
      <c r="T374" s="213">
        <v>0</v>
      </c>
      <c r="U374" s="290">
        <v>0</v>
      </c>
      <c r="V374" s="282"/>
      <c r="W374" s="282"/>
      <c r="X374" s="282"/>
    </row>
    <row r="375" spans="1:32" ht="30">
      <c r="A375" s="430"/>
      <c r="B375" s="438" t="s">
        <v>88</v>
      </c>
      <c r="C375" s="439">
        <f>C376+C377+C378+C379+C380+C381+C382+C383+C384+C385</f>
        <v>31676745</v>
      </c>
      <c r="D375" s="439">
        <f t="shared" ref="D375:V375" si="43">D376+D377+D378+D379+D380+D381+D382+D383+D384+D385</f>
        <v>0</v>
      </c>
      <c r="E375" s="439">
        <f t="shared" si="43"/>
        <v>0</v>
      </c>
      <c r="F375" s="439">
        <f t="shared" si="43"/>
        <v>0</v>
      </c>
      <c r="G375" s="439">
        <f t="shared" si="43"/>
        <v>0</v>
      </c>
      <c r="H375" s="439">
        <f t="shared" si="43"/>
        <v>0</v>
      </c>
      <c r="I375" s="439">
        <f t="shared" si="43"/>
        <v>0</v>
      </c>
      <c r="J375" s="439">
        <f t="shared" si="43"/>
        <v>0</v>
      </c>
      <c r="K375" s="439">
        <f t="shared" si="43"/>
        <v>0</v>
      </c>
      <c r="L375" s="439">
        <f t="shared" si="43"/>
        <v>10</v>
      </c>
      <c r="M375" s="439">
        <f t="shared" si="43"/>
        <v>19456700</v>
      </c>
      <c r="N375" s="439">
        <f t="shared" si="43"/>
        <v>4937</v>
      </c>
      <c r="O375" s="439">
        <f t="shared" si="43"/>
        <v>12220045</v>
      </c>
      <c r="P375" s="439">
        <f t="shared" si="43"/>
        <v>0</v>
      </c>
      <c r="Q375" s="439">
        <f t="shared" si="43"/>
        <v>0</v>
      </c>
      <c r="R375" s="439">
        <f t="shared" si="43"/>
        <v>0</v>
      </c>
      <c r="S375" s="439">
        <f t="shared" si="43"/>
        <v>0</v>
      </c>
      <c r="T375" s="439">
        <f t="shared" si="43"/>
        <v>0</v>
      </c>
      <c r="U375" s="439">
        <f t="shared" si="43"/>
        <v>0</v>
      </c>
      <c r="V375" s="211">
        <f t="shared" si="43"/>
        <v>0</v>
      </c>
      <c r="W375" s="282"/>
      <c r="X375" s="282"/>
      <c r="Y375" s="10"/>
      <c r="Z375" s="10"/>
      <c r="AA375" s="10"/>
      <c r="AB375" s="10"/>
    </row>
    <row r="376" spans="1:32" s="19" customFormat="1" ht="15.75">
      <c r="A376" s="430">
        <v>1</v>
      </c>
      <c r="B376" s="549" t="s">
        <v>416</v>
      </c>
      <c r="C376" s="439">
        <f>'часть 1'!L386</f>
        <v>3883714</v>
      </c>
      <c r="D376" s="439">
        <v>0</v>
      </c>
      <c r="E376" s="439">
        <v>0</v>
      </c>
      <c r="F376" s="439">
        <v>0</v>
      </c>
      <c r="G376" s="439">
        <v>0</v>
      </c>
      <c r="H376" s="439">
        <v>0</v>
      </c>
      <c r="I376" s="439">
        <v>0</v>
      </c>
      <c r="J376" s="439">
        <v>0</v>
      </c>
      <c r="K376" s="439">
        <v>0</v>
      </c>
      <c r="L376" s="440">
        <v>2</v>
      </c>
      <c r="M376" s="439">
        <v>3883714</v>
      </c>
      <c r="N376" s="439">
        <v>0</v>
      </c>
      <c r="O376" s="439">
        <v>0</v>
      </c>
      <c r="P376" s="442">
        <v>0</v>
      </c>
      <c r="Q376" s="439">
        <v>0</v>
      </c>
      <c r="R376" s="442">
        <v>0</v>
      </c>
      <c r="S376" s="439">
        <v>0</v>
      </c>
      <c r="T376" s="440">
        <v>0</v>
      </c>
      <c r="U376" s="443">
        <v>0</v>
      </c>
      <c r="V376" s="282"/>
      <c r="W376" s="282"/>
      <c r="X376" s="282"/>
      <c r="Y376" s="27"/>
      <c r="Z376" s="27"/>
      <c r="AA376" s="27"/>
      <c r="AB376" s="27"/>
      <c r="AF376" s="84">
        <f>M376/L376</f>
        <v>1941857</v>
      </c>
    </row>
    <row r="377" spans="1:32" s="19" customFormat="1" ht="15.75">
      <c r="A377" s="430">
        <v>2</v>
      </c>
      <c r="B377" s="549" t="s">
        <v>743</v>
      </c>
      <c r="C377" s="439">
        <f>'часть 1'!L387</f>
        <v>3894862</v>
      </c>
      <c r="D377" s="439">
        <v>0</v>
      </c>
      <c r="E377" s="439">
        <v>0</v>
      </c>
      <c r="F377" s="439">
        <v>0</v>
      </c>
      <c r="G377" s="439">
        <v>0</v>
      </c>
      <c r="H377" s="439">
        <v>0</v>
      </c>
      <c r="I377" s="439">
        <v>0</v>
      </c>
      <c r="J377" s="439">
        <v>0</v>
      </c>
      <c r="K377" s="439">
        <v>0</v>
      </c>
      <c r="L377" s="440">
        <v>2</v>
      </c>
      <c r="M377" s="439">
        <v>3894862</v>
      </c>
      <c r="N377" s="439">
        <v>0</v>
      </c>
      <c r="O377" s="439">
        <v>0</v>
      </c>
      <c r="P377" s="442">
        <v>0</v>
      </c>
      <c r="Q377" s="439">
        <v>0</v>
      </c>
      <c r="R377" s="442">
        <v>0</v>
      </c>
      <c r="S377" s="439">
        <v>0</v>
      </c>
      <c r="T377" s="440">
        <v>0</v>
      </c>
      <c r="U377" s="443">
        <v>0</v>
      </c>
      <c r="V377" s="282"/>
      <c r="W377" s="282"/>
      <c r="X377" s="282"/>
      <c r="Y377" s="27"/>
      <c r="Z377" s="27"/>
      <c r="AA377" s="27"/>
      <c r="AB377" s="27"/>
      <c r="AF377" s="84">
        <f t="shared" ref="AF377:AF378" si="44">M377/L377</f>
        <v>1947431</v>
      </c>
    </row>
    <row r="378" spans="1:32" s="19" customFormat="1" ht="15.75">
      <c r="A378" s="430">
        <v>3</v>
      </c>
      <c r="B378" s="549" t="s">
        <v>417</v>
      </c>
      <c r="C378" s="439">
        <f>'часть 1'!L388</f>
        <v>3877521</v>
      </c>
      <c r="D378" s="468">
        <v>0</v>
      </c>
      <c r="E378" s="468">
        <v>0</v>
      </c>
      <c r="F378" s="468">
        <v>0</v>
      </c>
      <c r="G378" s="468">
        <v>0</v>
      </c>
      <c r="H378" s="468">
        <v>0</v>
      </c>
      <c r="I378" s="468">
        <v>0</v>
      </c>
      <c r="J378" s="468">
        <v>0</v>
      </c>
      <c r="K378" s="864">
        <v>0</v>
      </c>
      <c r="L378" s="440">
        <v>2</v>
      </c>
      <c r="M378" s="439">
        <v>3877521</v>
      </c>
      <c r="N378" s="468">
        <v>0</v>
      </c>
      <c r="O378" s="468">
        <v>0</v>
      </c>
      <c r="P378" s="442">
        <v>0</v>
      </c>
      <c r="Q378" s="439">
        <v>0</v>
      </c>
      <c r="R378" s="442">
        <v>0</v>
      </c>
      <c r="S378" s="439">
        <v>0</v>
      </c>
      <c r="T378" s="440">
        <v>0</v>
      </c>
      <c r="U378" s="443">
        <v>0</v>
      </c>
      <c r="V378" s="282"/>
      <c r="W378" s="282"/>
      <c r="X378" s="282"/>
      <c r="Y378" s="27"/>
      <c r="Z378" s="27"/>
      <c r="AA378" s="27"/>
      <c r="AB378" s="27"/>
      <c r="AF378" s="84">
        <f t="shared" si="44"/>
        <v>1938760.5</v>
      </c>
    </row>
    <row r="379" spans="1:32" s="19" customFormat="1" ht="15.75">
      <c r="A379" s="430">
        <v>4</v>
      </c>
      <c r="B379" s="549" t="s">
        <v>418</v>
      </c>
      <c r="C379" s="439">
        <f>'часть 1'!L389</f>
        <v>1943688</v>
      </c>
      <c r="D379" s="439">
        <v>0</v>
      </c>
      <c r="E379" s="439">
        <v>0</v>
      </c>
      <c r="F379" s="439">
        <v>0</v>
      </c>
      <c r="G379" s="439">
        <v>0</v>
      </c>
      <c r="H379" s="439">
        <v>0</v>
      </c>
      <c r="I379" s="439">
        <v>0</v>
      </c>
      <c r="J379" s="439">
        <v>0</v>
      </c>
      <c r="K379" s="439">
        <v>0</v>
      </c>
      <c r="L379" s="440">
        <v>1</v>
      </c>
      <c r="M379" s="439">
        <v>1943688</v>
      </c>
      <c r="N379" s="439">
        <v>0</v>
      </c>
      <c r="O379" s="439">
        <v>0</v>
      </c>
      <c r="P379" s="442">
        <v>0</v>
      </c>
      <c r="Q379" s="439">
        <v>0</v>
      </c>
      <c r="R379" s="439">
        <v>0</v>
      </c>
      <c r="S379" s="439">
        <v>0</v>
      </c>
      <c r="T379" s="440">
        <v>0</v>
      </c>
      <c r="U379" s="443">
        <v>0</v>
      </c>
      <c r="V379" s="282"/>
      <c r="W379" s="282"/>
      <c r="X379" s="282"/>
      <c r="Y379" s="27"/>
      <c r="Z379" s="27"/>
      <c r="AA379" s="27"/>
      <c r="AB379" s="27"/>
      <c r="AF379" s="84">
        <f>M379/L379</f>
        <v>1943688</v>
      </c>
    </row>
    <row r="380" spans="1:32" s="19" customFormat="1" ht="15.75">
      <c r="A380" s="430">
        <v>5</v>
      </c>
      <c r="B380" s="549" t="s">
        <v>757</v>
      </c>
      <c r="C380" s="439">
        <f>'часть 1'!L390</f>
        <v>2656189</v>
      </c>
      <c r="D380" s="468">
        <v>0</v>
      </c>
      <c r="E380" s="468">
        <v>0</v>
      </c>
      <c r="F380" s="468">
        <v>0</v>
      </c>
      <c r="G380" s="468">
        <v>0</v>
      </c>
      <c r="H380" s="468">
        <v>0</v>
      </c>
      <c r="I380" s="468">
        <v>0</v>
      </c>
      <c r="J380" s="468">
        <v>0</v>
      </c>
      <c r="K380" s="435">
        <v>0</v>
      </c>
      <c r="L380" s="485">
        <v>0</v>
      </c>
      <c r="M380" s="468">
        <v>0</v>
      </c>
      <c r="N380" s="439">
        <v>1077</v>
      </c>
      <c r="O380" s="439">
        <v>2656189</v>
      </c>
      <c r="P380" s="442">
        <v>0</v>
      </c>
      <c r="Q380" s="439">
        <v>0</v>
      </c>
      <c r="R380" s="442">
        <v>0</v>
      </c>
      <c r="S380" s="439">
        <v>0</v>
      </c>
      <c r="T380" s="440">
        <v>0</v>
      </c>
      <c r="U380" s="443">
        <v>0</v>
      </c>
      <c r="V380" s="282"/>
      <c r="W380" s="282">
        <f>O380/N380</f>
        <v>2466.2850510677808</v>
      </c>
      <c r="X380" s="282"/>
      <c r="Y380" s="6"/>
      <c r="Z380" s="6"/>
      <c r="AA380" s="26"/>
      <c r="AB380" s="26"/>
    </row>
    <row r="381" spans="1:32" s="19" customFormat="1" ht="15.75">
      <c r="A381" s="430">
        <v>6</v>
      </c>
      <c r="B381" s="549" t="s">
        <v>758</v>
      </c>
      <c r="C381" s="439">
        <f>'часть 1'!L391</f>
        <v>2621402</v>
      </c>
      <c r="D381" s="468">
        <v>0</v>
      </c>
      <c r="E381" s="468">
        <v>0</v>
      </c>
      <c r="F381" s="468">
        <v>0</v>
      </c>
      <c r="G381" s="468">
        <v>0</v>
      </c>
      <c r="H381" s="468">
        <v>0</v>
      </c>
      <c r="I381" s="468">
        <v>0</v>
      </c>
      <c r="J381" s="468">
        <v>0</v>
      </c>
      <c r="K381" s="435">
        <v>0</v>
      </c>
      <c r="L381" s="485">
        <v>0</v>
      </c>
      <c r="M381" s="435">
        <v>0</v>
      </c>
      <c r="N381" s="439">
        <v>1060</v>
      </c>
      <c r="O381" s="439">
        <v>2621402</v>
      </c>
      <c r="P381" s="442">
        <v>0</v>
      </c>
      <c r="Q381" s="439">
        <v>0</v>
      </c>
      <c r="R381" s="442">
        <v>0</v>
      </c>
      <c r="S381" s="439">
        <v>0</v>
      </c>
      <c r="T381" s="440">
        <v>0</v>
      </c>
      <c r="U381" s="443">
        <v>0</v>
      </c>
      <c r="V381" s="282"/>
      <c r="W381" s="282">
        <f>O381/N381</f>
        <v>2473.0207547169812</v>
      </c>
      <c r="X381" s="282"/>
      <c r="Y381" s="6"/>
      <c r="Z381" s="6"/>
      <c r="AA381" s="26"/>
      <c r="AB381" s="26"/>
    </row>
    <row r="382" spans="1:32" s="19" customFormat="1" ht="15.75">
      <c r="A382" s="430">
        <v>7</v>
      </c>
      <c r="B382" s="549" t="s">
        <v>744</v>
      </c>
      <c r="C382" s="439">
        <f>'часть 1'!L392</f>
        <v>3471287</v>
      </c>
      <c r="D382" s="468">
        <v>0</v>
      </c>
      <c r="E382" s="468">
        <v>0</v>
      </c>
      <c r="F382" s="468">
        <v>0</v>
      </c>
      <c r="G382" s="468">
        <v>0</v>
      </c>
      <c r="H382" s="468">
        <v>0</v>
      </c>
      <c r="I382" s="468">
        <v>0</v>
      </c>
      <c r="J382" s="468">
        <v>0</v>
      </c>
      <c r="K382" s="435">
        <v>0</v>
      </c>
      <c r="L382" s="485">
        <v>0</v>
      </c>
      <c r="M382" s="468">
        <v>0</v>
      </c>
      <c r="N382" s="439">
        <v>1400</v>
      </c>
      <c r="O382" s="439">
        <v>3471287</v>
      </c>
      <c r="P382" s="442">
        <v>0</v>
      </c>
      <c r="Q382" s="439">
        <v>0</v>
      </c>
      <c r="R382" s="442">
        <v>0</v>
      </c>
      <c r="S382" s="439">
        <v>0</v>
      </c>
      <c r="T382" s="440">
        <v>0</v>
      </c>
      <c r="U382" s="443">
        <v>0</v>
      </c>
      <c r="V382" s="282"/>
      <c r="W382" s="282">
        <f>O382/N382</f>
        <v>2479.4907142857141</v>
      </c>
      <c r="X382" s="282"/>
      <c r="Y382" s="6"/>
      <c r="Z382" s="6"/>
      <c r="AA382" s="26"/>
      <c r="AB382" s="26"/>
    </row>
    <row r="383" spans="1:32" s="19" customFormat="1" ht="15.75">
      <c r="A383" s="430">
        <v>8</v>
      </c>
      <c r="B383" s="549" t="s">
        <v>745</v>
      </c>
      <c r="C383" s="439">
        <f>'часть 1'!L393</f>
        <v>3471167</v>
      </c>
      <c r="D383" s="439">
        <v>0</v>
      </c>
      <c r="E383" s="439">
        <v>0</v>
      </c>
      <c r="F383" s="439">
        <v>0</v>
      </c>
      <c r="G383" s="439">
        <v>0</v>
      </c>
      <c r="H383" s="439">
        <v>0</v>
      </c>
      <c r="I383" s="439">
        <v>0</v>
      </c>
      <c r="J383" s="439">
        <v>0</v>
      </c>
      <c r="K383" s="439">
        <v>0</v>
      </c>
      <c r="L383" s="440">
        <v>0</v>
      </c>
      <c r="M383" s="439">
        <v>0</v>
      </c>
      <c r="N383" s="439">
        <v>1400</v>
      </c>
      <c r="O383" s="439">
        <v>3471167</v>
      </c>
      <c r="P383" s="442">
        <v>0</v>
      </c>
      <c r="Q383" s="439">
        <v>0</v>
      </c>
      <c r="R383" s="439">
        <v>0</v>
      </c>
      <c r="S383" s="439">
        <v>0</v>
      </c>
      <c r="T383" s="440">
        <v>0</v>
      </c>
      <c r="U383" s="443">
        <v>0</v>
      </c>
      <c r="V383" s="282"/>
      <c r="W383" s="282">
        <f>O383/N383</f>
        <v>2479.4050000000002</v>
      </c>
      <c r="X383" s="282"/>
      <c r="Y383" s="27"/>
      <c r="Z383" s="27"/>
      <c r="AA383" s="27"/>
      <c r="AB383" s="27"/>
    </row>
    <row r="384" spans="1:32" s="19" customFormat="1" ht="15.75">
      <c r="A384" s="430">
        <v>9</v>
      </c>
      <c r="B384" s="549" t="s">
        <v>746</v>
      </c>
      <c r="C384" s="439">
        <f>'часть 1'!L394</f>
        <v>3891338</v>
      </c>
      <c r="D384" s="468">
        <v>0</v>
      </c>
      <c r="E384" s="468">
        <v>0</v>
      </c>
      <c r="F384" s="468">
        <v>0</v>
      </c>
      <c r="G384" s="468">
        <v>0</v>
      </c>
      <c r="H384" s="468">
        <v>0</v>
      </c>
      <c r="I384" s="468">
        <v>0</v>
      </c>
      <c r="J384" s="468">
        <v>0</v>
      </c>
      <c r="K384" s="435">
        <v>0</v>
      </c>
      <c r="L384" s="485">
        <v>2</v>
      </c>
      <c r="M384" s="441">
        <v>3891338</v>
      </c>
      <c r="N384" s="439">
        <v>0</v>
      </c>
      <c r="O384" s="439">
        <v>0</v>
      </c>
      <c r="P384" s="442">
        <v>0</v>
      </c>
      <c r="Q384" s="439">
        <v>0</v>
      </c>
      <c r="R384" s="442">
        <v>0</v>
      </c>
      <c r="S384" s="439">
        <v>0</v>
      </c>
      <c r="T384" s="440">
        <v>0</v>
      </c>
      <c r="U384" s="443">
        <v>0</v>
      </c>
      <c r="V384" s="282"/>
      <c r="W384" s="282"/>
      <c r="X384" s="282"/>
      <c r="Y384" s="6"/>
      <c r="Z384" s="6"/>
      <c r="AA384" s="26"/>
      <c r="AB384" s="26"/>
      <c r="AF384" s="84">
        <f>M384/L384</f>
        <v>1945669</v>
      </c>
    </row>
    <row r="385" spans="1:36" s="19" customFormat="1" ht="15.75">
      <c r="A385" s="430">
        <v>10</v>
      </c>
      <c r="B385" s="549" t="s">
        <v>747</v>
      </c>
      <c r="C385" s="439">
        <f>'часть 1'!L395</f>
        <v>1965577</v>
      </c>
      <c r="D385" s="468">
        <v>0</v>
      </c>
      <c r="E385" s="468">
        <v>0</v>
      </c>
      <c r="F385" s="468">
        <v>0</v>
      </c>
      <c r="G385" s="468">
        <v>0</v>
      </c>
      <c r="H385" s="468">
        <v>0</v>
      </c>
      <c r="I385" s="468">
        <v>0</v>
      </c>
      <c r="J385" s="468">
        <v>0</v>
      </c>
      <c r="K385" s="435">
        <v>0</v>
      </c>
      <c r="L385" s="485">
        <v>1</v>
      </c>
      <c r="M385" s="468">
        <v>1965577</v>
      </c>
      <c r="N385" s="439">
        <v>0</v>
      </c>
      <c r="O385" s="439">
        <v>0</v>
      </c>
      <c r="P385" s="442">
        <v>0</v>
      </c>
      <c r="Q385" s="439">
        <v>0</v>
      </c>
      <c r="R385" s="442">
        <v>0</v>
      </c>
      <c r="S385" s="439">
        <v>0</v>
      </c>
      <c r="T385" s="440">
        <v>0</v>
      </c>
      <c r="U385" s="443">
        <v>0</v>
      </c>
      <c r="V385" s="282"/>
      <c r="W385" s="282"/>
      <c r="X385" s="282"/>
      <c r="Y385" s="6"/>
      <c r="Z385" s="6"/>
      <c r="AA385" s="26"/>
      <c r="AB385" s="26"/>
      <c r="AF385" s="84">
        <f>M385/L385</f>
        <v>1965577</v>
      </c>
    </row>
    <row r="386" spans="1:36" s="19" customFormat="1">
      <c r="A386" s="430"/>
      <c r="B386" s="438"/>
      <c r="C386" s="468"/>
      <c r="D386" s="468"/>
      <c r="E386" s="468"/>
      <c r="F386" s="468"/>
      <c r="G386" s="468"/>
      <c r="H386" s="468"/>
      <c r="I386" s="468"/>
      <c r="J386" s="468"/>
      <c r="K386" s="435"/>
      <c r="L386" s="485"/>
      <c r="M386" s="435"/>
      <c r="N386" s="439"/>
      <c r="O386" s="439"/>
      <c r="P386" s="442"/>
      <c r="Q386" s="439"/>
      <c r="R386" s="442"/>
      <c r="S386" s="439"/>
      <c r="T386" s="440"/>
      <c r="U386" s="443"/>
      <c r="V386" s="282"/>
      <c r="W386" s="282"/>
      <c r="X386" s="282"/>
      <c r="Y386" s="6"/>
      <c r="Z386" s="6"/>
      <c r="AA386" s="26"/>
      <c r="AB386" s="26"/>
    </row>
    <row r="387" spans="1:36" s="19" customFormat="1">
      <c r="A387" s="430"/>
      <c r="B387" s="448"/>
      <c r="C387" s="468"/>
      <c r="D387" s="468"/>
      <c r="E387" s="468"/>
      <c r="F387" s="468"/>
      <c r="G387" s="468"/>
      <c r="H387" s="468"/>
      <c r="I387" s="468"/>
      <c r="J387" s="468"/>
      <c r="K387" s="468"/>
      <c r="L387" s="440"/>
      <c r="M387" s="439"/>
      <c r="N387" s="439"/>
      <c r="O387" s="439"/>
      <c r="P387" s="442"/>
      <c r="Q387" s="439"/>
      <c r="R387" s="442"/>
      <c r="S387" s="439"/>
      <c r="T387" s="440"/>
      <c r="U387" s="443"/>
      <c r="V387" s="282"/>
      <c r="W387" s="282"/>
      <c r="X387" s="282"/>
      <c r="Y387" s="27"/>
      <c r="Z387" s="27"/>
      <c r="AA387" s="27"/>
      <c r="AB387" s="27"/>
    </row>
    <row r="388" spans="1:36" s="19" customFormat="1">
      <c r="A388" s="430"/>
      <c r="B388" s="438"/>
      <c r="C388" s="468"/>
      <c r="D388" s="468"/>
      <c r="E388" s="468"/>
      <c r="F388" s="468"/>
      <c r="G388" s="468"/>
      <c r="H388" s="468"/>
      <c r="I388" s="468"/>
      <c r="J388" s="468"/>
      <c r="K388" s="435"/>
      <c r="L388" s="485"/>
      <c r="M388" s="435"/>
      <c r="N388" s="439"/>
      <c r="O388" s="439"/>
      <c r="P388" s="442"/>
      <c r="Q388" s="439"/>
      <c r="R388" s="442"/>
      <c r="S388" s="439"/>
      <c r="T388" s="440"/>
      <c r="U388" s="443"/>
      <c r="V388" s="282"/>
      <c r="W388" s="282"/>
      <c r="X388" s="282"/>
      <c r="Y388" s="6"/>
      <c r="Z388" s="6"/>
      <c r="AA388" s="26"/>
      <c r="AB388" s="26"/>
    </row>
    <row r="389" spans="1:36" s="19" customFormat="1">
      <c r="A389" s="430"/>
      <c r="B389" s="438"/>
      <c r="C389" s="468"/>
      <c r="D389" s="468"/>
      <c r="E389" s="468"/>
      <c r="F389" s="468"/>
      <c r="G389" s="468"/>
      <c r="H389" s="468"/>
      <c r="I389" s="468"/>
      <c r="J389" s="468"/>
      <c r="K389" s="435"/>
      <c r="L389" s="485"/>
      <c r="M389" s="468"/>
      <c r="N389" s="439"/>
      <c r="O389" s="439"/>
      <c r="P389" s="442"/>
      <c r="Q389" s="439"/>
      <c r="R389" s="442"/>
      <c r="S389" s="439"/>
      <c r="T389" s="440"/>
      <c r="U389" s="443"/>
      <c r="V389" s="282"/>
      <c r="W389" s="282"/>
      <c r="X389" s="282"/>
      <c r="Y389" s="6"/>
      <c r="Z389" s="6"/>
      <c r="AA389" s="26"/>
      <c r="AB389" s="26"/>
    </row>
    <row r="390" spans="1:36" s="19" customFormat="1">
      <c r="A390" s="430"/>
      <c r="B390" s="662"/>
      <c r="C390" s="439"/>
      <c r="D390" s="439"/>
      <c r="E390" s="439"/>
      <c r="F390" s="439"/>
      <c r="G390" s="439"/>
      <c r="H390" s="439"/>
      <c r="I390" s="439"/>
      <c r="J390" s="439"/>
      <c r="K390" s="439"/>
      <c r="L390" s="440"/>
      <c r="M390" s="439"/>
      <c r="N390" s="439"/>
      <c r="O390" s="439"/>
      <c r="P390" s="442"/>
      <c r="Q390" s="439"/>
      <c r="R390" s="439"/>
      <c r="S390" s="439"/>
      <c r="T390" s="440"/>
      <c r="U390" s="443"/>
      <c r="V390" s="282"/>
      <c r="W390" s="282"/>
      <c r="X390" s="282"/>
      <c r="Y390" s="27"/>
      <c r="Z390" s="27"/>
      <c r="AA390" s="27"/>
      <c r="AB390" s="27"/>
    </row>
    <row r="391" spans="1:36" s="19" customFormat="1" ht="30">
      <c r="A391" s="198"/>
      <c r="B391" s="235" t="s">
        <v>132</v>
      </c>
      <c r="C391" s="211">
        <f>C392+C393+C394</f>
        <v>5439639</v>
      </c>
      <c r="D391" s="211">
        <f t="shared" ref="D391:V391" si="45">D392+D393+D394</f>
        <v>0</v>
      </c>
      <c r="E391" s="211">
        <f t="shared" si="45"/>
        <v>0</v>
      </c>
      <c r="F391" s="211">
        <f t="shared" si="45"/>
        <v>0</v>
      </c>
      <c r="G391" s="211">
        <f t="shared" si="45"/>
        <v>0</v>
      </c>
      <c r="H391" s="211">
        <f t="shared" si="45"/>
        <v>0</v>
      </c>
      <c r="I391" s="211">
        <f t="shared" si="45"/>
        <v>0</v>
      </c>
      <c r="J391" s="211">
        <f t="shared" si="45"/>
        <v>0</v>
      </c>
      <c r="K391" s="211">
        <f t="shared" si="45"/>
        <v>0</v>
      </c>
      <c r="L391" s="211">
        <f t="shared" si="45"/>
        <v>0</v>
      </c>
      <c r="M391" s="211">
        <f t="shared" si="45"/>
        <v>0</v>
      </c>
      <c r="N391" s="211">
        <f t="shared" si="45"/>
        <v>1137.5</v>
      </c>
      <c r="O391" s="211">
        <f t="shared" si="45"/>
        <v>3582717</v>
      </c>
      <c r="P391" s="211">
        <f t="shared" si="45"/>
        <v>0</v>
      </c>
      <c r="Q391" s="211">
        <f t="shared" si="45"/>
        <v>0</v>
      </c>
      <c r="R391" s="211">
        <f t="shared" si="45"/>
        <v>1224.5</v>
      </c>
      <c r="S391" s="211">
        <f t="shared" si="45"/>
        <v>1856922</v>
      </c>
      <c r="T391" s="211">
        <f t="shared" si="45"/>
        <v>0</v>
      </c>
      <c r="U391" s="211">
        <f t="shared" si="45"/>
        <v>0</v>
      </c>
      <c r="V391" s="211">
        <f t="shared" si="45"/>
        <v>0</v>
      </c>
      <c r="W391" s="282"/>
      <c r="X391" s="282"/>
      <c r="Y391" s="27"/>
      <c r="Z391" s="27"/>
      <c r="AA391" s="27"/>
      <c r="AB391" s="27"/>
    </row>
    <row r="392" spans="1:36" s="19" customFormat="1" ht="31.5">
      <c r="A392" s="430"/>
      <c r="B392" s="654" t="s">
        <v>697</v>
      </c>
      <c r="C392" s="439">
        <f>'часть 1'!L398</f>
        <v>1207837</v>
      </c>
      <c r="D392" s="439">
        <v>0</v>
      </c>
      <c r="E392" s="439">
        <v>0</v>
      </c>
      <c r="F392" s="439">
        <v>0</v>
      </c>
      <c r="G392" s="439">
        <v>0</v>
      </c>
      <c r="H392" s="439">
        <v>0</v>
      </c>
      <c r="I392" s="439">
        <v>0</v>
      </c>
      <c r="J392" s="439">
        <v>0</v>
      </c>
      <c r="K392" s="439">
        <v>0</v>
      </c>
      <c r="L392" s="440">
        <v>0</v>
      </c>
      <c r="M392" s="439">
        <v>0</v>
      </c>
      <c r="N392" s="439">
        <v>0</v>
      </c>
      <c r="O392" s="439">
        <v>0</v>
      </c>
      <c r="P392" s="442">
        <v>0</v>
      </c>
      <c r="Q392" s="439">
        <v>0</v>
      </c>
      <c r="R392" s="439">
        <v>797.3</v>
      </c>
      <c r="S392" s="439">
        <v>1207837</v>
      </c>
      <c r="T392" s="440">
        <v>0</v>
      </c>
      <c r="U392" s="443">
        <v>0</v>
      </c>
      <c r="V392" s="282"/>
      <c r="W392" s="282"/>
      <c r="X392" s="282">
        <f>S392/R392</f>
        <v>1514.909068104854</v>
      </c>
      <c r="Y392" s="27"/>
      <c r="Z392" s="27"/>
      <c r="AA392" s="27"/>
      <c r="AB392" s="27"/>
    </row>
    <row r="393" spans="1:36" s="19" customFormat="1" ht="15.75">
      <c r="A393" s="430"/>
      <c r="B393" s="654" t="s">
        <v>698</v>
      </c>
      <c r="C393" s="439">
        <f>'часть 1'!L399</f>
        <v>1871260</v>
      </c>
      <c r="D393" s="439">
        <v>0</v>
      </c>
      <c r="E393" s="439">
        <v>0</v>
      </c>
      <c r="F393" s="439">
        <v>0</v>
      </c>
      <c r="G393" s="439">
        <v>0</v>
      </c>
      <c r="H393" s="439">
        <v>0</v>
      </c>
      <c r="I393" s="439">
        <v>0</v>
      </c>
      <c r="J393" s="439">
        <v>0</v>
      </c>
      <c r="K393" s="439">
        <v>0</v>
      </c>
      <c r="L393" s="440">
        <v>0</v>
      </c>
      <c r="M393" s="439">
        <v>0</v>
      </c>
      <c r="N393" s="439">
        <v>385.5</v>
      </c>
      <c r="O393" s="439">
        <v>1222175</v>
      </c>
      <c r="P393" s="442">
        <v>0</v>
      </c>
      <c r="Q393" s="439">
        <v>0</v>
      </c>
      <c r="R393" s="439">
        <v>427.2</v>
      </c>
      <c r="S393" s="439">
        <v>649085</v>
      </c>
      <c r="T393" s="440">
        <v>0</v>
      </c>
      <c r="U393" s="443">
        <v>0</v>
      </c>
      <c r="V393" s="282"/>
      <c r="W393" s="282">
        <f>O393/N393</f>
        <v>3170.3631647211414</v>
      </c>
      <c r="X393" s="282">
        <f>S393/R393</f>
        <v>1519.3937265917602</v>
      </c>
      <c r="Y393" s="27"/>
      <c r="Z393" s="27"/>
      <c r="AA393" s="27"/>
      <c r="AB393" s="27"/>
    </row>
    <row r="394" spans="1:36" s="19" customFormat="1" ht="31.5">
      <c r="A394" s="430"/>
      <c r="B394" s="654" t="s">
        <v>699</v>
      </c>
      <c r="C394" s="439">
        <f>'часть 1'!L400</f>
        <v>2360542</v>
      </c>
      <c r="D394" s="439">
        <v>0</v>
      </c>
      <c r="E394" s="439">
        <v>0</v>
      </c>
      <c r="F394" s="439">
        <v>0</v>
      </c>
      <c r="G394" s="439">
        <v>0</v>
      </c>
      <c r="H394" s="439">
        <v>0</v>
      </c>
      <c r="I394" s="439">
        <v>0</v>
      </c>
      <c r="J394" s="439">
        <v>0</v>
      </c>
      <c r="K394" s="439">
        <v>0</v>
      </c>
      <c r="L394" s="440">
        <v>0</v>
      </c>
      <c r="M394" s="439">
        <v>0</v>
      </c>
      <c r="N394" s="439">
        <v>752</v>
      </c>
      <c r="O394" s="439">
        <v>2360542</v>
      </c>
      <c r="P394" s="442">
        <v>0</v>
      </c>
      <c r="Q394" s="439">
        <v>0</v>
      </c>
      <c r="R394" s="439">
        <v>0</v>
      </c>
      <c r="S394" s="439">
        <v>0</v>
      </c>
      <c r="T394" s="440">
        <v>0</v>
      </c>
      <c r="U394" s="443">
        <v>0</v>
      </c>
      <c r="V394" s="282"/>
      <c r="W394" s="282">
        <f>O394/N394</f>
        <v>3139.0186170212764</v>
      </c>
      <c r="X394" s="282"/>
      <c r="Y394" s="27"/>
      <c r="Z394" s="27"/>
      <c r="AA394" s="27"/>
      <c r="AB394" s="27"/>
    </row>
    <row r="395" spans="1:36" ht="30">
      <c r="A395" s="198"/>
      <c r="B395" s="214" t="s">
        <v>593</v>
      </c>
      <c r="C395" s="211">
        <v>2543251</v>
      </c>
      <c r="D395" s="211"/>
      <c r="E395" s="211"/>
      <c r="F395" s="211"/>
      <c r="G395" s="211"/>
      <c r="H395" s="211"/>
      <c r="I395" s="211"/>
      <c r="J395" s="211"/>
      <c r="K395" s="211">
        <v>0</v>
      </c>
      <c r="L395" s="212">
        <v>0</v>
      </c>
      <c r="M395" s="211">
        <v>0</v>
      </c>
      <c r="N395" s="211">
        <v>1290.4000000000001</v>
      </c>
      <c r="O395" s="211">
        <v>2543251</v>
      </c>
      <c r="P395" s="213">
        <v>0</v>
      </c>
      <c r="Q395" s="211">
        <v>0</v>
      </c>
      <c r="R395" s="213">
        <v>0</v>
      </c>
      <c r="S395" s="211">
        <v>0</v>
      </c>
      <c r="T395" s="212">
        <v>0</v>
      </c>
      <c r="U395" s="290">
        <v>0</v>
      </c>
      <c r="V395" s="282"/>
      <c r="W395" s="282"/>
      <c r="X395" s="282"/>
      <c r="Y395" s="10"/>
      <c r="Z395" s="10"/>
      <c r="AA395" s="10"/>
      <c r="AB395" s="10"/>
    </row>
    <row r="396" spans="1:36">
      <c r="A396" s="430">
        <v>331</v>
      </c>
      <c r="B396" s="438" t="s">
        <v>594</v>
      </c>
      <c r="C396" s="439">
        <v>2543251</v>
      </c>
      <c r="D396" s="439"/>
      <c r="E396" s="439"/>
      <c r="F396" s="439"/>
      <c r="G396" s="439"/>
      <c r="H396" s="439"/>
      <c r="I396" s="439"/>
      <c r="J396" s="439"/>
      <c r="K396" s="439">
        <v>0</v>
      </c>
      <c r="L396" s="440">
        <v>0</v>
      </c>
      <c r="M396" s="439">
        <v>0</v>
      </c>
      <c r="N396" s="439">
        <v>1290.4000000000001</v>
      </c>
      <c r="O396" s="439">
        <v>2543251</v>
      </c>
      <c r="P396" s="442">
        <v>0</v>
      </c>
      <c r="Q396" s="439">
        <v>0</v>
      </c>
      <c r="R396" s="442">
        <v>0</v>
      </c>
      <c r="S396" s="439">
        <v>0</v>
      </c>
      <c r="T396" s="440">
        <v>0</v>
      </c>
      <c r="U396" s="443">
        <v>0</v>
      </c>
      <c r="V396" s="282"/>
      <c r="W396" s="282"/>
      <c r="X396" s="282"/>
      <c r="Y396" s="10"/>
      <c r="Z396" s="10"/>
      <c r="AA396" s="10"/>
      <c r="AB396" s="10"/>
    </row>
    <row r="397" spans="1:36" ht="30">
      <c r="A397" s="198"/>
      <c r="B397" s="214" t="s">
        <v>110</v>
      </c>
      <c r="C397" s="211">
        <f>C398</f>
        <v>2476043</v>
      </c>
      <c r="D397" s="211">
        <f t="shared" ref="D397:U397" si="46">D398</f>
        <v>0</v>
      </c>
      <c r="E397" s="211">
        <f t="shared" si="46"/>
        <v>0</v>
      </c>
      <c r="F397" s="211">
        <f t="shared" si="46"/>
        <v>0</v>
      </c>
      <c r="G397" s="211">
        <f t="shared" si="46"/>
        <v>0</v>
      </c>
      <c r="H397" s="211">
        <f t="shared" si="46"/>
        <v>0</v>
      </c>
      <c r="I397" s="211">
        <f t="shared" si="46"/>
        <v>0</v>
      </c>
      <c r="J397" s="211">
        <f t="shared" si="46"/>
        <v>0</v>
      </c>
      <c r="K397" s="211">
        <f t="shared" si="46"/>
        <v>0</v>
      </c>
      <c r="L397" s="211">
        <f t="shared" si="46"/>
        <v>0</v>
      </c>
      <c r="M397" s="211">
        <f t="shared" si="46"/>
        <v>0</v>
      </c>
      <c r="N397" s="211">
        <f t="shared" si="46"/>
        <v>783</v>
      </c>
      <c r="O397" s="211">
        <f t="shared" si="46"/>
        <v>2476043</v>
      </c>
      <c r="P397" s="211">
        <f t="shared" si="46"/>
        <v>0</v>
      </c>
      <c r="Q397" s="211">
        <f t="shared" si="46"/>
        <v>0</v>
      </c>
      <c r="R397" s="211">
        <f t="shared" si="46"/>
        <v>0</v>
      </c>
      <c r="S397" s="211">
        <f t="shared" si="46"/>
        <v>0</v>
      </c>
      <c r="T397" s="211">
        <f t="shared" si="46"/>
        <v>0</v>
      </c>
      <c r="U397" s="211">
        <f t="shared" si="46"/>
        <v>0</v>
      </c>
      <c r="V397" s="282"/>
      <c r="W397" s="282"/>
      <c r="X397" s="282"/>
      <c r="Y397" s="10"/>
      <c r="Z397" s="10"/>
      <c r="AA397" s="10"/>
      <c r="AB397" s="10"/>
    </row>
    <row r="398" spans="1:36">
      <c r="A398" s="430">
        <v>332</v>
      </c>
      <c r="B398" s="465" t="s">
        <v>472</v>
      </c>
      <c r="C398" s="439">
        <v>2476043</v>
      </c>
      <c r="D398" s="439">
        <v>0</v>
      </c>
      <c r="E398" s="439">
        <v>0</v>
      </c>
      <c r="F398" s="439">
        <v>0</v>
      </c>
      <c r="G398" s="439">
        <v>0</v>
      </c>
      <c r="H398" s="439">
        <v>0</v>
      </c>
      <c r="I398" s="439">
        <v>0</v>
      </c>
      <c r="J398" s="439">
        <v>0</v>
      </c>
      <c r="K398" s="439">
        <v>0</v>
      </c>
      <c r="L398" s="440">
        <v>0</v>
      </c>
      <c r="M398" s="439">
        <v>0</v>
      </c>
      <c r="N398" s="441">
        <v>783</v>
      </c>
      <c r="O398" s="439">
        <v>2476043</v>
      </c>
      <c r="P398" s="442">
        <v>0</v>
      </c>
      <c r="Q398" s="439">
        <v>0</v>
      </c>
      <c r="R398" s="442">
        <v>0</v>
      </c>
      <c r="S398" s="439">
        <v>0</v>
      </c>
      <c r="T398" s="440">
        <v>0</v>
      </c>
      <c r="U398" s="443">
        <v>0</v>
      </c>
      <c r="V398" s="436"/>
      <c r="W398" s="436">
        <f>O398/N398</f>
        <v>3162.2515964240101</v>
      </c>
      <c r="X398" s="43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</row>
    <row r="399" spans="1:36">
      <c r="A399" s="430"/>
      <c r="B399" s="438"/>
      <c r="C399" s="439"/>
      <c r="D399" s="439"/>
      <c r="E399" s="439"/>
      <c r="F399" s="439"/>
      <c r="G399" s="439"/>
      <c r="H399" s="439"/>
      <c r="I399" s="439"/>
      <c r="J399" s="439"/>
      <c r="K399" s="439"/>
      <c r="L399" s="440"/>
      <c r="M399" s="439"/>
      <c r="N399" s="439"/>
      <c r="O399" s="439"/>
      <c r="P399" s="442"/>
      <c r="Q399" s="439"/>
      <c r="R399" s="442"/>
      <c r="S399" s="439"/>
      <c r="T399" s="440"/>
      <c r="U399" s="443"/>
      <c r="V399" s="436"/>
      <c r="W399" s="436"/>
      <c r="X399" s="43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</row>
    <row r="400" spans="1:36" ht="30">
      <c r="A400" s="430"/>
      <c r="B400" s="438" t="s">
        <v>128</v>
      </c>
      <c r="C400" s="439">
        <f>C401+C402+C403+C404</f>
        <v>11027716</v>
      </c>
      <c r="D400" s="439">
        <f t="shared" ref="D400:V400" si="47">D401+D402+D403+D404</f>
        <v>0</v>
      </c>
      <c r="E400" s="439">
        <f t="shared" si="47"/>
        <v>0</v>
      </c>
      <c r="F400" s="439">
        <f t="shared" si="47"/>
        <v>0</v>
      </c>
      <c r="G400" s="439">
        <f t="shared" si="47"/>
        <v>0</v>
      </c>
      <c r="H400" s="439">
        <f t="shared" si="47"/>
        <v>0</v>
      </c>
      <c r="I400" s="439">
        <f t="shared" si="47"/>
        <v>0</v>
      </c>
      <c r="J400" s="439">
        <f t="shared" si="47"/>
        <v>0</v>
      </c>
      <c r="K400" s="439">
        <f t="shared" si="47"/>
        <v>0</v>
      </c>
      <c r="L400" s="439">
        <f t="shared" si="47"/>
        <v>0</v>
      </c>
      <c r="M400" s="439">
        <f t="shared" si="47"/>
        <v>0</v>
      </c>
      <c r="N400" s="439">
        <f t="shared" si="47"/>
        <v>4318.6000000000004</v>
      </c>
      <c r="O400" s="439">
        <f t="shared" si="47"/>
        <v>11027716</v>
      </c>
      <c r="P400" s="439">
        <f t="shared" si="47"/>
        <v>0</v>
      </c>
      <c r="Q400" s="439">
        <f t="shared" si="47"/>
        <v>0</v>
      </c>
      <c r="R400" s="439">
        <f t="shared" si="47"/>
        <v>0</v>
      </c>
      <c r="S400" s="439">
        <f t="shared" si="47"/>
        <v>0</v>
      </c>
      <c r="T400" s="439">
        <f t="shared" si="47"/>
        <v>0</v>
      </c>
      <c r="U400" s="439">
        <f t="shared" si="47"/>
        <v>0</v>
      </c>
      <c r="V400" s="211">
        <f t="shared" si="47"/>
        <v>0</v>
      </c>
      <c r="W400" s="282"/>
      <c r="X400" s="282"/>
    </row>
    <row r="401" spans="1:24" s="59" customFormat="1">
      <c r="A401" s="430">
        <v>334</v>
      </c>
      <c r="B401" s="467" t="s">
        <v>721</v>
      </c>
      <c r="C401" s="468">
        <f>'часть 1'!L406</f>
        <v>2009466</v>
      </c>
      <c r="D401" s="468">
        <f>E401+F401+G401+H401+I401+J401+K401</f>
        <v>0</v>
      </c>
      <c r="E401" s="468">
        <v>0</v>
      </c>
      <c r="F401" s="468">
        <v>0</v>
      </c>
      <c r="G401" s="468">
        <v>0</v>
      </c>
      <c r="H401" s="468">
        <v>0</v>
      </c>
      <c r="I401" s="468">
        <v>0</v>
      </c>
      <c r="J401" s="468">
        <v>0</v>
      </c>
      <c r="K401" s="468">
        <v>0</v>
      </c>
      <c r="L401" s="469">
        <v>0</v>
      </c>
      <c r="M401" s="468">
        <v>0</v>
      </c>
      <c r="N401" s="441">
        <v>811</v>
      </c>
      <c r="O401" s="468">
        <v>2009466</v>
      </c>
      <c r="P401" s="469">
        <v>0</v>
      </c>
      <c r="Q401" s="468">
        <v>0</v>
      </c>
      <c r="R401" s="469">
        <v>0</v>
      </c>
      <c r="S401" s="468">
        <v>0</v>
      </c>
      <c r="T401" s="638">
        <v>0</v>
      </c>
      <c r="U401" s="639">
        <v>0</v>
      </c>
      <c r="V401" s="282"/>
      <c r="W401" s="282">
        <f>O401/N401</f>
        <v>2477.7632552404439</v>
      </c>
      <c r="X401" s="282"/>
    </row>
    <row r="402" spans="1:24" s="59" customFormat="1">
      <c r="A402" s="430">
        <v>335</v>
      </c>
      <c r="B402" s="467" t="s">
        <v>722</v>
      </c>
      <c r="C402" s="468">
        <f>'часть 1'!L407</f>
        <v>1709729</v>
      </c>
      <c r="D402" s="468">
        <f t="shared" ref="D402:D404" si="48">E402+F402+G402+H402+I402+J402+K402</f>
        <v>0</v>
      </c>
      <c r="E402" s="468">
        <v>0</v>
      </c>
      <c r="F402" s="468">
        <v>0</v>
      </c>
      <c r="G402" s="468">
        <v>0</v>
      </c>
      <c r="H402" s="468">
        <v>0</v>
      </c>
      <c r="I402" s="468">
        <v>0</v>
      </c>
      <c r="J402" s="468">
        <v>0</v>
      </c>
      <c r="K402" s="468">
        <v>0</v>
      </c>
      <c r="L402" s="469">
        <v>0</v>
      </c>
      <c r="M402" s="468">
        <v>0</v>
      </c>
      <c r="N402" s="441">
        <v>543</v>
      </c>
      <c r="O402" s="468">
        <v>1709729</v>
      </c>
      <c r="P402" s="469">
        <v>0</v>
      </c>
      <c r="Q402" s="468">
        <v>0</v>
      </c>
      <c r="R402" s="469">
        <v>0</v>
      </c>
      <c r="S402" s="468">
        <v>0</v>
      </c>
      <c r="T402" s="638">
        <v>0</v>
      </c>
      <c r="U402" s="639">
        <v>0</v>
      </c>
      <c r="V402" s="282"/>
      <c r="W402" s="282">
        <f t="shared" ref="W402:W404" si="49">O402/N402</f>
        <v>3148.6721915285452</v>
      </c>
      <c r="X402" s="282"/>
    </row>
    <row r="403" spans="1:24" s="59" customFormat="1">
      <c r="A403" s="430">
        <v>336</v>
      </c>
      <c r="B403" s="467" t="s">
        <v>723</v>
      </c>
      <c r="C403" s="468">
        <f>'часть 1'!L408</f>
        <v>4267870</v>
      </c>
      <c r="D403" s="468">
        <f t="shared" si="48"/>
        <v>0</v>
      </c>
      <c r="E403" s="468">
        <v>0</v>
      </c>
      <c r="F403" s="468">
        <v>0</v>
      </c>
      <c r="G403" s="468">
        <v>0</v>
      </c>
      <c r="H403" s="468">
        <v>0</v>
      </c>
      <c r="I403" s="468">
        <v>0</v>
      </c>
      <c r="J403" s="468">
        <v>0</v>
      </c>
      <c r="K403" s="468">
        <v>0</v>
      </c>
      <c r="L403" s="469">
        <v>0</v>
      </c>
      <c r="M403" s="468">
        <v>0</v>
      </c>
      <c r="N403" s="441">
        <v>1732.6</v>
      </c>
      <c r="O403" s="468">
        <v>4267870</v>
      </c>
      <c r="P403" s="469">
        <v>0</v>
      </c>
      <c r="Q403" s="468">
        <v>0</v>
      </c>
      <c r="R403" s="469">
        <v>0</v>
      </c>
      <c r="S403" s="468">
        <v>0</v>
      </c>
      <c r="T403" s="638">
        <v>0</v>
      </c>
      <c r="U403" s="639">
        <v>0</v>
      </c>
      <c r="V403" s="282"/>
      <c r="W403" s="282">
        <f t="shared" si="49"/>
        <v>2463.2748470506754</v>
      </c>
      <c r="X403" s="282"/>
    </row>
    <row r="404" spans="1:24" s="59" customFormat="1">
      <c r="A404" s="430">
        <v>337</v>
      </c>
      <c r="B404" s="467" t="s">
        <v>724</v>
      </c>
      <c r="C404" s="468">
        <f>'часть 1'!L409</f>
        <v>3040651</v>
      </c>
      <c r="D404" s="468">
        <f t="shared" si="48"/>
        <v>0</v>
      </c>
      <c r="E404" s="468">
        <v>0</v>
      </c>
      <c r="F404" s="468">
        <v>0</v>
      </c>
      <c r="G404" s="468">
        <v>0</v>
      </c>
      <c r="H404" s="468">
        <v>0</v>
      </c>
      <c r="I404" s="468">
        <v>0</v>
      </c>
      <c r="J404" s="468">
        <v>0</v>
      </c>
      <c r="K404" s="468">
        <v>0</v>
      </c>
      <c r="L404" s="469">
        <v>0</v>
      </c>
      <c r="M404" s="468">
        <v>0</v>
      </c>
      <c r="N404" s="441">
        <v>1232</v>
      </c>
      <c r="O404" s="468">
        <v>3040651</v>
      </c>
      <c r="P404" s="469">
        <v>0</v>
      </c>
      <c r="Q404" s="468">
        <v>0</v>
      </c>
      <c r="R404" s="469">
        <v>0</v>
      </c>
      <c r="S404" s="468">
        <v>0</v>
      </c>
      <c r="T404" s="638">
        <v>0</v>
      </c>
      <c r="U404" s="639">
        <v>0</v>
      </c>
      <c r="V404" s="282"/>
      <c r="W404" s="282">
        <f t="shared" si="49"/>
        <v>2468.0608766233768</v>
      </c>
      <c r="X404" s="282"/>
    </row>
    <row r="405" spans="1:24" s="59" customFormat="1">
      <c r="A405" s="430"/>
      <c r="B405" s="467"/>
      <c r="C405" s="468"/>
      <c r="D405" s="468"/>
      <c r="E405" s="468"/>
      <c r="F405" s="468"/>
      <c r="G405" s="468"/>
      <c r="H405" s="468"/>
      <c r="I405" s="468"/>
      <c r="J405" s="468"/>
      <c r="K405" s="468"/>
      <c r="L405" s="469"/>
      <c r="M405" s="468"/>
      <c r="N405" s="441"/>
      <c r="O405" s="468"/>
      <c r="P405" s="469"/>
      <c r="Q405" s="468"/>
      <c r="R405" s="469"/>
      <c r="S405" s="468"/>
      <c r="T405" s="638"/>
      <c r="U405" s="639"/>
      <c r="V405" s="282"/>
      <c r="W405" s="282"/>
      <c r="X405" s="282"/>
    </row>
    <row r="406" spans="1:24" s="59" customFormat="1">
      <c r="A406" s="430"/>
      <c r="B406" s="467"/>
      <c r="C406" s="468"/>
      <c r="D406" s="468"/>
      <c r="E406" s="468"/>
      <c r="F406" s="468"/>
      <c r="G406" s="468"/>
      <c r="H406" s="468"/>
      <c r="I406" s="468"/>
      <c r="J406" s="468"/>
      <c r="K406" s="468"/>
      <c r="L406" s="469"/>
      <c r="M406" s="468"/>
      <c r="N406" s="441"/>
      <c r="O406" s="468"/>
      <c r="P406" s="469"/>
      <c r="Q406" s="468"/>
      <c r="R406" s="469"/>
      <c r="S406" s="468"/>
      <c r="T406" s="638"/>
      <c r="U406" s="639"/>
      <c r="V406" s="282"/>
      <c r="W406" s="282"/>
      <c r="X406" s="282"/>
    </row>
    <row r="407" spans="1:24" s="59" customFormat="1" ht="30">
      <c r="A407" s="430"/>
      <c r="B407" s="467" t="s">
        <v>668</v>
      </c>
      <c r="C407" s="468">
        <f>C408+C409</f>
        <v>4521219</v>
      </c>
      <c r="D407" s="468">
        <f t="shared" ref="D407:U407" si="50">D408+D409</f>
        <v>0</v>
      </c>
      <c r="E407" s="468">
        <f t="shared" si="50"/>
        <v>0</v>
      </c>
      <c r="F407" s="468">
        <f t="shared" si="50"/>
        <v>0</v>
      </c>
      <c r="G407" s="468">
        <f t="shared" si="50"/>
        <v>0</v>
      </c>
      <c r="H407" s="468">
        <f t="shared" si="50"/>
        <v>0</v>
      </c>
      <c r="I407" s="468">
        <f t="shared" si="50"/>
        <v>0</v>
      </c>
      <c r="J407" s="468">
        <f t="shared" si="50"/>
        <v>0</v>
      </c>
      <c r="K407" s="468">
        <f t="shared" si="50"/>
        <v>0</v>
      </c>
      <c r="L407" s="468">
        <f t="shared" si="50"/>
        <v>0</v>
      </c>
      <c r="M407" s="468">
        <f t="shared" si="50"/>
        <v>0</v>
      </c>
      <c r="N407" s="468">
        <f t="shared" si="50"/>
        <v>1683.3</v>
      </c>
      <c r="O407" s="468">
        <f t="shared" si="50"/>
        <v>4521219</v>
      </c>
      <c r="P407" s="468">
        <f t="shared" si="50"/>
        <v>0</v>
      </c>
      <c r="Q407" s="468">
        <f t="shared" si="50"/>
        <v>0</v>
      </c>
      <c r="R407" s="468">
        <f t="shared" si="50"/>
        <v>0</v>
      </c>
      <c r="S407" s="468">
        <f t="shared" si="50"/>
        <v>0</v>
      </c>
      <c r="T407" s="468">
        <f t="shared" si="50"/>
        <v>0</v>
      </c>
      <c r="U407" s="468">
        <f t="shared" si="50"/>
        <v>0</v>
      </c>
      <c r="V407" s="282"/>
      <c r="W407" s="282"/>
      <c r="X407" s="282"/>
    </row>
    <row r="408" spans="1:24" s="59" customFormat="1">
      <c r="A408" s="430"/>
      <c r="B408" s="467" t="s">
        <v>669</v>
      </c>
      <c r="C408" s="468">
        <v>2857112</v>
      </c>
      <c r="D408" s="468">
        <v>0</v>
      </c>
      <c r="E408" s="468">
        <v>0</v>
      </c>
      <c r="F408" s="468">
        <v>0</v>
      </c>
      <c r="G408" s="468">
        <v>0</v>
      </c>
      <c r="H408" s="468">
        <v>0</v>
      </c>
      <c r="I408" s="468">
        <v>0</v>
      </c>
      <c r="J408" s="468">
        <v>0</v>
      </c>
      <c r="K408" s="468">
        <v>0</v>
      </c>
      <c r="L408" s="469">
        <v>0</v>
      </c>
      <c r="M408" s="468">
        <v>0</v>
      </c>
      <c r="N408" s="441">
        <v>1156</v>
      </c>
      <c r="O408" s="468">
        <v>2857112</v>
      </c>
      <c r="P408" s="469">
        <v>0</v>
      </c>
      <c r="Q408" s="468">
        <v>0</v>
      </c>
      <c r="R408" s="469">
        <v>0</v>
      </c>
      <c r="S408" s="468">
        <v>0</v>
      </c>
      <c r="T408" s="638">
        <v>0</v>
      </c>
      <c r="U408" s="639">
        <v>0</v>
      </c>
      <c r="V408" s="282"/>
      <c r="W408" s="282">
        <f>O408/N408</f>
        <v>2471.5501730103806</v>
      </c>
      <c r="X408" s="282"/>
    </row>
    <row r="409" spans="1:24" s="59" customFormat="1">
      <c r="A409" s="430"/>
      <c r="B409" s="467" t="s">
        <v>670</v>
      </c>
      <c r="C409" s="468">
        <v>1664107</v>
      </c>
      <c r="D409" s="468">
        <v>0</v>
      </c>
      <c r="E409" s="468">
        <v>0</v>
      </c>
      <c r="F409" s="468">
        <v>0</v>
      </c>
      <c r="G409" s="468">
        <v>0</v>
      </c>
      <c r="H409" s="468">
        <v>0</v>
      </c>
      <c r="I409" s="468">
        <v>0</v>
      </c>
      <c r="J409" s="468">
        <v>0</v>
      </c>
      <c r="K409" s="468">
        <v>0</v>
      </c>
      <c r="L409" s="469">
        <v>0</v>
      </c>
      <c r="M409" s="468">
        <v>0</v>
      </c>
      <c r="N409" s="441">
        <v>527.29999999999995</v>
      </c>
      <c r="O409" s="468">
        <v>1664107</v>
      </c>
      <c r="P409" s="469">
        <v>0</v>
      </c>
      <c r="Q409" s="468">
        <v>0</v>
      </c>
      <c r="R409" s="469">
        <v>0</v>
      </c>
      <c r="S409" s="468">
        <v>0</v>
      </c>
      <c r="T409" s="638">
        <v>0</v>
      </c>
      <c r="U409" s="639">
        <v>0</v>
      </c>
      <c r="V409" s="282"/>
      <c r="W409" s="282">
        <f>O409/N409</f>
        <v>3155.9017637018778</v>
      </c>
      <c r="X409" s="282"/>
    </row>
    <row r="410" spans="1:24" ht="30">
      <c r="A410" s="198"/>
      <c r="B410" s="214" t="s">
        <v>994</v>
      </c>
      <c r="C410" s="211">
        <f>C411</f>
        <v>1540610</v>
      </c>
      <c r="D410" s="211">
        <f t="shared" ref="D410:U410" si="51">D411</f>
        <v>0</v>
      </c>
      <c r="E410" s="211">
        <f t="shared" si="51"/>
        <v>0</v>
      </c>
      <c r="F410" s="211">
        <f t="shared" si="51"/>
        <v>0</v>
      </c>
      <c r="G410" s="211">
        <f t="shared" si="51"/>
        <v>0</v>
      </c>
      <c r="H410" s="211">
        <f t="shared" si="51"/>
        <v>0</v>
      </c>
      <c r="I410" s="211">
        <f t="shared" si="51"/>
        <v>0</v>
      </c>
      <c r="J410" s="211">
        <f t="shared" si="51"/>
        <v>0</v>
      </c>
      <c r="K410" s="211">
        <f t="shared" si="51"/>
        <v>0</v>
      </c>
      <c r="L410" s="211">
        <f t="shared" si="51"/>
        <v>0</v>
      </c>
      <c r="M410" s="211">
        <f t="shared" si="51"/>
        <v>0</v>
      </c>
      <c r="N410" s="211">
        <f t="shared" si="51"/>
        <v>625.9</v>
      </c>
      <c r="O410" s="211">
        <f t="shared" si="51"/>
        <v>1540610</v>
      </c>
      <c r="P410" s="211">
        <f t="shared" si="51"/>
        <v>0</v>
      </c>
      <c r="Q410" s="211">
        <f t="shared" si="51"/>
        <v>0</v>
      </c>
      <c r="R410" s="211">
        <f t="shared" si="51"/>
        <v>0</v>
      </c>
      <c r="S410" s="211">
        <f t="shared" si="51"/>
        <v>0</v>
      </c>
      <c r="T410" s="211">
        <f t="shared" si="51"/>
        <v>0</v>
      </c>
      <c r="U410" s="211">
        <f t="shared" si="51"/>
        <v>0</v>
      </c>
      <c r="V410" s="282"/>
      <c r="W410" s="282"/>
      <c r="X410" s="282"/>
    </row>
    <row r="411" spans="1:24" ht="34.9" customHeight="1">
      <c r="A411" s="198">
        <v>340</v>
      </c>
      <c r="B411" s="943" t="s">
        <v>995</v>
      </c>
      <c r="C411" s="211">
        <f>'часть 1'!L416</f>
        <v>1540610</v>
      </c>
      <c r="D411" s="211">
        <v>0</v>
      </c>
      <c r="E411" s="211">
        <v>0</v>
      </c>
      <c r="F411" s="211">
        <v>0</v>
      </c>
      <c r="G411" s="211">
        <v>0</v>
      </c>
      <c r="H411" s="211">
        <v>0</v>
      </c>
      <c r="I411" s="211">
        <v>0</v>
      </c>
      <c r="J411" s="211">
        <v>0</v>
      </c>
      <c r="K411" s="211">
        <v>0</v>
      </c>
      <c r="L411" s="212">
        <v>0</v>
      </c>
      <c r="M411" s="211">
        <v>0</v>
      </c>
      <c r="N411" s="211">
        <v>625.9</v>
      </c>
      <c r="O411" s="211">
        <v>1540610</v>
      </c>
      <c r="P411" s="213">
        <v>0</v>
      </c>
      <c r="Q411" s="211">
        <v>0</v>
      </c>
      <c r="R411" s="211">
        <v>0</v>
      </c>
      <c r="S411" s="211">
        <v>0</v>
      </c>
      <c r="T411" s="212">
        <v>0</v>
      </c>
      <c r="U411" s="290">
        <v>0</v>
      </c>
      <c r="V411" s="282"/>
      <c r="W411" s="282">
        <f>O411/N411</f>
        <v>2461.4315385844384</v>
      </c>
      <c r="X411" s="282"/>
    </row>
    <row r="412" spans="1:24" ht="30">
      <c r="A412" s="198"/>
      <c r="B412" s="214" t="s">
        <v>111</v>
      </c>
      <c r="C412" s="211">
        <v>657835.92000000004</v>
      </c>
      <c r="D412" s="211"/>
      <c r="E412" s="211"/>
      <c r="F412" s="211"/>
      <c r="G412" s="211"/>
      <c r="H412" s="211"/>
      <c r="I412" s="211"/>
      <c r="J412" s="211"/>
      <c r="K412" s="211">
        <v>0</v>
      </c>
      <c r="L412" s="213">
        <v>0</v>
      </c>
      <c r="M412" s="211">
        <v>0</v>
      </c>
      <c r="N412" s="211">
        <f>N413</f>
        <v>396</v>
      </c>
      <c r="O412" s="211">
        <v>657835.92000000004</v>
      </c>
      <c r="P412" s="213">
        <v>0</v>
      </c>
      <c r="Q412" s="240">
        <v>0</v>
      </c>
      <c r="R412" s="213">
        <v>0</v>
      </c>
      <c r="S412" s="240">
        <v>0</v>
      </c>
      <c r="T412" s="212">
        <v>0</v>
      </c>
      <c r="U412" s="293">
        <v>0</v>
      </c>
      <c r="V412" s="282"/>
      <c r="W412" s="282"/>
      <c r="X412" s="282"/>
    </row>
    <row r="413" spans="1:24" ht="30">
      <c r="A413" s="198">
        <v>341</v>
      </c>
      <c r="B413" s="214" t="s">
        <v>453</v>
      </c>
      <c r="C413" s="211">
        <v>657835.92000000004</v>
      </c>
      <c r="D413" s="211"/>
      <c r="E413" s="211"/>
      <c r="F413" s="211"/>
      <c r="G413" s="211"/>
      <c r="H413" s="211"/>
      <c r="I413" s="211"/>
      <c r="J413" s="211"/>
      <c r="K413" s="211">
        <v>0</v>
      </c>
      <c r="L413" s="212">
        <v>0</v>
      </c>
      <c r="M413" s="211">
        <v>0</v>
      </c>
      <c r="N413" s="199">
        <v>396</v>
      </c>
      <c r="O413" s="211">
        <v>657835.92000000004</v>
      </c>
      <c r="P413" s="213">
        <v>0</v>
      </c>
      <c r="Q413" s="211">
        <v>0</v>
      </c>
      <c r="R413" s="213">
        <v>0</v>
      </c>
      <c r="S413" s="211">
        <v>0</v>
      </c>
      <c r="T413" s="212">
        <v>0</v>
      </c>
      <c r="U413" s="290">
        <v>0</v>
      </c>
      <c r="V413" s="282"/>
      <c r="W413" s="282"/>
      <c r="X413" s="282"/>
    </row>
    <row r="414" spans="1:24" ht="30">
      <c r="A414" s="430"/>
      <c r="B414" s="438" t="s">
        <v>129</v>
      </c>
      <c r="C414" s="439">
        <f>C415+C416</f>
        <v>1473433</v>
      </c>
      <c r="D414" s="439">
        <f t="shared" ref="D414:V414" si="52">D415+D416</f>
        <v>0</v>
      </c>
      <c r="E414" s="439">
        <f t="shared" si="52"/>
        <v>0</v>
      </c>
      <c r="F414" s="439">
        <f t="shared" si="52"/>
        <v>0</v>
      </c>
      <c r="G414" s="439">
        <f t="shared" si="52"/>
        <v>0</v>
      </c>
      <c r="H414" s="439">
        <f t="shared" si="52"/>
        <v>0</v>
      </c>
      <c r="I414" s="439">
        <f t="shared" si="52"/>
        <v>0</v>
      </c>
      <c r="J414" s="439">
        <f t="shared" si="52"/>
        <v>0</v>
      </c>
      <c r="K414" s="439">
        <f t="shared" si="52"/>
        <v>0</v>
      </c>
      <c r="L414" s="439">
        <f t="shared" si="52"/>
        <v>0</v>
      </c>
      <c r="M414" s="439">
        <f t="shared" si="52"/>
        <v>0</v>
      </c>
      <c r="N414" s="439">
        <f t="shared" si="52"/>
        <v>0</v>
      </c>
      <c r="O414" s="439">
        <f t="shared" si="52"/>
        <v>0</v>
      </c>
      <c r="P414" s="439">
        <f t="shared" si="52"/>
        <v>0</v>
      </c>
      <c r="Q414" s="439">
        <f t="shared" si="52"/>
        <v>0</v>
      </c>
      <c r="R414" s="439">
        <f t="shared" si="52"/>
        <v>971.71</v>
      </c>
      <c r="S414" s="439">
        <f t="shared" si="52"/>
        <v>1473433</v>
      </c>
      <c r="T414" s="439">
        <f t="shared" si="52"/>
        <v>0</v>
      </c>
      <c r="U414" s="439">
        <f t="shared" si="52"/>
        <v>0</v>
      </c>
      <c r="V414" s="211">
        <f t="shared" si="52"/>
        <v>0</v>
      </c>
      <c r="W414" s="282"/>
      <c r="X414" s="282"/>
    </row>
    <row r="415" spans="1:24" s="60" customFormat="1" ht="24" customHeight="1">
      <c r="A415" s="430">
        <v>342</v>
      </c>
      <c r="B415" s="431" t="s">
        <v>680</v>
      </c>
      <c r="C415" s="432">
        <f>'часть 1'!L420</f>
        <v>734707</v>
      </c>
      <c r="D415" s="432">
        <v>0</v>
      </c>
      <c r="E415" s="432">
        <v>0</v>
      </c>
      <c r="F415" s="432">
        <v>0</v>
      </c>
      <c r="G415" s="432">
        <v>0</v>
      </c>
      <c r="H415" s="432">
        <v>0</v>
      </c>
      <c r="I415" s="432">
        <v>0</v>
      </c>
      <c r="J415" s="432">
        <v>0</v>
      </c>
      <c r="K415" s="439">
        <v>0</v>
      </c>
      <c r="L415" s="485">
        <v>0</v>
      </c>
      <c r="M415" s="439">
        <v>0</v>
      </c>
      <c r="N415" s="441">
        <v>0</v>
      </c>
      <c r="O415" s="432">
        <v>0</v>
      </c>
      <c r="P415" s="573">
        <v>0</v>
      </c>
      <c r="Q415" s="439">
        <v>0</v>
      </c>
      <c r="R415" s="435">
        <v>484.51</v>
      </c>
      <c r="S415" s="439">
        <v>734707</v>
      </c>
      <c r="T415" s="485">
        <v>0</v>
      </c>
      <c r="U415" s="443">
        <v>0</v>
      </c>
      <c r="V415" s="282"/>
      <c r="W415" s="282"/>
      <c r="X415" s="282">
        <f>S415/R415</f>
        <v>1516.391818538317</v>
      </c>
    </row>
    <row r="416" spans="1:24" s="60" customFormat="1" ht="21.6" customHeight="1">
      <c r="A416" s="430">
        <v>343</v>
      </c>
      <c r="B416" s="431" t="s">
        <v>681</v>
      </c>
      <c r="C416" s="432">
        <f>'часть 1'!L421</f>
        <v>738726</v>
      </c>
      <c r="D416" s="432">
        <v>0</v>
      </c>
      <c r="E416" s="432">
        <v>0</v>
      </c>
      <c r="F416" s="432">
        <v>0</v>
      </c>
      <c r="G416" s="432">
        <v>0</v>
      </c>
      <c r="H416" s="432">
        <v>0</v>
      </c>
      <c r="I416" s="432">
        <v>0</v>
      </c>
      <c r="J416" s="432">
        <v>0</v>
      </c>
      <c r="K416" s="439">
        <v>0</v>
      </c>
      <c r="L416" s="485">
        <v>0</v>
      </c>
      <c r="M416" s="439">
        <v>0</v>
      </c>
      <c r="N416" s="441">
        <v>0</v>
      </c>
      <c r="O416" s="432">
        <v>0</v>
      </c>
      <c r="P416" s="573">
        <v>0</v>
      </c>
      <c r="Q416" s="439">
        <v>0</v>
      </c>
      <c r="R416" s="435">
        <v>487.2</v>
      </c>
      <c r="S416" s="439">
        <v>738726</v>
      </c>
      <c r="T416" s="485">
        <v>0</v>
      </c>
      <c r="U416" s="443">
        <v>0</v>
      </c>
      <c r="V416" s="282"/>
      <c r="W416" s="282"/>
      <c r="X416" s="282">
        <f>S416/R416</f>
        <v>1516.268472906404</v>
      </c>
    </row>
    <row r="417" spans="1:53" s="60" customFormat="1">
      <c r="A417" s="430"/>
      <c r="B417" s="431"/>
      <c r="C417" s="432"/>
      <c r="D417" s="432"/>
      <c r="E417" s="432"/>
      <c r="F417" s="432"/>
      <c r="G417" s="432"/>
      <c r="H417" s="432"/>
      <c r="I417" s="432"/>
      <c r="J417" s="432"/>
      <c r="K417" s="439"/>
      <c r="L417" s="485"/>
      <c r="M417" s="439"/>
      <c r="N417" s="441"/>
      <c r="O417" s="432"/>
      <c r="P417" s="573"/>
      <c r="Q417" s="439"/>
      <c r="R417" s="573"/>
      <c r="S417" s="439"/>
      <c r="T417" s="485"/>
      <c r="U417" s="443"/>
      <c r="V417" s="282"/>
      <c r="W417" s="282"/>
      <c r="X417" s="282"/>
    </row>
    <row r="418" spans="1:53" s="60" customFormat="1">
      <c r="A418" s="430"/>
      <c r="B418" s="431"/>
      <c r="C418" s="432"/>
      <c r="D418" s="432"/>
      <c r="E418" s="432"/>
      <c r="F418" s="432"/>
      <c r="G418" s="432"/>
      <c r="H418" s="432"/>
      <c r="I418" s="432"/>
      <c r="J418" s="432"/>
      <c r="K418" s="439"/>
      <c r="L418" s="485"/>
      <c r="M418" s="439"/>
      <c r="N418" s="441"/>
      <c r="O418" s="432"/>
      <c r="P418" s="573"/>
      <c r="Q418" s="439"/>
      <c r="R418" s="439"/>
      <c r="S418" s="439"/>
      <c r="T418" s="485"/>
      <c r="U418" s="443"/>
      <c r="V418" s="282"/>
      <c r="W418" s="282"/>
      <c r="X418" s="282"/>
    </row>
    <row r="419" spans="1:53">
      <c r="A419" s="198"/>
      <c r="B419" s="216" t="s">
        <v>54</v>
      </c>
      <c r="C419" s="211">
        <v>2222747</v>
      </c>
      <c r="D419" s="211"/>
      <c r="E419" s="211"/>
      <c r="F419" s="211"/>
      <c r="G419" s="211"/>
      <c r="H419" s="211"/>
      <c r="I419" s="211"/>
      <c r="J419" s="211"/>
      <c r="K419" s="211">
        <v>0</v>
      </c>
      <c r="L419" s="212">
        <v>0</v>
      </c>
      <c r="M419" s="211">
        <v>0</v>
      </c>
      <c r="N419" s="211">
        <v>1115</v>
      </c>
      <c r="O419" s="211">
        <v>2222747</v>
      </c>
      <c r="P419" s="213">
        <v>0</v>
      </c>
      <c r="Q419" s="211">
        <v>0</v>
      </c>
      <c r="R419" s="213">
        <v>0</v>
      </c>
      <c r="S419" s="211">
        <v>0</v>
      </c>
      <c r="T419" s="212">
        <v>0</v>
      </c>
      <c r="U419" s="290">
        <v>0</v>
      </c>
      <c r="V419" s="282"/>
      <c r="W419" s="282"/>
      <c r="X419" s="282"/>
    </row>
    <row r="420" spans="1:53" ht="30">
      <c r="A420" s="198"/>
      <c r="B420" s="214" t="s">
        <v>112</v>
      </c>
      <c r="C420" s="211">
        <v>2222747</v>
      </c>
      <c r="D420" s="211"/>
      <c r="E420" s="211"/>
      <c r="F420" s="211"/>
      <c r="G420" s="211"/>
      <c r="H420" s="211"/>
      <c r="I420" s="211"/>
      <c r="J420" s="211"/>
      <c r="K420" s="211">
        <v>0</v>
      </c>
      <c r="L420" s="212">
        <v>0</v>
      </c>
      <c r="M420" s="211">
        <v>0</v>
      </c>
      <c r="N420" s="211">
        <v>1115</v>
      </c>
      <c r="O420" s="211">
        <v>2222747</v>
      </c>
      <c r="P420" s="213">
        <v>0</v>
      </c>
      <c r="Q420" s="211">
        <v>0</v>
      </c>
      <c r="R420" s="213">
        <v>0</v>
      </c>
      <c r="S420" s="211">
        <v>0</v>
      </c>
      <c r="T420" s="212">
        <v>0</v>
      </c>
      <c r="U420" s="290">
        <v>0</v>
      </c>
      <c r="V420" s="282"/>
      <c r="W420" s="282"/>
      <c r="X420" s="282"/>
    </row>
    <row r="421" spans="1:53">
      <c r="A421" s="198">
        <v>346</v>
      </c>
      <c r="B421" s="216" t="s">
        <v>422</v>
      </c>
      <c r="C421" s="211">
        <v>1003542</v>
      </c>
      <c r="D421" s="211"/>
      <c r="E421" s="211"/>
      <c r="F421" s="211"/>
      <c r="G421" s="211"/>
      <c r="H421" s="211"/>
      <c r="I421" s="211"/>
      <c r="J421" s="211"/>
      <c r="K421" s="211">
        <v>0</v>
      </c>
      <c r="L421" s="212">
        <v>0</v>
      </c>
      <c r="M421" s="211">
        <v>0</v>
      </c>
      <c r="N421" s="199">
        <v>510</v>
      </c>
      <c r="O421" s="211">
        <v>1003542</v>
      </c>
      <c r="P421" s="213">
        <v>0</v>
      </c>
      <c r="Q421" s="211">
        <v>0</v>
      </c>
      <c r="R421" s="213">
        <v>0</v>
      </c>
      <c r="S421" s="211">
        <v>0</v>
      </c>
      <c r="T421" s="212">
        <v>0</v>
      </c>
      <c r="U421" s="290">
        <v>0</v>
      </c>
      <c r="V421" s="282"/>
      <c r="W421" s="282"/>
      <c r="X421" s="282"/>
    </row>
    <row r="422" spans="1:53">
      <c r="A422" s="198">
        <v>347</v>
      </c>
      <c r="B422" s="216" t="s">
        <v>421</v>
      </c>
      <c r="C422" s="211">
        <v>740146</v>
      </c>
      <c r="D422" s="211"/>
      <c r="E422" s="211"/>
      <c r="F422" s="211"/>
      <c r="G422" s="211"/>
      <c r="H422" s="211"/>
      <c r="I422" s="211"/>
      <c r="J422" s="211"/>
      <c r="K422" s="211">
        <v>0</v>
      </c>
      <c r="L422" s="212">
        <v>0</v>
      </c>
      <c r="M422" s="211">
        <v>0</v>
      </c>
      <c r="N422" s="199">
        <v>373</v>
      </c>
      <c r="O422" s="211">
        <v>740146</v>
      </c>
      <c r="P422" s="213">
        <v>0</v>
      </c>
      <c r="Q422" s="211">
        <v>0</v>
      </c>
      <c r="R422" s="213">
        <v>0</v>
      </c>
      <c r="S422" s="211">
        <v>0</v>
      </c>
      <c r="T422" s="212">
        <v>0</v>
      </c>
      <c r="U422" s="290">
        <v>0</v>
      </c>
      <c r="V422" s="282"/>
      <c r="W422" s="282"/>
      <c r="X422" s="282"/>
    </row>
    <row r="423" spans="1:53">
      <c r="A423" s="198">
        <v>348</v>
      </c>
      <c r="B423" s="216" t="s">
        <v>423</v>
      </c>
      <c r="C423" s="211">
        <v>479059</v>
      </c>
      <c r="D423" s="211"/>
      <c r="E423" s="211"/>
      <c r="F423" s="211"/>
      <c r="G423" s="211"/>
      <c r="H423" s="211"/>
      <c r="I423" s="211"/>
      <c r="J423" s="211"/>
      <c r="K423" s="211">
        <v>0</v>
      </c>
      <c r="L423" s="212">
        <v>0</v>
      </c>
      <c r="M423" s="211">
        <v>0</v>
      </c>
      <c r="N423" s="211">
        <v>232</v>
      </c>
      <c r="O423" s="211">
        <v>479059</v>
      </c>
      <c r="P423" s="213">
        <v>0</v>
      </c>
      <c r="Q423" s="211">
        <v>0</v>
      </c>
      <c r="R423" s="213">
        <v>0</v>
      </c>
      <c r="S423" s="211">
        <v>0</v>
      </c>
      <c r="T423" s="212">
        <v>0</v>
      </c>
      <c r="U423" s="290">
        <v>0</v>
      </c>
      <c r="V423" s="282"/>
      <c r="W423" s="282"/>
      <c r="X423" s="282"/>
    </row>
    <row r="424" spans="1:53">
      <c r="A424" s="198"/>
      <c r="B424" s="216" t="s">
        <v>55</v>
      </c>
      <c r="C424" s="211">
        <f>C425</f>
        <v>2809430</v>
      </c>
      <c r="D424" s="211">
        <f t="shared" ref="D424:V424" si="53">D425</f>
        <v>0</v>
      </c>
      <c r="E424" s="211">
        <f t="shared" si="53"/>
        <v>0</v>
      </c>
      <c r="F424" s="211">
        <f t="shared" si="53"/>
        <v>0</v>
      </c>
      <c r="G424" s="211">
        <f t="shared" si="53"/>
        <v>0</v>
      </c>
      <c r="H424" s="211">
        <f t="shared" si="53"/>
        <v>0</v>
      </c>
      <c r="I424" s="211">
        <f t="shared" si="53"/>
        <v>0</v>
      </c>
      <c r="J424" s="211">
        <f t="shared" si="53"/>
        <v>408464</v>
      </c>
      <c r="K424" s="211">
        <f t="shared" si="53"/>
        <v>0</v>
      </c>
      <c r="L424" s="211">
        <f t="shared" si="53"/>
        <v>0</v>
      </c>
      <c r="M424" s="211">
        <f t="shared" si="53"/>
        <v>0</v>
      </c>
      <c r="N424" s="211">
        <f t="shared" si="53"/>
        <v>757</v>
      </c>
      <c r="O424" s="211">
        <f t="shared" si="53"/>
        <v>2400966</v>
      </c>
      <c r="P424" s="211">
        <f t="shared" si="53"/>
        <v>0</v>
      </c>
      <c r="Q424" s="211">
        <f t="shared" si="53"/>
        <v>0</v>
      </c>
      <c r="R424" s="211">
        <f t="shared" si="53"/>
        <v>0</v>
      </c>
      <c r="S424" s="211">
        <f t="shared" si="53"/>
        <v>0</v>
      </c>
      <c r="T424" s="211">
        <f t="shared" si="53"/>
        <v>0</v>
      </c>
      <c r="U424" s="211">
        <f t="shared" si="53"/>
        <v>0</v>
      </c>
      <c r="V424" s="211">
        <f t="shared" si="53"/>
        <v>0</v>
      </c>
      <c r="W424" s="282"/>
      <c r="X424" s="282"/>
    </row>
    <row r="425" spans="1:53" ht="30">
      <c r="A425" s="198"/>
      <c r="B425" s="214" t="s">
        <v>122</v>
      </c>
      <c r="C425" s="211">
        <f>C426+C427</f>
        <v>2809430</v>
      </c>
      <c r="D425" s="211">
        <f t="shared" ref="D425:V425" si="54">D426+D427</f>
        <v>0</v>
      </c>
      <c r="E425" s="211">
        <f t="shared" si="54"/>
        <v>0</v>
      </c>
      <c r="F425" s="211">
        <f t="shared" si="54"/>
        <v>0</v>
      </c>
      <c r="G425" s="211">
        <f t="shared" si="54"/>
        <v>0</v>
      </c>
      <c r="H425" s="211">
        <f t="shared" si="54"/>
        <v>0</v>
      </c>
      <c r="I425" s="211">
        <f t="shared" si="54"/>
        <v>0</v>
      </c>
      <c r="J425" s="211">
        <f t="shared" si="54"/>
        <v>408464</v>
      </c>
      <c r="K425" s="211">
        <f t="shared" si="54"/>
        <v>0</v>
      </c>
      <c r="L425" s="211">
        <f t="shared" si="54"/>
        <v>0</v>
      </c>
      <c r="M425" s="211">
        <f t="shared" si="54"/>
        <v>0</v>
      </c>
      <c r="N425" s="211">
        <f t="shared" si="54"/>
        <v>757</v>
      </c>
      <c r="O425" s="211">
        <f t="shared" si="54"/>
        <v>2400966</v>
      </c>
      <c r="P425" s="211">
        <f t="shared" si="54"/>
        <v>0</v>
      </c>
      <c r="Q425" s="211">
        <f t="shared" si="54"/>
        <v>0</v>
      </c>
      <c r="R425" s="211">
        <f t="shared" si="54"/>
        <v>0</v>
      </c>
      <c r="S425" s="211">
        <f t="shared" si="54"/>
        <v>0</v>
      </c>
      <c r="T425" s="211">
        <f t="shared" si="54"/>
        <v>0</v>
      </c>
      <c r="U425" s="211">
        <f t="shared" si="54"/>
        <v>0</v>
      </c>
      <c r="V425" s="211">
        <f t="shared" si="54"/>
        <v>0</v>
      </c>
      <c r="W425" s="282"/>
      <c r="X425" s="282"/>
    </row>
    <row r="426" spans="1:53" s="28" customFormat="1">
      <c r="A426" s="430">
        <v>349</v>
      </c>
      <c r="B426" s="438" t="s">
        <v>598</v>
      </c>
      <c r="C426" s="556">
        <v>1550741</v>
      </c>
      <c r="D426" s="556">
        <v>0</v>
      </c>
      <c r="E426" s="556">
        <v>0</v>
      </c>
      <c r="F426" s="556">
        <v>0</v>
      </c>
      <c r="G426" s="556">
        <v>0</v>
      </c>
      <c r="H426" s="556">
        <v>0</v>
      </c>
      <c r="I426" s="556">
        <v>0</v>
      </c>
      <c r="J426" s="556">
        <v>251869</v>
      </c>
      <c r="K426" s="432">
        <v>0</v>
      </c>
      <c r="L426" s="440">
        <v>0</v>
      </c>
      <c r="M426" s="439">
        <v>0</v>
      </c>
      <c r="N426" s="441">
        <v>410</v>
      </c>
      <c r="O426" s="432">
        <v>1298872</v>
      </c>
      <c r="P426" s="442">
        <v>0</v>
      </c>
      <c r="Q426" s="439">
        <v>0</v>
      </c>
      <c r="R426" s="439">
        <v>0</v>
      </c>
      <c r="S426" s="439">
        <v>0</v>
      </c>
      <c r="T426" s="440">
        <v>0</v>
      </c>
      <c r="U426" s="443">
        <v>0</v>
      </c>
      <c r="V426" s="282"/>
      <c r="W426" s="282">
        <f>O426/N426</f>
        <v>3167.9804878048781</v>
      </c>
      <c r="X426" s="282"/>
      <c r="AD426" s="28">
        <f>J426/'часть 1'!I431</f>
        <v>513.49439347604482</v>
      </c>
    </row>
    <row r="427" spans="1:53">
      <c r="A427" s="430">
        <v>350</v>
      </c>
      <c r="B427" s="438" t="s">
        <v>599</v>
      </c>
      <c r="C427" s="432">
        <v>1258689</v>
      </c>
      <c r="D427" s="432">
        <v>0</v>
      </c>
      <c r="E427" s="432">
        <v>0</v>
      </c>
      <c r="F427" s="432">
        <v>0</v>
      </c>
      <c r="G427" s="432">
        <v>0</v>
      </c>
      <c r="H427" s="432">
        <v>0</v>
      </c>
      <c r="I427" s="432">
        <v>0</v>
      </c>
      <c r="J427" s="432">
        <v>156595</v>
      </c>
      <c r="K427" s="432">
        <v>0</v>
      </c>
      <c r="L427" s="440">
        <v>0</v>
      </c>
      <c r="M427" s="439">
        <v>0</v>
      </c>
      <c r="N427" s="439">
        <v>347</v>
      </c>
      <c r="O427" s="439">
        <v>1102094</v>
      </c>
      <c r="P427" s="442">
        <v>0</v>
      </c>
      <c r="Q427" s="439">
        <v>0</v>
      </c>
      <c r="R427" s="442">
        <v>0</v>
      </c>
      <c r="S427" s="439">
        <v>0</v>
      </c>
      <c r="T427" s="440">
        <v>0</v>
      </c>
      <c r="U427" s="443">
        <v>0</v>
      </c>
      <c r="V427" s="282"/>
      <c r="W427" s="282">
        <f>O427/N427</f>
        <v>3176.0634005763691</v>
      </c>
      <c r="X427" s="282"/>
      <c r="AD427" s="1">
        <f>J427/'часть 1'!I432</f>
        <v>514.43823915900134</v>
      </c>
    </row>
    <row r="428" spans="1:53">
      <c r="A428" s="430"/>
      <c r="B428" s="438"/>
      <c r="C428" s="432"/>
      <c r="D428" s="432"/>
      <c r="E428" s="432"/>
      <c r="F428" s="432"/>
      <c r="G428" s="432"/>
      <c r="H428" s="432"/>
      <c r="I428" s="432"/>
      <c r="J428" s="432"/>
      <c r="K428" s="432"/>
      <c r="L428" s="440"/>
      <c r="M428" s="439"/>
      <c r="N428" s="441"/>
      <c r="O428" s="432"/>
      <c r="P428" s="442"/>
      <c r="Q428" s="439"/>
      <c r="R428" s="439"/>
      <c r="S428" s="439"/>
      <c r="T428" s="440"/>
      <c r="U428" s="443"/>
      <c r="V428" s="282"/>
      <c r="W428" s="282"/>
      <c r="X428" s="282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</row>
    <row r="429" spans="1:53">
      <c r="A429" s="198"/>
      <c r="B429" s="216" t="s">
        <v>56</v>
      </c>
      <c r="C429" s="211">
        <v>13352826.959999999</v>
      </c>
      <c r="D429" s="211"/>
      <c r="E429" s="211"/>
      <c r="F429" s="211"/>
      <c r="G429" s="211"/>
      <c r="H429" s="211"/>
      <c r="I429" s="211"/>
      <c r="J429" s="211"/>
      <c r="K429" s="211">
        <v>8292103.96</v>
      </c>
      <c r="L429" s="211">
        <v>0</v>
      </c>
      <c r="M429" s="211">
        <v>0</v>
      </c>
      <c r="N429" s="211">
        <v>2564.5</v>
      </c>
      <c r="O429" s="211">
        <v>5060723</v>
      </c>
      <c r="P429" s="213">
        <v>0</v>
      </c>
      <c r="Q429" s="211">
        <v>0</v>
      </c>
      <c r="R429" s="213">
        <v>0</v>
      </c>
      <c r="S429" s="211">
        <v>0</v>
      </c>
      <c r="T429" s="212">
        <v>0</v>
      </c>
      <c r="U429" s="290">
        <v>0</v>
      </c>
      <c r="V429" s="282"/>
      <c r="W429" s="282"/>
      <c r="X429" s="282"/>
    </row>
    <row r="430" spans="1:53" ht="30">
      <c r="A430" s="430"/>
      <c r="B430" s="438" t="s">
        <v>424</v>
      </c>
      <c r="C430" s="439">
        <f>C431+C432+C433+C434+C435</f>
        <v>6762929</v>
      </c>
      <c r="D430" s="439">
        <f t="shared" ref="D430:U430" si="55">D431+D432+D433+D434+D435</f>
        <v>3371412</v>
      </c>
      <c r="E430" s="439">
        <f t="shared" si="55"/>
        <v>857533</v>
      </c>
      <c r="F430" s="439">
        <f t="shared" si="55"/>
        <v>0</v>
      </c>
      <c r="G430" s="439">
        <f t="shared" si="55"/>
        <v>295597</v>
      </c>
      <c r="H430" s="439">
        <f t="shared" si="55"/>
        <v>0</v>
      </c>
      <c r="I430" s="439">
        <f t="shared" si="55"/>
        <v>1349920</v>
      </c>
      <c r="J430" s="439">
        <f t="shared" si="55"/>
        <v>868362</v>
      </c>
      <c r="K430" s="439">
        <f t="shared" si="55"/>
        <v>0</v>
      </c>
      <c r="L430" s="439">
        <f t="shared" si="55"/>
        <v>0</v>
      </c>
      <c r="M430" s="439">
        <f t="shared" si="55"/>
        <v>0</v>
      </c>
      <c r="N430" s="439">
        <f t="shared" si="55"/>
        <v>858.22</v>
      </c>
      <c r="O430" s="439">
        <f t="shared" si="55"/>
        <v>2715174</v>
      </c>
      <c r="P430" s="439">
        <f t="shared" si="55"/>
        <v>79.900000000000006</v>
      </c>
      <c r="Q430" s="439">
        <f t="shared" si="55"/>
        <v>80873</v>
      </c>
      <c r="R430" s="439">
        <f t="shared" si="55"/>
        <v>391.83</v>
      </c>
      <c r="S430" s="439">
        <f t="shared" si="55"/>
        <v>595470</v>
      </c>
      <c r="T430" s="439">
        <f t="shared" si="55"/>
        <v>0</v>
      </c>
      <c r="U430" s="439">
        <f t="shared" si="55"/>
        <v>0</v>
      </c>
      <c r="V430" s="282"/>
      <c r="W430" s="282"/>
      <c r="X430" s="282"/>
    </row>
    <row r="431" spans="1:53">
      <c r="A431" s="430">
        <v>352</v>
      </c>
      <c r="B431" s="747" t="s">
        <v>703</v>
      </c>
      <c r="C431" s="439">
        <f>'часть 1'!L436</f>
        <v>749745</v>
      </c>
      <c r="D431" s="439">
        <f>E431+F431+G431+H431+I431+J431+K431</f>
        <v>73402</v>
      </c>
      <c r="E431" s="439">
        <v>0</v>
      </c>
      <c r="F431" s="439">
        <v>0</v>
      </c>
      <c r="G431" s="439">
        <v>73402</v>
      </c>
      <c r="H431" s="439">
        <v>0</v>
      </c>
      <c r="I431" s="439">
        <v>0</v>
      </c>
      <c r="J431" s="439">
        <v>0</v>
      </c>
      <c r="K431" s="439">
        <v>0</v>
      </c>
      <c r="L431" s="439">
        <v>0</v>
      </c>
      <c r="M431" s="439">
        <v>0</v>
      </c>
      <c r="N431" s="439">
        <v>0</v>
      </c>
      <c r="O431" s="439">
        <v>0</v>
      </c>
      <c r="P431" s="748">
        <v>79.900000000000006</v>
      </c>
      <c r="Q431" s="439">
        <v>80873</v>
      </c>
      <c r="R431" s="442">
        <v>391.83</v>
      </c>
      <c r="S431" s="439">
        <v>595470</v>
      </c>
      <c r="T431" s="440">
        <v>0</v>
      </c>
      <c r="U431" s="443">
        <v>0</v>
      </c>
      <c r="V431" s="282"/>
      <c r="W431" s="282"/>
      <c r="X431" s="282">
        <f>S431/R431</f>
        <v>1519.7151826047011</v>
      </c>
      <c r="Z431" s="1">
        <f>G431/'часть 1'!I436</f>
        <v>262.71295633500358</v>
      </c>
      <c r="AE431" s="1">
        <f>Q431/P431</f>
        <v>1012.1777221526908</v>
      </c>
    </row>
    <row r="432" spans="1:53">
      <c r="A432" s="430">
        <v>353</v>
      </c>
      <c r="B432" s="749" t="s">
        <v>704</v>
      </c>
      <c r="C432" s="439">
        <f>'часть 1'!L437</f>
        <v>2218282</v>
      </c>
      <c r="D432" s="439">
        <f t="shared" ref="D432:D435" si="56">E432+F432+G432+H432+I432+J432+K432</f>
        <v>2218282</v>
      </c>
      <c r="E432" s="439">
        <v>0</v>
      </c>
      <c r="F432" s="439">
        <v>0</v>
      </c>
      <c r="G432" s="439">
        <v>0</v>
      </c>
      <c r="H432" s="439">
        <v>0</v>
      </c>
      <c r="I432" s="439">
        <v>1349920</v>
      </c>
      <c r="J432" s="439">
        <v>868362</v>
      </c>
      <c r="K432" s="439">
        <v>0</v>
      </c>
      <c r="L432" s="439">
        <v>0</v>
      </c>
      <c r="M432" s="439">
        <v>0</v>
      </c>
      <c r="N432" s="439">
        <v>0</v>
      </c>
      <c r="O432" s="439">
        <v>0</v>
      </c>
      <c r="P432" s="748">
        <v>0</v>
      </c>
      <c r="Q432" s="439">
        <v>0</v>
      </c>
      <c r="R432" s="442">
        <v>0</v>
      </c>
      <c r="S432" s="439">
        <v>0</v>
      </c>
      <c r="T432" s="440">
        <v>0</v>
      </c>
      <c r="U432" s="443">
        <v>0</v>
      </c>
      <c r="V432" s="282"/>
      <c r="W432" s="282"/>
      <c r="X432" s="282"/>
      <c r="AC432" s="1">
        <f>I432/'часть 1'!I437</f>
        <v>867.55784061696659</v>
      </c>
      <c r="AD432" s="1">
        <f>J432/'часть 1'!I437</f>
        <v>558.07326478149105</v>
      </c>
    </row>
    <row r="433" spans="1:31" ht="30">
      <c r="A433" s="430">
        <v>354</v>
      </c>
      <c r="B433" s="747" t="s">
        <v>705</v>
      </c>
      <c r="C433" s="439">
        <f>'часть 1'!L438</f>
        <v>1808957</v>
      </c>
      <c r="D433" s="439">
        <f t="shared" si="56"/>
        <v>313119</v>
      </c>
      <c r="E433" s="439">
        <v>313119</v>
      </c>
      <c r="F433" s="439">
        <v>0</v>
      </c>
      <c r="G433" s="439">
        <v>0</v>
      </c>
      <c r="H433" s="439">
        <v>0</v>
      </c>
      <c r="I433" s="439">
        <v>0</v>
      </c>
      <c r="J433" s="439">
        <v>0</v>
      </c>
      <c r="K433" s="439">
        <v>0</v>
      </c>
      <c r="L433" s="439">
        <v>0</v>
      </c>
      <c r="M433" s="439">
        <v>0</v>
      </c>
      <c r="N433" s="439">
        <v>473.62</v>
      </c>
      <c r="O433" s="439">
        <v>1495838</v>
      </c>
      <c r="P433" s="748">
        <v>0</v>
      </c>
      <c r="Q433" s="439">
        <v>0</v>
      </c>
      <c r="R433" s="442">
        <v>0</v>
      </c>
      <c r="S433" s="439">
        <v>0</v>
      </c>
      <c r="T433" s="440">
        <v>0</v>
      </c>
      <c r="U433" s="443">
        <v>0</v>
      </c>
      <c r="V433" s="282"/>
      <c r="W433" s="282">
        <f>O433/N433</f>
        <v>3158.3083484650142</v>
      </c>
      <c r="X433" s="282"/>
      <c r="Y433" s="1">
        <f>E433/'часть 1'!I438</f>
        <v>682.32512529962958</v>
      </c>
    </row>
    <row r="434" spans="1:31">
      <c r="A434" s="430">
        <v>355</v>
      </c>
      <c r="B434" s="747" t="s">
        <v>706</v>
      </c>
      <c r="C434" s="439">
        <f>'часть 1'!L439</f>
        <v>275807</v>
      </c>
      <c r="D434" s="439">
        <f t="shared" si="56"/>
        <v>275807</v>
      </c>
      <c r="E434" s="439">
        <v>275807</v>
      </c>
      <c r="F434" s="439">
        <v>0</v>
      </c>
      <c r="G434" s="439">
        <v>0</v>
      </c>
      <c r="H434" s="439">
        <v>0</v>
      </c>
      <c r="I434" s="439">
        <v>0</v>
      </c>
      <c r="J434" s="439">
        <v>0</v>
      </c>
      <c r="K434" s="439">
        <v>0</v>
      </c>
      <c r="L434" s="439">
        <v>0</v>
      </c>
      <c r="M434" s="439">
        <v>0</v>
      </c>
      <c r="N434" s="439">
        <v>0</v>
      </c>
      <c r="O434" s="439">
        <v>0</v>
      </c>
      <c r="P434" s="748">
        <v>0</v>
      </c>
      <c r="Q434" s="439">
        <v>0</v>
      </c>
      <c r="R434" s="442">
        <v>0</v>
      </c>
      <c r="S434" s="439">
        <v>0</v>
      </c>
      <c r="T434" s="440">
        <v>0</v>
      </c>
      <c r="U434" s="443">
        <v>0</v>
      </c>
      <c r="V434" s="282"/>
      <c r="W434" s="282"/>
      <c r="X434" s="282"/>
      <c r="Y434" s="1">
        <f>E434/'часть 1'!I439</f>
        <v>684.21483502852891</v>
      </c>
    </row>
    <row r="435" spans="1:31">
      <c r="A435" s="430">
        <v>357</v>
      </c>
      <c r="B435" s="750" t="s">
        <v>707</v>
      </c>
      <c r="C435" s="439">
        <f>'часть 1'!L440</f>
        <v>1710138</v>
      </c>
      <c r="D435" s="439">
        <f t="shared" si="56"/>
        <v>490802</v>
      </c>
      <c r="E435" s="439">
        <v>268607</v>
      </c>
      <c r="F435" s="439">
        <v>0</v>
      </c>
      <c r="G435" s="439">
        <v>222195</v>
      </c>
      <c r="H435" s="439">
        <v>0</v>
      </c>
      <c r="I435" s="439">
        <v>0</v>
      </c>
      <c r="J435" s="439">
        <v>0</v>
      </c>
      <c r="K435" s="439">
        <v>0</v>
      </c>
      <c r="L435" s="439">
        <v>0</v>
      </c>
      <c r="M435" s="439">
        <v>0</v>
      </c>
      <c r="N435" s="439">
        <v>384.6</v>
      </c>
      <c r="O435" s="439">
        <v>1219336</v>
      </c>
      <c r="P435" s="748">
        <v>0</v>
      </c>
      <c r="Q435" s="439">
        <v>0</v>
      </c>
      <c r="R435" s="442">
        <v>0</v>
      </c>
      <c r="S435" s="439">
        <v>0</v>
      </c>
      <c r="T435" s="440">
        <v>0</v>
      </c>
      <c r="U435" s="443">
        <v>0</v>
      </c>
      <c r="V435" s="282"/>
      <c r="W435" s="282">
        <f>O435/N435</f>
        <v>3170.4004160166405</v>
      </c>
      <c r="X435" s="282"/>
      <c r="Y435" s="1">
        <f>E435/'часть 1'!I440</f>
        <v>688.03022540983613</v>
      </c>
      <c r="Z435" s="1">
        <f>G435/'часть 1'!I440</f>
        <v>569.14702868852464</v>
      </c>
    </row>
    <row r="436" spans="1:31" ht="30">
      <c r="A436" s="198"/>
      <c r="B436" s="214" t="s">
        <v>121</v>
      </c>
      <c r="C436" s="211">
        <f>C437</f>
        <v>2515554</v>
      </c>
      <c r="D436" s="211">
        <f t="shared" ref="D436:V436" si="57">D437</f>
        <v>0</v>
      </c>
      <c r="E436" s="211">
        <f t="shared" si="57"/>
        <v>0</v>
      </c>
      <c r="F436" s="211">
        <f t="shared" si="57"/>
        <v>0</v>
      </c>
      <c r="G436" s="211">
        <f t="shared" si="57"/>
        <v>0</v>
      </c>
      <c r="H436" s="211">
        <f t="shared" si="57"/>
        <v>0</v>
      </c>
      <c r="I436" s="211">
        <f t="shared" si="57"/>
        <v>0</v>
      </c>
      <c r="J436" s="211">
        <f t="shared" si="57"/>
        <v>0</v>
      </c>
      <c r="K436" s="211">
        <f t="shared" si="57"/>
        <v>0</v>
      </c>
      <c r="L436" s="211">
        <f t="shared" si="57"/>
        <v>0</v>
      </c>
      <c r="M436" s="211">
        <f t="shared" si="57"/>
        <v>0</v>
      </c>
      <c r="N436" s="211">
        <f t="shared" si="57"/>
        <v>0</v>
      </c>
      <c r="O436" s="211">
        <f t="shared" si="57"/>
        <v>2515554</v>
      </c>
      <c r="P436" s="211">
        <f t="shared" si="57"/>
        <v>0</v>
      </c>
      <c r="Q436" s="211">
        <f t="shared" si="57"/>
        <v>0</v>
      </c>
      <c r="R436" s="211">
        <f t="shared" si="57"/>
        <v>0</v>
      </c>
      <c r="S436" s="211">
        <f t="shared" si="57"/>
        <v>0</v>
      </c>
      <c r="T436" s="211">
        <f t="shared" si="57"/>
        <v>0</v>
      </c>
      <c r="U436" s="211">
        <f t="shared" si="57"/>
        <v>0</v>
      </c>
      <c r="V436" s="211">
        <f t="shared" si="57"/>
        <v>0</v>
      </c>
      <c r="W436" s="282"/>
      <c r="X436" s="282"/>
    </row>
    <row r="437" spans="1:31" ht="21.6" customHeight="1">
      <c r="A437" s="198">
        <v>362</v>
      </c>
      <c r="B437" s="214" t="s">
        <v>989</v>
      </c>
      <c r="C437" s="211">
        <f>'часть 1'!L442</f>
        <v>2515554</v>
      </c>
      <c r="D437" s="211">
        <v>0</v>
      </c>
      <c r="E437" s="211">
        <v>0</v>
      </c>
      <c r="F437" s="211">
        <v>0</v>
      </c>
      <c r="G437" s="211">
        <v>0</v>
      </c>
      <c r="H437" s="211">
        <v>0</v>
      </c>
      <c r="I437" s="211">
        <v>0</v>
      </c>
      <c r="J437" s="211">
        <v>0</v>
      </c>
      <c r="K437" s="211">
        <v>0</v>
      </c>
      <c r="L437" s="212">
        <v>0</v>
      </c>
      <c r="M437" s="211">
        <v>0</v>
      </c>
      <c r="N437" s="939"/>
      <c r="O437" s="211">
        <v>2515554</v>
      </c>
      <c r="P437" s="213">
        <v>0</v>
      </c>
      <c r="Q437" s="211">
        <v>0</v>
      </c>
      <c r="R437" s="213">
        <v>0</v>
      </c>
      <c r="S437" s="211">
        <v>0</v>
      </c>
      <c r="T437" s="212">
        <v>0</v>
      </c>
      <c r="U437" s="290">
        <v>0</v>
      </c>
      <c r="V437" s="282"/>
      <c r="W437" s="282" t="e">
        <f>O437/N437</f>
        <v>#DIV/0!</v>
      </c>
      <c r="X437" s="282"/>
    </row>
    <row r="438" spans="1:31" s="18" customFormat="1" ht="30">
      <c r="A438" s="198"/>
      <c r="B438" s="214" t="s">
        <v>807</v>
      </c>
      <c r="C438" s="211">
        <f>C439</f>
        <v>1510788</v>
      </c>
      <c r="D438" s="211">
        <f t="shared" ref="D438:V438" si="58">D439</f>
        <v>0</v>
      </c>
      <c r="E438" s="211">
        <f t="shared" si="58"/>
        <v>0</v>
      </c>
      <c r="F438" s="211">
        <f t="shared" si="58"/>
        <v>0</v>
      </c>
      <c r="G438" s="211">
        <f t="shared" si="58"/>
        <v>0</v>
      </c>
      <c r="H438" s="211">
        <f t="shared" si="58"/>
        <v>0</v>
      </c>
      <c r="I438" s="211">
        <f t="shared" si="58"/>
        <v>0</v>
      </c>
      <c r="J438" s="211">
        <f t="shared" si="58"/>
        <v>0</v>
      </c>
      <c r="K438" s="211">
        <f t="shared" si="58"/>
        <v>0</v>
      </c>
      <c r="L438" s="211">
        <f t="shared" si="58"/>
        <v>0</v>
      </c>
      <c r="M438" s="211">
        <f t="shared" si="58"/>
        <v>0</v>
      </c>
      <c r="N438" s="211">
        <f t="shared" si="58"/>
        <v>612</v>
      </c>
      <c r="O438" s="211">
        <f t="shared" si="58"/>
        <v>1510788</v>
      </c>
      <c r="P438" s="211">
        <f t="shared" si="58"/>
        <v>0</v>
      </c>
      <c r="Q438" s="211">
        <f t="shared" si="58"/>
        <v>0</v>
      </c>
      <c r="R438" s="211">
        <f t="shared" si="58"/>
        <v>0</v>
      </c>
      <c r="S438" s="211">
        <f t="shared" si="58"/>
        <v>0</v>
      </c>
      <c r="T438" s="211">
        <f t="shared" si="58"/>
        <v>0</v>
      </c>
      <c r="U438" s="211">
        <f t="shared" si="58"/>
        <v>0</v>
      </c>
      <c r="V438" s="211">
        <f t="shared" si="58"/>
        <v>0</v>
      </c>
      <c r="W438" s="282"/>
      <c r="X438" s="282"/>
    </row>
    <row r="439" spans="1:31">
      <c r="A439" s="198">
        <v>363</v>
      </c>
      <c r="B439" s="216" t="s">
        <v>810</v>
      </c>
      <c r="C439" s="211">
        <f>'часть 1'!L444</f>
        <v>1510788</v>
      </c>
      <c r="D439" s="211">
        <v>0</v>
      </c>
      <c r="E439" s="211">
        <v>0</v>
      </c>
      <c r="F439" s="211">
        <v>0</v>
      </c>
      <c r="G439" s="211">
        <v>0</v>
      </c>
      <c r="H439" s="211">
        <v>0</v>
      </c>
      <c r="I439" s="211">
        <v>0</v>
      </c>
      <c r="J439" s="211">
        <v>0</v>
      </c>
      <c r="K439" s="211">
        <v>0</v>
      </c>
      <c r="L439" s="212">
        <v>0</v>
      </c>
      <c r="M439" s="211">
        <v>0</v>
      </c>
      <c r="N439" s="211">
        <v>612</v>
      </c>
      <c r="O439" s="211">
        <v>1510788</v>
      </c>
      <c r="P439" s="213">
        <v>0</v>
      </c>
      <c r="Q439" s="211">
        <v>0</v>
      </c>
      <c r="R439" s="213">
        <v>0</v>
      </c>
      <c r="S439" s="211">
        <v>0</v>
      </c>
      <c r="T439" s="212">
        <v>0</v>
      </c>
      <c r="U439" s="290">
        <v>0</v>
      </c>
      <c r="V439" s="282"/>
      <c r="W439" s="282">
        <f>O439/N439</f>
        <v>2468.6078431372548</v>
      </c>
      <c r="X439" s="282"/>
    </row>
    <row r="440" spans="1:31">
      <c r="A440" s="198"/>
      <c r="B440" s="216" t="s">
        <v>57</v>
      </c>
      <c r="C440" s="211">
        <v>2349784.02</v>
      </c>
      <c r="D440" s="211"/>
      <c r="E440" s="211"/>
      <c r="F440" s="211"/>
      <c r="G440" s="211"/>
      <c r="H440" s="211"/>
      <c r="I440" s="211"/>
      <c r="J440" s="211"/>
      <c r="K440" s="211">
        <v>0</v>
      </c>
      <c r="L440" s="212">
        <v>0</v>
      </c>
      <c r="M440" s="211">
        <v>0</v>
      </c>
      <c r="N440" s="211">
        <v>709</v>
      </c>
      <c r="O440" s="211">
        <v>2349784.02</v>
      </c>
      <c r="P440" s="213">
        <v>0</v>
      </c>
      <c r="Q440" s="211">
        <v>0</v>
      </c>
      <c r="R440" s="213">
        <v>0</v>
      </c>
      <c r="S440" s="211">
        <v>0</v>
      </c>
      <c r="T440" s="212">
        <v>0</v>
      </c>
      <c r="U440" s="290">
        <v>0</v>
      </c>
      <c r="V440" s="282"/>
      <c r="W440" s="282"/>
      <c r="X440" s="282"/>
    </row>
    <row r="441" spans="1:31" ht="30">
      <c r="A441" s="198"/>
      <c r="B441" s="214" t="s">
        <v>119</v>
      </c>
      <c r="C441" s="211">
        <f>C442+C443</f>
        <v>2579247</v>
      </c>
      <c r="D441" s="211">
        <f t="shared" ref="D441:U441" si="59">D442+D443</f>
        <v>1194767</v>
      </c>
      <c r="E441" s="211">
        <f t="shared" si="59"/>
        <v>1194767</v>
      </c>
      <c r="F441" s="211">
        <f t="shared" si="59"/>
        <v>0</v>
      </c>
      <c r="G441" s="211">
        <f t="shared" si="59"/>
        <v>0</v>
      </c>
      <c r="H441" s="211">
        <f t="shared" si="59"/>
        <v>0</v>
      </c>
      <c r="I441" s="211">
        <f t="shared" si="59"/>
        <v>0</v>
      </c>
      <c r="J441" s="211">
        <f t="shared" si="59"/>
        <v>0</v>
      </c>
      <c r="K441" s="211">
        <f t="shared" si="59"/>
        <v>0</v>
      </c>
      <c r="L441" s="211">
        <f t="shared" si="59"/>
        <v>0</v>
      </c>
      <c r="M441" s="211">
        <f t="shared" si="59"/>
        <v>0</v>
      </c>
      <c r="N441" s="211">
        <f t="shared" si="59"/>
        <v>0</v>
      </c>
      <c r="O441" s="211">
        <f t="shared" si="59"/>
        <v>0</v>
      </c>
      <c r="P441" s="211">
        <f t="shared" si="59"/>
        <v>1400</v>
      </c>
      <c r="Q441" s="211">
        <f t="shared" si="59"/>
        <v>1384480</v>
      </c>
      <c r="R441" s="211">
        <f t="shared" si="59"/>
        <v>0</v>
      </c>
      <c r="S441" s="211">
        <f t="shared" si="59"/>
        <v>0</v>
      </c>
      <c r="T441" s="211">
        <f t="shared" si="59"/>
        <v>0</v>
      </c>
      <c r="U441" s="211">
        <f t="shared" si="59"/>
        <v>0</v>
      </c>
      <c r="V441" s="282"/>
      <c r="W441" s="282"/>
      <c r="X441" s="282"/>
    </row>
    <row r="442" spans="1:31">
      <c r="A442" s="198">
        <v>364</v>
      </c>
      <c r="B442" s="214" t="s">
        <v>980</v>
      </c>
      <c r="C442" s="211">
        <f>'часть 1'!L447</f>
        <v>1384480</v>
      </c>
      <c r="D442" s="211">
        <f>E442+F442+G442+H442+I442+J442+K442</f>
        <v>0</v>
      </c>
      <c r="E442" s="211">
        <v>0</v>
      </c>
      <c r="F442" s="211">
        <v>0</v>
      </c>
      <c r="G442" s="211">
        <v>0</v>
      </c>
      <c r="H442" s="211">
        <v>0</v>
      </c>
      <c r="I442" s="211">
        <v>0</v>
      </c>
      <c r="J442" s="211">
        <v>0</v>
      </c>
      <c r="K442" s="211">
        <v>0</v>
      </c>
      <c r="L442" s="212">
        <v>0</v>
      </c>
      <c r="M442" s="211">
        <v>0</v>
      </c>
      <c r="N442" s="211">
        <v>0</v>
      </c>
      <c r="O442" s="211">
        <v>0</v>
      </c>
      <c r="P442" s="213">
        <v>1400</v>
      </c>
      <c r="Q442" s="211">
        <v>1384480</v>
      </c>
      <c r="R442" s="213">
        <v>0</v>
      </c>
      <c r="S442" s="211">
        <v>0</v>
      </c>
      <c r="T442" s="212">
        <v>0</v>
      </c>
      <c r="U442" s="290">
        <v>0</v>
      </c>
      <c r="V442" s="282"/>
      <c r="W442" s="282"/>
      <c r="X442" s="282"/>
      <c r="AE442" s="1">
        <f>Q442/P442</f>
        <v>988.91428571428571</v>
      </c>
    </row>
    <row r="443" spans="1:31">
      <c r="A443" s="198">
        <v>365</v>
      </c>
      <c r="B443" s="214" t="s">
        <v>981</v>
      </c>
      <c r="C443" s="211">
        <f>'часть 1'!L448</f>
        <v>1194767</v>
      </c>
      <c r="D443" s="211">
        <f>E443+F443+G443+H443+I443+J443+K443</f>
        <v>1194767</v>
      </c>
      <c r="E443" s="211">
        <v>1194767</v>
      </c>
      <c r="F443" s="211">
        <v>0</v>
      </c>
      <c r="G443" s="211">
        <v>0</v>
      </c>
      <c r="H443" s="211">
        <v>0</v>
      </c>
      <c r="I443" s="211">
        <v>0</v>
      </c>
      <c r="J443" s="211">
        <v>0</v>
      </c>
      <c r="K443" s="211">
        <v>0</v>
      </c>
      <c r="L443" s="212">
        <v>0</v>
      </c>
      <c r="M443" s="211">
        <v>0</v>
      </c>
      <c r="N443" s="211">
        <v>0</v>
      </c>
      <c r="O443" s="211">
        <v>0</v>
      </c>
      <c r="P443" s="213">
        <v>0</v>
      </c>
      <c r="Q443" s="211">
        <v>0</v>
      </c>
      <c r="R443" s="213">
        <v>0</v>
      </c>
      <c r="S443" s="211">
        <v>0</v>
      </c>
      <c r="T443" s="212">
        <v>0</v>
      </c>
      <c r="U443" s="290">
        <v>0</v>
      </c>
      <c r="V443" s="282"/>
      <c r="W443" s="282"/>
      <c r="X443" s="282"/>
      <c r="Y443" s="1">
        <f>E443/'часть 1'!I448</f>
        <v>745.75057736720555</v>
      </c>
    </row>
    <row r="444" spans="1:31">
      <c r="A444" s="198"/>
      <c r="B444" s="216" t="s">
        <v>58</v>
      </c>
      <c r="C444" s="211">
        <v>12228909</v>
      </c>
      <c r="D444" s="211"/>
      <c r="E444" s="211"/>
      <c r="F444" s="211"/>
      <c r="G444" s="211"/>
      <c r="H444" s="211"/>
      <c r="I444" s="211"/>
      <c r="J444" s="211"/>
      <c r="K444" s="211">
        <v>215709</v>
      </c>
      <c r="L444" s="212">
        <v>0</v>
      </c>
      <c r="M444" s="211">
        <v>0</v>
      </c>
      <c r="N444" s="211">
        <v>6001.34</v>
      </c>
      <c r="O444" s="211">
        <v>12013200</v>
      </c>
      <c r="P444" s="213">
        <v>0</v>
      </c>
      <c r="Q444" s="211">
        <v>0</v>
      </c>
      <c r="R444" s="213">
        <v>0</v>
      </c>
      <c r="S444" s="211">
        <v>0</v>
      </c>
      <c r="T444" s="212">
        <v>0</v>
      </c>
      <c r="U444" s="290">
        <v>0</v>
      </c>
      <c r="V444" s="282"/>
      <c r="W444" s="282"/>
      <c r="X444" s="282"/>
    </row>
    <row r="445" spans="1:31" ht="30">
      <c r="A445" s="198"/>
      <c r="B445" s="214" t="s">
        <v>87</v>
      </c>
      <c r="C445" s="211">
        <v>12228909</v>
      </c>
      <c r="D445" s="211"/>
      <c r="E445" s="211"/>
      <c r="F445" s="211"/>
      <c r="G445" s="211"/>
      <c r="H445" s="211"/>
      <c r="I445" s="211"/>
      <c r="J445" s="211"/>
      <c r="K445" s="211">
        <v>215709</v>
      </c>
      <c r="L445" s="212">
        <v>0</v>
      </c>
      <c r="M445" s="211">
        <v>0</v>
      </c>
      <c r="N445" s="211">
        <v>6001.34</v>
      </c>
      <c r="O445" s="211">
        <v>12013200</v>
      </c>
      <c r="P445" s="213">
        <v>0</v>
      </c>
      <c r="Q445" s="211">
        <v>0</v>
      </c>
      <c r="R445" s="213">
        <v>0</v>
      </c>
      <c r="S445" s="211">
        <v>0</v>
      </c>
      <c r="T445" s="212">
        <v>0</v>
      </c>
      <c r="U445" s="290">
        <v>0</v>
      </c>
      <c r="V445" s="282"/>
      <c r="W445" s="282"/>
      <c r="X445" s="282"/>
    </row>
    <row r="446" spans="1:31" s="29" customFormat="1">
      <c r="A446" s="198">
        <v>366</v>
      </c>
      <c r="B446" s="238" t="s">
        <v>84</v>
      </c>
      <c r="C446" s="232">
        <v>1668544</v>
      </c>
      <c r="D446" s="232"/>
      <c r="E446" s="232"/>
      <c r="F446" s="232"/>
      <c r="G446" s="232"/>
      <c r="H446" s="232"/>
      <c r="I446" s="232"/>
      <c r="J446" s="232"/>
      <c r="K446" s="196">
        <v>0</v>
      </c>
      <c r="L446" s="204">
        <v>0</v>
      </c>
      <c r="M446" s="209">
        <v>0</v>
      </c>
      <c r="N446" s="199">
        <v>840</v>
      </c>
      <c r="O446" s="237">
        <v>1668544</v>
      </c>
      <c r="P446" s="200">
        <v>0</v>
      </c>
      <c r="Q446" s="199">
        <v>0</v>
      </c>
      <c r="R446" s="200">
        <v>0</v>
      </c>
      <c r="S446" s="199">
        <v>0</v>
      </c>
      <c r="T446" s="208">
        <v>0</v>
      </c>
      <c r="U446" s="294">
        <v>0</v>
      </c>
      <c r="V446" s="282"/>
      <c r="W446" s="282"/>
      <c r="X446" s="282"/>
    </row>
    <row r="447" spans="1:31" s="29" customFormat="1">
      <c r="A447" s="198">
        <v>367</v>
      </c>
      <c r="B447" s="238" t="s">
        <v>425</v>
      </c>
      <c r="C447" s="211">
        <v>2239107</v>
      </c>
      <c r="D447" s="211"/>
      <c r="E447" s="211"/>
      <c r="F447" s="211"/>
      <c r="G447" s="211"/>
      <c r="H447" s="211"/>
      <c r="I447" s="211"/>
      <c r="J447" s="211"/>
      <c r="K447" s="196">
        <v>0</v>
      </c>
      <c r="L447" s="204">
        <v>0</v>
      </c>
      <c r="M447" s="209">
        <v>0</v>
      </c>
      <c r="N447" s="199">
        <v>1101</v>
      </c>
      <c r="O447" s="237">
        <v>2239107</v>
      </c>
      <c r="P447" s="200">
        <v>0</v>
      </c>
      <c r="Q447" s="199">
        <v>0</v>
      </c>
      <c r="R447" s="200">
        <v>0</v>
      </c>
      <c r="S447" s="199">
        <v>0</v>
      </c>
      <c r="T447" s="208">
        <v>0</v>
      </c>
      <c r="U447" s="294">
        <v>0</v>
      </c>
      <c r="V447" s="282"/>
      <c r="W447" s="282"/>
      <c r="X447" s="282"/>
    </row>
    <row r="448" spans="1:31" s="29" customFormat="1">
      <c r="A448" s="198">
        <v>368</v>
      </c>
      <c r="B448" s="238" t="s">
        <v>433</v>
      </c>
      <c r="C448" s="232">
        <v>215709</v>
      </c>
      <c r="D448" s="232"/>
      <c r="E448" s="232"/>
      <c r="F448" s="232"/>
      <c r="G448" s="232"/>
      <c r="H448" s="232"/>
      <c r="I448" s="232"/>
      <c r="J448" s="232"/>
      <c r="K448" s="196">
        <v>215709</v>
      </c>
      <c r="L448" s="204">
        <v>0</v>
      </c>
      <c r="M448" s="209">
        <v>0</v>
      </c>
      <c r="N448" s="199">
        <v>0</v>
      </c>
      <c r="O448" s="237">
        <v>0</v>
      </c>
      <c r="P448" s="200">
        <v>0</v>
      </c>
      <c r="Q448" s="199">
        <v>0</v>
      </c>
      <c r="R448" s="200">
        <v>0</v>
      </c>
      <c r="S448" s="199">
        <v>0</v>
      </c>
      <c r="T448" s="208">
        <v>0</v>
      </c>
      <c r="U448" s="294">
        <v>0</v>
      </c>
      <c r="V448" s="282"/>
      <c r="W448" s="282"/>
      <c r="X448" s="282"/>
    </row>
    <row r="449" spans="1:33" s="29" customFormat="1">
      <c r="A449" s="198">
        <v>369</v>
      </c>
      <c r="B449" s="238" t="s">
        <v>79</v>
      </c>
      <c r="C449" s="211">
        <v>706234</v>
      </c>
      <c r="D449" s="211"/>
      <c r="E449" s="211"/>
      <c r="F449" s="211"/>
      <c r="G449" s="211"/>
      <c r="H449" s="211"/>
      <c r="I449" s="211"/>
      <c r="J449" s="211"/>
      <c r="K449" s="196">
        <v>0</v>
      </c>
      <c r="L449" s="204">
        <v>0</v>
      </c>
      <c r="M449" s="209">
        <v>0</v>
      </c>
      <c r="N449" s="199">
        <v>348</v>
      </c>
      <c r="O449" s="237">
        <v>706234</v>
      </c>
      <c r="P449" s="200">
        <v>0</v>
      </c>
      <c r="Q449" s="199">
        <v>0</v>
      </c>
      <c r="R449" s="200">
        <v>0</v>
      </c>
      <c r="S449" s="199">
        <v>0</v>
      </c>
      <c r="T449" s="208">
        <v>0</v>
      </c>
      <c r="U449" s="294">
        <v>0</v>
      </c>
      <c r="V449" s="282"/>
      <c r="W449" s="282"/>
      <c r="X449" s="282"/>
    </row>
    <row r="450" spans="1:33" s="29" customFormat="1">
      <c r="A450" s="198">
        <v>370</v>
      </c>
      <c r="B450" s="238" t="s">
        <v>78</v>
      </c>
      <c r="C450" s="211">
        <v>651603</v>
      </c>
      <c r="D450" s="211"/>
      <c r="E450" s="211"/>
      <c r="F450" s="211"/>
      <c r="G450" s="211"/>
      <c r="H450" s="211"/>
      <c r="I450" s="211"/>
      <c r="J450" s="211"/>
      <c r="K450" s="196">
        <v>0</v>
      </c>
      <c r="L450" s="204">
        <v>0</v>
      </c>
      <c r="M450" s="209">
        <v>0</v>
      </c>
      <c r="N450" s="199">
        <v>320</v>
      </c>
      <c r="O450" s="237">
        <v>651603</v>
      </c>
      <c r="P450" s="200">
        <v>0</v>
      </c>
      <c r="Q450" s="199">
        <v>0</v>
      </c>
      <c r="R450" s="200">
        <v>0</v>
      </c>
      <c r="S450" s="199">
        <v>0</v>
      </c>
      <c r="T450" s="208">
        <v>0</v>
      </c>
      <c r="U450" s="294">
        <v>0</v>
      </c>
      <c r="V450" s="282"/>
      <c r="W450" s="282"/>
      <c r="X450" s="282"/>
    </row>
    <row r="451" spans="1:33" s="29" customFormat="1">
      <c r="A451" s="198">
        <v>371</v>
      </c>
      <c r="B451" s="238" t="s">
        <v>426</v>
      </c>
      <c r="C451" s="232">
        <v>698701</v>
      </c>
      <c r="D451" s="232"/>
      <c r="E451" s="232"/>
      <c r="F451" s="232"/>
      <c r="G451" s="232"/>
      <c r="H451" s="232"/>
      <c r="I451" s="232"/>
      <c r="J451" s="232"/>
      <c r="K451" s="196">
        <v>0</v>
      </c>
      <c r="L451" s="204">
        <v>0</v>
      </c>
      <c r="M451" s="209">
        <v>0</v>
      </c>
      <c r="N451" s="199">
        <v>352</v>
      </c>
      <c r="O451" s="237">
        <v>698701</v>
      </c>
      <c r="P451" s="200">
        <v>0</v>
      </c>
      <c r="Q451" s="199">
        <v>0</v>
      </c>
      <c r="R451" s="200">
        <v>0</v>
      </c>
      <c r="S451" s="199">
        <v>0</v>
      </c>
      <c r="T451" s="208">
        <v>0</v>
      </c>
      <c r="U451" s="294">
        <v>0</v>
      </c>
      <c r="V451" s="282"/>
      <c r="W451" s="282"/>
      <c r="X451" s="282"/>
    </row>
    <row r="452" spans="1:33" s="29" customFormat="1">
      <c r="A452" s="198">
        <v>372</v>
      </c>
      <c r="B452" s="238" t="s">
        <v>80</v>
      </c>
      <c r="C452" s="232">
        <v>1512903</v>
      </c>
      <c r="D452" s="232"/>
      <c r="E452" s="232"/>
      <c r="F452" s="232"/>
      <c r="G452" s="232"/>
      <c r="H452" s="232"/>
      <c r="I452" s="232"/>
      <c r="J452" s="232"/>
      <c r="K452" s="196">
        <v>0</v>
      </c>
      <c r="L452" s="204">
        <v>0</v>
      </c>
      <c r="M452" s="209">
        <v>0</v>
      </c>
      <c r="N452" s="199">
        <v>762</v>
      </c>
      <c r="O452" s="237">
        <v>1512903</v>
      </c>
      <c r="P452" s="200">
        <v>0</v>
      </c>
      <c r="Q452" s="199">
        <v>0</v>
      </c>
      <c r="R452" s="200">
        <v>0</v>
      </c>
      <c r="S452" s="199">
        <v>0</v>
      </c>
      <c r="T452" s="208">
        <v>0</v>
      </c>
      <c r="U452" s="294">
        <v>0</v>
      </c>
      <c r="V452" s="282"/>
      <c r="W452" s="282"/>
      <c r="X452" s="282"/>
    </row>
    <row r="453" spans="1:33" s="29" customFormat="1">
      <c r="A453" s="198">
        <v>373</v>
      </c>
      <c r="B453" s="238" t="s">
        <v>81</v>
      </c>
      <c r="C453" s="232">
        <v>2294873</v>
      </c>
      <c r="D453" s="232"/>
      <c r="E453" s="232"/>
      <c r="F453" s="232"/>
      <c r="G453" s="232"/>
      <c r="H453" s="232"/>
      <c r="I453" s="232"/>
      <c r="J453" s="232"/>
      <c r="K453" s="196">
        <v>0</v>
      </c>
      <c r="L453" s="204">
        <v>0</v>
      </c>
      <c r="M453" s="209">
        <v>0</v>
      </c>
      <c r="N453" s="199">
        <v>1162</v>
      </c>
      <c r="O453" s="237">
        <v>2294873</v>
      </c>
      <c r="P453" s="200">
        <v>0</v>
      </c>
      <c r="Q453" s="199">
        <v>0</v>
      </c>
      <c r="R453" s="230">
        <v>0</v>
      </c>
      <c r="S453" s="237">
        <v>0</v>
      </c>
      <c r="T453" s="208">
        <v>0</v>
      </c>
      <c r="U453" s="294">
        <v>0</v>
      </c>
      <c r="V453" s="282"/>
      <c r="W453" s="282"/>
      <c r="X453" s="282"/>
    </row>
    <row r="454" spans="1:33" s="29" customFormat="1">
      <c r="A454" s="198">
        <v>374</v>
      </c>
      <c r="B454" s="238" t="s">
        <v>82</v>
      </c>
      <c r="C454" s="232">
        <v>879987</v>
      </c>
      <c r="D454" s="232"/>
      <c r="E454" s="232"/>
      <c r="F454" s="232"/>
      <c r="G454" s="232"/>
      <c r="H454" s="232"/>
      <c r="I454" s="232"/>
      <c r="J454" s="232"/>
      <c r="K454" s="196">
        <v>0</v>
      </c>
      <c r="L454" s="204">
        <v>0</v>
      </c>
      <c r="M454" s="209">
        <v>0</v>
      </c>
      <c r="N454" s="199">
        <v>436.34</v>
      </c>
      <c r="O454" s="237">
        <v>879987</v>
      </c>
      <c r="P454" s="200">
        <v>0</v>
      </c>
      <c r="Q454" s="199">
        <v>0</v>
      </c>
      <c r="R454" s="200">
        <v>0</v>
      </c>
      <c r="S454" s="237">
        <v>0</v>
      </c>
      <c r="T454" s="208">
        <v>0</v>
      </c>
      <c r="U454" s="294">
        <v>0</v>
      </c>
      <c r="V454" s="282"/>
      <c r="W454" s="282"/>
      <c r="X454" s="282"/>
    </row>
    <row r="455" spans="1:33" s="29" customFormat="1">
      <c r="A455" s="198">
        <v>375</v>
      </c>
      <c r="B455" s="238" t="s">
        <v>83</v>
      </c>
      <c r="C455" s="232">
        <v>1361248</v>
      </c>
      <c r="D455" s="232"/>
      <c r="E455" s="232"/>
      <c r="F455" s="232"/>
      <c r="G455" s="232"/>
      <c r="H455" s="232"/>
      <c r="I455" s="232"/>
      <c r="J455" s="232"/>
      <c r="K455" s="196">
        <v>0</v>
      </c>
      <c r="L455" s="204">
        <v>0</v>
      </c>
      <c r="M455" s="209">
        <v>0</v>
      </c>
      <c r="N455" s="199">
        <v>680</v>
      </c>
      <c r="O455" s="237">
        <v>1361248</v>
      </c>
      <c r="P455" s="200">
        <v>0</v>
      </c>
      <c r="Q455" s="199">
        <v>0</v>
      </c>
      <c r="R455" s="230">
        <v>0</v>
      </c>
      <c r="S455" s="237">
        <v>0</v>
      </c>
      <c r="T455" s="208">
        <v>0</v>
      </c>
      <c r="U455" s="294">
        <v>0</v>
      </c>
      <c r="V455" s="282"/>
      <c r="W455" s="282"/>
      <c r="X455" s="282"/>
    </row>
    <row r="456" spans="1:33" ht="24" customHeight="1">
      <c r="A456" s="430"/>
      <c r="B456" s="464" t="s">
        <v>59</v>
      </c>
      <c r="C456" s="439">
        <f>C457+C465</f>
        <v>4724118</v>
      </c>
      <c r="D456" s="439">
        <f t="shared" ref="D456:V456" si="60">D457+D465</f>
        <v>1051127</v>
      </c>
      <c r="E456" s="439">
        <f t="shared" si="60"/>
        <v>210013</v>
      </c>
      <c r="F456" s="439">
        <f t="shared" si="60"/>
        <v>0</v>
      </c>
      <c r="G456" s="439">
        <f t="shared" si="60"/>
        <v>483326</v>
      </c>
      <c r="H456" s="439">
        <f t="shared" si="60"/>
        <v>162505</v>
      </c>
      <c r="I456" s="439">
        <f t="shared" si="60"/>
        <v>0</v>
      </c>
      <c r="J456" s="439">
        <f t="shared" si="60"/>
        <v>195283</v>
      </c>
      <c r="K456" s="439">
        <f t="shared" si="60"/>
        <v>0</v>
      </c>
      <c r="L456" s="439">
        <f t="shared" si="60"/>
        <v>0</v>
      </c>
      <c r="M456" s="439">
        <f t="shared" si="60"/>
        <v>0</v>
      </c>
      <c r="N456" s="439">
        <f t="shared" si="60"/>
        <v>1617</v>
      </c>
      <c r="O456" s="439">
        <f t="shared" si="60"/>
        <v>1131900</v>
      </c>
      <c r="P456" s="439">
        <f t="shared" si="60"/>
        <v>0</v>
      </c>
      <c r="Q456" s="439">
        <f t="shared" si="60"/>
        <v>0</v>
      </c>
      <c r="R456" s="439">
        <f t="shared" si="60"/>
        <v>136.30000000000004</v>
      </c>
      <c r="S456" s="439">
        <f t="shared" si="60"/>
        <v>1812817</v>
      </c>
      <c r="T456" s="439">
        <f t="shared" si="60"/>
        <v>799</v>
      </c>
      <c r="U456" s="439">
        <f t="shared" si="60"/>
        <v>728274</v>
      </c>
      <c r="V456" s="439">
        <f t="shared" si="60"/>
        <v>0</v>
      </c>
      <c r="W456" s="282"/>
      <c r="X456" s="282"/>
    </row>
    <row r="457" spans="1:33" ht="30">
      <c r="A457" s="430"/>
      <c r="B457" s="465" t="s">
        <v>86</v>
      </c>
      <c r="C457" s="556">
        <f>C458+C459+C460+C461+C462+C463+C464</f>
        <v>1839043</v>
      </c>
      <c r="D457" s="556">
        <f t="shared" ref="D457:U457" si="61">D458+D459+D460+D461+D462+D463+D464</f>
        <v>567801</v>
      </c>
      <c r="E457" s="556">
        <f t="shared" si="61"/>
        <v>210013</v>
      </c>
      <c r="F457" s="556">
        <f t="shared" si="61"/>
        <v>0</v>
      </c>
      <c r="G457" s="556">
        <f t="shared" si="61"/>
        <v>0</v>
      </c>
      <c r="H457" s="556">
        <f t="shared" si="61"/>
        <v>162505</v>
      </c>
      <c r="I457" s="556">
        <f t="shared" si="61"/>
        <v>0</v>
      </c>
      <c r="J457" s="556">
        <f t="shared" si="61"/>
        <v>195283</v>
      </c>
      <c r="K457" s="556">
        <f t="shared" si="61"/>
        <v>0</v>
      </c>
      <c r="L457" s="556">
        <f t="shared" si="61"/>
        <v>0</v>
      </c>
      <c r="M457" s="556">
        <f t="shared" si="61"/>
        <v>0</v>
      </c>
      <c r="N457" s="556">
        <f t="shared" si="61"/>
        <v>1617</v>
      </c>
      <c r="O457" s="556">
        <f t="shared" si="61"/>
        <v>1131900</v>
      </c>
      <c r="P457" s="556">
        <f t="shared" si="61"/>
        <v>0</v>
      </c>
      <c r="Q457" s="556">
        <f t="shared" si="61"/>
        <v>0</v>
      </c>
      <c r="R457" s="556">
        <f t="shared" si="61"/>
        <v>0</v>
      </c>
      <c r="S457" s="556">
        <f t="shared" si="61"/>
        <v>0</v>
      </c>
      <c r="T457" s="556">
        <f t="shared" si="61"/>
        <v>471</v>
      </c>
      <c r="U457" s="556">
        <f t="shared" si="61"/>
        <v>139342</v>
      </c>
      <c r="V457" s="282"/>
      <c r="W457" s="282"/>
      <c r="X457" s="282"/>
      <c r="Y457" s="30"/>
      <c r="Z457" s="30"/>
    </row>
    <row r="458" spans="1:33" ht="15.75">
      <c r="A458" s="430">
        <v>376</v>
      </c>
      <c r="B458" s="915" t="s">
        <v>361</v>
      </c>
      <c r="C458" s="556">
        <f>'часть 1'!L538</f>
        <v>392000</v>
      </c>
      <c r="D458" s="556">
        <f>E458+F458+G458+H458+I458+J458+K458</f>
        <v>0</v>
      </c>
      <c r="E458" s="556">
        <v>0</v>
      </c>
      <c r="F458" s="556">
        <v>0</v>
      </c>
      <c r="G458" s="556">
        <v>0</v>
      </c>
      <c r="H458" s="556">
        <v>0</v>
      </c>
      <c r="I458" s="556">
        <v>0</v>
      </c>
      <c r="J458" s="556">
        <v>0</v>
      </c>
      <c r="K458" s="556">
        <v>0</v>
      </c>
      <c r="L458" s="917">
        <v>0</v>
      </c>
      <c r="M458" s="556">
        <v>0</v>
      </c>
      <c r="N458" s="556">
        <v>560</v>
      </c>
      <c r="O458" s="556">
        <v>392000</v>
      </c>
      <c r="P458" s="918">
        <v>0</v>
      </c>
      <c r="Q458" s="556">
        <v>0</v>
      </c>
      <c r="R458" s="556">
        <v>0</v>
      </c>
      <c r="S458" s="556">
        <v>0</v>
      </c>
      <c r="T458" s="917">
        <v>0</v>
      </c>
      <c r="U458" s="919">
        <v>0</v>
      </c>
      <c r="V458" s="282"/>
      <c r="W458" s="282">
        <f>O458/N458</f>
        <v>700</v>
      </c>
      <c r="X458" s="282"/>
      <c r="Y458" s="92"/>
      <c r="Z458" s="92"/>
    </row>
    <row r="459" spans="1:33" ht="15.75">
      <c r="A459" s="430">
        <v>377</v>
      </c>
      <c r="B459" s="915" t="s">
        <v>434</v>
      </c>
      <c r="C459" s="556">
        <f>'часть 1'!L539</f>
        <v>340900</v>
      </c>
      <c r="D459" s="556">
        <f t="shared" ref="D459:D464" si="62">E459+F459+G459+H459+I459+J459+K459</f>
        <v>0</v>
      </c>
      <c r="E459" s="556">
        <v>0</v>
      </c>
      <c r="F459" s="556">
        <v>0</v>
      </c>
      <c r="G459" s="556">
        <v>0</v>
      </c>
      <c r="H459" s="556">
        <v>0</v>
      </c>
      <c r="I459" s="556">
        <v>0</v>
      </c>
      <c r="J459" s="556">
        <v>0</v>
      </c>
      <c r="K459" s="556">
        <v>0</v>
      </c>
      <c r="L459" s="917">
        <v>0</v>
      </c>
      <c r="M459" s="556">
        <v>0</v>
      </c>
      <c r="N459" s="556">
        <v>487</v>
      </c>
      <c r="O459" s="556">
        <v>340900</v>
      </c>
      <c r="P459" s="918">
        <v>0</v>
      </c>
      <c r="Q459" s="556">
        <v>0</v>
      </c>
      <c r="R459" s="920">
        <v>0</v>
      </c>
      <c r="S459" s="556">
        <v>0</v>
      </c>
      <c r="T459" s="917">
        <v>0</v>
      </c>
      <c r="U459" s="919">
        <v>0</v>
      </c>
      <c r="V459" s="282"/>
      <c r="W459" s="282">
        <f>O459/N459</f>
        <v>700</v>
      </c>
      <c r="X459" s="282"/>
      <c r="Y459" s="92"/>
      <c r="Z459" s="92"/>
    </row>
    <row r="460" spans="1:33" ht="25.15" customHeight="1">
      <c r="A460" s="430">
        <v>378</v>
      </c>
      <c r="B460" s="915" t="s">
        <v>362</v>
      </c>
      <c r="C460" s="556">
        <f>'часть 1'!L540</f>
        <v>399000</v>
      </c>
      <c r="D460" s="556">
        <f t="shared" si="62"/>
        <v>0</v>
      </c>
      <c r="E460" s="556">
        <v>0</v>
      </c>
      <c r="F460" s="556">
        <v>0</v>
      </c>
      <c r="G460" s="556">
        <v>0</v>
      </c>
      <c r="H460" s="556">
        <v>0</v>
      </c>
      <c r="I460" s="556">
        <v>0</v>
      </c>
      <c r="J460" s="556">
        <v>0</v>
      </c>
      <c r="K460" s="556">
        <v>0</v>
      </c>
      <c r="L460" s="917">
        <v>0</v>
      </c>
      <c r="M460" s="556">
        <v>0</v>
      </c>
      <c r="N460" s="556">
        <v>570</v>
      </c>
      <c r="O460" s="556">
        <v>399000</v>
      </c>
      <c r="P460" s="918">
        <v>0</v>
      </c>
      <c r="Q460" s="556">
        <v>0</v>
      </c>
      <c r="R460" s="556">
        <v>0</v>
      </c>
      <c r="S460" s="556">
        <v>0</v>
      </c>
      <c r="T460" s="917">
        <v>0</v>
      </c>
      <c r="U460" s="919">
        <v>0</v>
      </c>
      <c r="V460" s="282"/>
      <c r="W460" s="282">
        <f>O460/N460</f>
        <v>700</v>
      </c>
      <c r="X460" s="282"/>
      <c r="Y460" s="92"/>
      <c r="Z460" s="92"/>
    </row>
    <row r="461" spans="1:33" ht="15.75">
      <c r="A461" s="430">
        <v>379</v>
      </c>
      <c r="B461" s="915" t="s">
        <v>363</v>
      </c>
      <c r="C461" s="556">
        <f>'часть 1'!L541</f>
        <v>216335</v>
      </c>
      <c r="D461" s="556">
        <f t="shared" si="62"/>
        <v>216335</v>
      </c>
      <c r="E461" s="556">
        <v>0</v>
      </c>
      <c r="F461" s="556">
        <v>0</v>
      </c>
      <c r="G461" s="556">
        <v>0</v>
      </c>
      <c r="H461" s="556">
        <v>60242</v>
      </c>
      <c r="I461" s="556"/>
      <c r="J461" s="556">
        <v>156093</v>
      </c>
      <c r="K461" s="556">
        <v>0</v>
      </c>
      <c r="L461" s="917">
        <v>0</v>
      </c>
      <c r="M461" s="556">
        <v>0</v>
      </c>
      <c r="N461" s="556">
        <v>0</v>
      </c>
      <c r="O461" s="556">
        <v>0</v>
      </c>
      <c r="P461" s="918">
        <v>0</v>
      </c>
      <c r="Q461" s="556">
        <v>0</v>
      </c>
      <c r="R461" s="556">
        <v>0</v>
      </c>
      <c r="S461" s="556">
        <v>0</v>
      </c>
      <c r="T461" s="917">
        <v>0</v>
      </c>
      <c r="U461" s="919">
        <v>0</v>
      </c>
      <c r="V461" s="282"/>
      <c r="W461" s="282"/>
      <c r="X461" s="282"/>
      <c r="Y461" s="92"/>
      <c r="Z461" s="92"/>
      <c r="AB461" s="1">
        <f>H461/'часть 1'!I541</f>
        <v>78.064014513411948</v>
      </c>
      <c r="AD461" s="1">
        <f>J461/'часть 1'!I541</f>
        <v>202.27160813787739</v>
      </c>
    </row>
    <row r="462" spans="1:33" ht="19.899999999999999" customHeight="1">
      <c r="A462" s="430">
        <v>380</v>
      </c>
      <c r="B462" s="915" t="s">
        <v>364</v>
      </c>
      <c r="C462" s="556">
        <f>'часть 1'!L542</f>
        <v>243345</v>
      </c>
      <c r="D462" s="556">
        <f t="shared" si="62"/>
        <v>243345</v>
      </c>
      <c r="E462" s="556">
        <v>210013</v>
      </c>
      <c r="F462" s="556">
        <v>0</v>
      </c>
      <c r="G462" s="556">
        <v>0</v>
      </c>
      <c r="H462" s="556">
        <v>0</v>
      </c>
      <c r="I462" s="556">
        <v>0</v>
      </c>
      <c r="J462" s="556">
        <v>33332</v>
      </c>
      <c r="K462" s="556">
        <v>0</v>
      </c>
      <c r="L462" s="917">
        <v>0</v>
      </c>
      <c r="M462" s="556">
        <v>0</v>
      </c>
      <c r="N462" s="556">
        <v>0</v>
      </c>
      <c r="O462" s="556">
        <v>0</v>
      </c>
      <c r="P462" s="918">
        <v>0</v>
      </c>
      <c r="Q462" s="556">
        <v>0</v>
      </c>
      <c r="R462" s="920">
        <v>0</v>
      </c>
      <c r="S462" s="556">
        <v>0</v>
      </c>
      <c r="T462" s="917">
        <v>0</v>
      </c>
      <c r="U462" s="919">
        <v>0</v>
      </c>
      <c r="V462" s="282"/>
      <c r="W462" s="282"/>
      <c r="X462" s="282"/>
      <c r="Y462" s="92">
        <f>E462/'часть 1'!I542</f>
        <v>695.40728476821187</v>
      </c>
      <c r="Z462" s="92"/>
      <c r="AD462" s="1">
        <f>J462/'часть 1'!I542</f>
        <v>110.37086092715232</v>
      </c>
    </row>
    <row r="463" spans="1:33" ht="22.15" customHeight="1">
      <c r="A463" s="430">
        <v>381</v>
      </c>
      <c r="B463" s="915" t="s">
        <v>365</v>
      </c>
      <c r="C463" s="556">
        <f>'часть 1'!L543</f>
        <v>139342</v>
      </c>
      <c r="D463" s="556">
        <f t="shared" si="62"/>
        <v>0</v>
      </c>
      <c r="E463" s="556">
        <v>0</v>
      </c>
      <c r="F463" s="556">
        <v>0</v>
      </c>
      <c r="G463" s="556">
        <v>0</v>
      </c>
      <c r="H463" s="556">
        <v>0</v>
      </c>
      <c r="I463" s="556">
        <v>0</v>
      </c>
      <c r="J463" s="556">
        <v>0</v>
      </c>
      <c r="K463" s="556">
        <v>0</v>
      </c>
      <c r="L463" s="917">
        <v>0</v>
      </c>
      <c r="M463" s="556">
        <v>0</v>
      </c>
      <c r="N463" s="556">
        <v>0</v>
      </c>
      <c r="O463" s="556">
        <v>0</v>
      </c>
      <c r="P463" s="918">
        <v>0</v>
      </c>
      <c r="Q463" s="556">
        <v>0</v>
      </c>
      <c r="R463" s="556">
        <v>0</v>
      </c>
      <c r="S463" s="556">
        <v>0</v>
      </c>
      <c r="T463" s="917">
        <v>471</v>
      </c>
      <c r="U463" s="919">
        <v>139342</v>
      </c>
      <c r="V463" s="282"/>
      <c r="W463" s="282"/>
      <c r="X463" s="282"/>
      <c r="Y463" s="92"/>
      <c r="Z463" s="92"/>
      <c r="AG463" s="1">
        <f>U463/T463</f>
        <v>295.84288747346073</v>
      </c>
    </row>
    <row r="464" spans="1:33" ht="29.45" customHeight="1">
      <c r="A464" s="430">
        <v>382</v>
      </c>
      <c r="B464" s="915" t="s">
        <v>366</v>
      </c>
      <c r="C464" s="556">
        <f>'часть 1'!L544</f>
        <v>108121</v>
      </c>
      <c r="D464" s="556">
        <f t="shared" si="62"/>
        <v>108121</v>
      </c>
      <c r="E464" s="556">
        <v>0</v>
      </c>
      <c r="F464" s="556">
        <v>0</v>
      </c>
      <c r="G464" s="556">
        <v>0</v>
      </c>
      <c r="H464" s="556">
        <v>102263</v>
      </c>
      <c r="I464" s="556">
        <v>0</v>
      </c>
      <c r="J464" s="556">
        <v>5858</v>
      </c>
      <c r="K464" s="556">
        <v>0</v>
      </c>
      <c r="L464" s="917">
        <v>0</v>
      </c>
      <c r="M464" s="556">
        <v>0</v>
      </c>
      <c r="N464" s="556">
        <v>0</v>
      </c>
      <c r="O464" s="556">
        <v>0</v>
      </c>
      <c r="P464" s="918">
        <v>0</v>
      </c>
      <c r="Q464" s="556">
        <v>0</v>
      </c>
      <c r="R464" s="556">
        <v>0</v>
      </c>
      <c r="S464" s="556">
        <v>0</v>
      </c>
      <c r="T464" s="917">
        <v>0</v>
      </c>
      <c r="U464" s="919">
        <v>0</v>
      </c>
      <c r="V464" s="282"/>
      <c r="W464" s="282"/>
      <c r="X464" s="282"/>
      <c r="Y464" s="92"/>
      <c r="Z464" s="92"/>
      <c r="AB464" s="1">
        <f>H464/'часть 1'!I544</f>
        <v>103.6834634492548</v>
      </c>
    </row>
    <row r="465" spans="1:33" ht="30">
      <c r="A465" s="430"/>
      <c r="B465" s="465" t="s">
        <v>85</v>
      </c>
      <c r="C465" s="556">
        <f>C466+C467+C468+C469+C470+C471+C472+C473+C474+C475+C476+C477+C478+C479+C480+C481+C482+C483+C484+C485+C486+C487+C488+C489+C490+C491+C492+C493+C494+C495+C496+C497+C498+C499+C500</f>
        <v>2885075</v>
      </c>
      <c r="D465" s="556">
        <f t="shared" ref="D465:V465" si="63">D466+D467+D468+D469+D470+D471+D472+D473+D474+D475+D476+D477+D478+D479+D480+D481+D482+D483+D484+D485+D486+D487+D488+D489+D490+D491+D492+D493+D494+D495+D496+D497+D498+D499+D500</f>
        <v>483326</v>
      </c>
      <c r="E465" s="556">
        <f t="shared" si="63"/>
        <v>0</v>
      </c>
      <c r="F465" s="556">
        <f t="shared" si="63"/>
        <v>0</v>
      </c>
      <c r="G465" s="556">
        <f t="shared" si="63"/>
        <v>483326</v>
      </c>
      <c r="H465" s="556">
        <f t="shared" si="63"/>
        <v>0</v>
      </c>
      <c r="I465" s="556">
        <f t="shared" si="63"/>
        <v>0</v>
      </c>
      <c r="J465" s="556">
        <f t="shared" si="63"/>
        <v>0</v>
      </c>
      <c r="K465" s="556">
        <f t="shared" si="63"/>
        <v>0</v>
      </c>
      <c r="L465" s="556">
        <f t="shared" si="63"/>
        <v>0</v>
      </c>
      <c r="M465" s="556">
        <f t="shared" si="63"/>
        <v>0</v>
      </c>
      <c r="N465" s="556">
        <f t="shared" si="63"/>
        <v>0</v>
      </c>
      <c r="O465" s="556">
        <f t="shared" si="63"/>
        <v>0</v>
      </c>
      <c r="P465" s="556">
        <f t="shared" si="63"/>
        <v>0</v>
      </c>
      <c r="Q465" s="556">
        <f t="shared" si="63"/>
        <v>0</v>
      </c>
      <c r="R465" s="556">
        <f t="shared" si="63"/>
        <v>136.30000000000004</v>
      </c>
      <c r="S465" s="556">
        <f t="shared" si="63"/>
        <v>1812817</v>
      </c>
      <c r="T465" s="556">
        <f t="shared" si="63"/>
        <v>328</v>
      </c>
      <c r="U465" s="556">
        <f t="shared" si="63"/>
        <v>588932</v>
      </c>
      <c r="V465" s="210">
        <f t="shared" si="63"/>
        <v>0</v>
      </c>
      <c r="W465" s="282"/>
      <c r="X465" s="282"/>
      <c r="Y465" s="92"/>
      <c r="Z465" s="92"/>
    </row>
    <row r="466" spans="1:33" ht="15.75">
      <c r="A466" s="430">
        <v>1</v>
      </c>
      <c r="B466" s="915" t="s">
        <v>890</v>
      </c>
      <c r="C466" s="556">
        <f>'часть 1'!L546</f>
        <v>25264</v>
      </c>
      <c r="D466" s="556">
        <f>E466+F466+G466+H466+I466+J466+K466</f>
        <v>0</v>
      </c>
      <c r="E466" s="556">
        <v>0</v>
      </c>
      <c r="F466" s="556">
        <v>0</v>
      </c>
      <c r="G466" s="556">
        <v>0</v>
      </c>
      <c r="H466" s="556">
        <v>0</v>
      </c>
      <c r="I466" s="556">
        <v>0</v>
      </c>
      <c r="J466" s="556">
        <v>0</v>
      </c>
      <c r="K466" s="556">
        <v>0</v>
      </c>
      <c r="L466" s="917">
        <v>0</v>
      </c>
      <c r="M466" s="556">
        <v>0</v>
      </c>
      <c r="N466" s="556">
        <v>0</v>
      </c>
      <c r="O466" s="556">
        <v>0</v>
      </c>
      <c r="P466" s="918">
        <v>0</v>
      </c>
      <c r="Q466" s="556">
        <v>0</v>
      </c>
      <c r="R466" s="556">
        <v>2.1</v>
      </c>
      <c r="S466" s="556">
        <v>25264</v>
      </c>
      <c r="T466" s="921">
        <v>0</v>
      </c>
      <c r="U466" s="922">
        <v>0</v>
      </c>
      <c r="V466" s="282"/>
      <c r="W466" s="282">
        <f>S466/R466</f>
        <v>12030.476190476191</v>
      </c>
      <c r="X466" s="282"/>
      <c r="Y466" s="92"/>
      <c r="Z466" s="92"/>
    </row>
    <row r="467" spans="1:33" ht="15.75">
      <c r="A467" s="430">
        <v>2</v>
      </c>
      <c r="B467" s="915" t="s">
        <v>891</v>
      </c>
      <c r="C467" s="556">
        <f>'часть 1'!L547</f>
        <v>25312</v>
      </c>
      <c r="D467" s="556">
        <f t="shared" ref="D467:D500" si="64">E467+F467+G467+H467+I467+J467+K467</f>
        <v>0</v>
      </c>
      <c r="E467" s="556">
        <v>0</v>
      </c>
      <c r="F467" s="556">
        <v>0</v>
      </c>
      <c r="G467" s="556">
        <v>0</v>
      </c>
      <c r="H467" s="556">
        <v>0</v>
      </c>
      <c r="I467" s="556">
        <v>0</v>
      </c>
      <c r="J467" s="556">
        <v>0</v>
      </c>
      <c r="K467" s="556">
        <v>0</v>
      </c>
      <c r="L467" s="917">
        <v>0</v>
      </c>
      <c r="M467" s="556">
        <v>0</v>
      </c>
      <c r="N467" s="556">
        <v>0</v>
      </c>
      <c r="O467" s="556">
        <v>0</v>
      </c>
      <c r="P467" s="918">
        <v>0</v>
      </c>
      <c r="Q467" s="556">
        <v>0</v>
      </c>
      <c r="R467" s="556">
        <v>2.1</v>
      </c>
      <c r="S467" s="556">
        <v>25312</v>
      </c>
      <c r="T467" s="921">
        <v>0</v>
      </c>
      <c r="U467" s="922">
        <v>0</v>
      </c>
      <c r="V467" s="282"/>
      <c r="W467" s="282"/>
      <c r="X467" s="282"/>
      <c r="Y467" s="92"/>
      <c r="Z467" s="92"/>
    </row>
    <row r="468" spans="1:33" ht="15.75">
      <c r="A468" s="430">
        <v>3</v>
      </c>
      <c r="B468" s="915" t="s">
        <v>892</v>
      </c>
      <c r="C468" s="556">
        <f>'часть 1'!L548</f>
        <v>25264</v>
      </c>
      <c r="D468" s="556">
        <f t="shared" si="64"/>
        <v>0</v>
      </c>
      <c r="E468" s="556">
        <v>0</v>
      </c>
      <c r="F468" s="556">
        <v>0</v>
      </c>
      <c r="G468" s="556">
        <v>0</v>
      </c>
      <c r="H468" s="556">
        <v>0</v>
      </c>
      <c r="I468" s="556">
        <v>0</v>
      </c>
      <c r="J468" s="556">
        <v>0</v>
      </c>
      <c r="K468" s="556">
        <v>0</v>
      </c>
      <c r="L468" s="917">
        <v>0</v>
      </c>
      <c r="M468" s="556">
        <v>0</v>
      </c>
      <c r="N468" s="556">
        <v>0</v>
      </c>
      <c r="O468" s="556">
        <v>0</v>
      </c>
      <c r="P468" s="918">
        <v>0</v>
      </c>
      <c r="Q468" s="556">
        <v>0</v>
      </c>
      <c r="R468" s="556">
        <v>1.9</v>
      </c>
      <c r="S468" s="556">
        <v>25264</v>
      </c>
      <c r="T468" s="921">
        <v>0</v>
      </c>
      <c r="U468" s="922">
        <v>0</v>
      </c>
      <c r="V468" s="282"/>
      <c r="W468" s="282"/>
      <c r="X468" s="282"/>
      <c r="Y468" s="92"/>
      <c r="Z468" s="92"/>
    </row>
    <row r="469" spans="1:33" ht="15.75">
      <c r="A469" s="430">
        <v>4</v>
      </c>
      <c r="B469" s="915" t="s">
        <v>893</v>
      </c>
      <c r="C469" s="556">
        <f>'часть 1'!L549</f>
        <v>284600</v>
      </c>
      <c r="D469" s="556">
        <f t="shared" si="64"/>
        <v>234120</v>
      </c>
      <c r="E469" s="556">
        <v>0</v>
      </c>
      <c r="F469" s="556">
        <v>0</v>
      </c>
      <c r="G469" s="556">
        <v>234120</v>
      </c>
      <c r="H469" s="556">
        <v>0</v>
      </c>
      <c r="I469" s="556">
        <v>0</v>
      </c>
      <c r="J469" s="556">
        <v>0</v>
      </c>
      <c r="K469" s="556">
        <v>0</v>
      </c>
      <c r="L469" s="917">
        <v>0</v>
      </c>
      <c r="M469" s="556">
        <v>0</v>
      </c>
      <c r="N469" s="556">
        <v>0</v>
      </c>
      <c r="O469" s="556">
        <v>0</v>
      </c>
      <c r="P469" s="918">
        <v>0</v>
      </c>
      <c r="Q469" s="556">
        <v>0</v>
      </c>
      <c r="R469" s="556">
        <v>4.3</v>
      </c>
      <c r="S469" s="556">
        <v>50480</v>
      </c>
      <c r="T469" s="921">
        <v>0</v>
      </c>
      <c r="U469" s="922">
        <v>0</v>
      </c>
      <c r="V469" s="282"/>
      <c r="W469" s="282"/>
      <c r="X469" s="282"/>
      <c r="Y469" s="92"/>
      <c r="Z469" s="92"/>
    </row>
    <row r="470" spans="1:33" ht="15.75">
      <c r="A470" s="430">
        <v>5</v>
      </c>
      <c r="B470" s="915" t="s">
        <v>894</v>
      </c>
      <c r="C470" s="556">
        <f>'часть 1'!L550</f>
        <v>25505</v>
      </c>
      <c r="D470" s="556">
        <f t="shared" si="64"/>
        <v>0</v>
      </c>
      <c r="E470" s="556">
        <v>0</v>
      </c>
      <c r="F470" s="556">
        <v>0</v>
      </c>
      <c r="G470" s="556">
        <v>0</v>
      </c>
      <c r="H470" s="556">
        <v>0</v>
      </c>
      <c r="I470" s="556">
        <v>0</v>
      </c>
      <c r="J470" s="556">
        <v>0</v>
      </c>
      <c r="K470" s="556">
        <v>0</v>
      </c>
      <c r="L470" s="917">
        <v>0</v>
      </c>
      <c r="M470" s="556">
        <v>0</v>
      </c>
      <c r="N470" s="556">
        <v>0</v>
      </c>
      <c r="O470" s="556">
        <v>0</v>
      </c>
      <c r="P470" s="918">
        <v>0</v>
      </c>
      <c r="Q470" s="556">
        <v>0</v>
      </c>
      <c r="R470" s="556">
        <v>1.9</v>
      </c>
      <c r="S470" s="556">
        <v>25505</v>
      </c>
      <c r="T470" s="921">
        <v>0</v>
      </c>
      <c r="U470" s="922">
        <v>0</v>
      </c>
      <c r="V470" s="282"/>
      <c r="W470" s="282"/>
      <c r="X470" s="282"/>
      <c r="Y470" s="92"/>
      <c r="Z470" s="92"/>
    </row>
    <row r="471" spans="1:33" ht="15.75">
      <c r="A471" s="430">
        <v>6</v>
      </c>
      <c r="B471" s="915" t="s">
        <v>895</v>
      </c>
      <c r="C471" s="556">
        <f>'часть 1'!L551</f>
        <v>25168</v>
      </c>
      <c r="D471" s="556">
        <f t="shared" si="64"/>
        <v>0</v>
      </c>
      <c r="E471" s="556">
        <v>0</v>
      </c>
      <c r="F471" s="556">
        <v>0</v>
      </c>
      <c r="G471" s="556">
        <v>0</v>
      </c>
      <c r="H471" s="556">
        <v>0</v>
      </c>
      <c r="I471" s="556">
        <v>0</v>
      </c>
      <c r="J471" s="556">
        <v>0</v>
      </c>
      <c r="K471" s="556">
        <v>0</v>
      </c>
      <c r="L471" s="917">
        <v>0</v>
      </c>
      <c r="M471" s="556">
        <v>0</v>
      </c>
      <c r="N471" s="556">
        <v>0</v>
      </c>
      <c r="O471" s="556">
        <v>0</v>
      </c>
      <c r="P471" s="918">
        <v>0</v>
      </c>
      <c r="Q471" s="556">
        <v>0</v>
      </c>
      <c r="R471" s="556">
        <v>2.1</v>
      </c>
      <c r="S471" s="556">
        <v>25168</v>
      </c>
      <c r="T471" s="921">
        <v>0</v>
      </c>
      <c r="U471" s="922">
        <v>0</v>
      </c>
      <c r="V471" s="282"/>
      <c r="W471" s="282"/>
      <c r="X471" s="282"/>
      <c r="Y471" s="92"/>
      <c r="Z471" s="92"/>
    </row>
    <row r="472" spans="1:33" ht="15.75">
      <c r="A472" s="430">
        <v>7</v>
      </c>
      <c r="B472" s="915" t="s">
        <v>896</v>
      </c>
      <c r="C472" s="556">
        <f>'часть 1'!L552</f>
        <v>299445</v>
      </c>
      <c r="D472" s="556">
        <f t="shared" si="64"/>
        <v>249206</v>
      </c>
      <c r="E472" s="556">
        <v>0</v>
      </c>
      <c r="F472" s="556">
        <v>0</v>
      </c>
      <c r="G472" s="556">
        <v>249206</v>
      </c>
      <c r="H472" s="556">
        <v>0</v>
      </c>
      <c r="I472" s="556">
        <v>0</v>
      </c>
      <c r="J472" s="556">
        <v>0</v>
      </c>
      <c r="K472" s="556">
        <v>0</v>
      </c>
      <c r="L472" s="917">
        <v>0</v>
      </c>
      <c r="M472" s="556">
        <v>0</v>
      </c>
      <c r="N472" s="556">
        <v>0</v>
      </c>
      <c r="O472" s="556">
        <v>0</v>
      </c>
      <c r="P472" s="918">
        <v>0</v>
      </c>
      <c r="Q472" s="556">
        <v>0</v>
      </c>
      <c r="R472" s="556">
        <v>4.2</v>
      </c>
      <c r="S472" s="556">
        <v>50239</v>
      </c>
      <c r="T472" s="921">
        <v>0</v>
      </c>
      <c r="U472" s="922">
        <v>0</v>
      </c>
      <c r="V472" s="282"/>
      <c r="W472" s="282"/>
      <c r="X472" s="282"/>
      <c r="Y472" s="92"/>
      <c r="Z472" s="92"/>
    </row>
    <row r="473" spans="1:33" ht="15.75">
      <c r="A473" s="430">
        <v>8</v>
      </c>
      <c r="B473" s="915" t="s">
        <v>897</v>
      </c>
      <c r="C473" s="556">
        <f>'часть 1'!L553</f>
        <v>32502</v>
      </c>
      <c r="D473" s="556">
        <f t="shared" si="64"/>
        <v>0</v>
      </c>
      <c r="E473" s="556">
        <v>0</v>
      </c>
      <c r="F473" s="556">
        <v>0</v>
      </c>
      <c r="G473" s="556">
        <v>0</v>
      </c>
      <c r="H473" s="556">
        <v>0</v>
      </c>
      <c r="I473" s="556">
        <v>0</v>
      </c>
      <c r="J473" s="556">
        <v>0</v>
      </c>
      <c r="K473" s="556">
        <v>0</v>
      </c>
      <c r="L473" s="917">
        <v>0</v>
      </c>
      <c r="M473" s="556">
        <v>0</v>
      </c>
      <c r="N473" s="556">
        <v>0</v>
      </c>
      <c r="O473" s="556">
        <v>0</v>
      </c>
      <c r="P473" s="918">
        <v>0</v>
      </c>
      <c r="Q473" s="556">
        <v>0</v>
      </c>
      <c r="R473" s="556">
        <v>3.7</v>
      </c>
      <c r="S473" s="556">
        <v>32502</v>
      </c>
      <c r="T473" s="921">
        <v>0</v>
      </c>
      <c r="U473" s="922">
        <v>0</v>
      </c>
      <c r="V473" s="282"/>
      <c r="W473" s="282"/>
      <c r="X473" s="282"/>
      <c r="Y473" s="92"/>
      <c r="Z473" s="92"/>
    </row>
    <row r="474" spans="1:33" ht="15.75">
      <c r="A474" s="430">
        <v>9</v>
      </c>
      <c r="B474" s="915" t="s">
        <v>898</v>
      </c>
      <c r="C474" s="556">
        <f>'часть 1'!L554</f>
        <v>50721</v>
      </c>
      <c r="D474" s="556">
        <f t="shared" si="64"/>
        <v>0</v>
      </c>
      <c r="E474" s="556">
        <v>0</v>
      </c>
      <c r="F474" s="556">
        <v>0</v>
      </c>
      <c r="G474" s="556">
        <v>0</v>
      </c>
      <c r="H474" s="556">
        <v>0</v>
      </c>
      <c r="I474" s="556">
        <v>0</v>
      </c>
      <c r="J474" s="556">
        <v>0</v>
      </c>
      <c r="K474" s="556">
        <v>0</v>
      </c>
      <c r="L474" s="917">
        <v>0</v>
      </c>
      <c r="M474" s="556">
        <v>0</v>
      </c>
      <c r="N474" s="556">
        <v>0</v>
      </c>
      <c r="O474" s="556">
        <v>0</v>
      </c>
      <c r="P474" s="918">
        <v>0</v>
      </c>
      <c r="Q474" s="556">
        <v>0</v>
      </c>
      <c r="R474" s="556">
        <v>4.3</v>
      </c>
      <c r="S474" s="556">
        <v>50721</v>
      </c>
      <c r="T474" s="921">
        <v>0</v>
      </c>
      <c r="U474" s="922">
        <v>0</v>
      </c>
      <c r="V474" s="282"/>
      <c r="W474" s="282"/>
      <c r="X474" s="282"/>
      <c r="Y474" s="92"/>
      <c r="Z474" s="92"/>
    </row>
    <row r="475" spans="1:33" ht="15.75">
      <c r="A475" s="430">
        <v>10</v>
      </c>
      <c r="B475" s="915" t="s">
        <v>899</v>
      </c>
      <c r="C475" s="556">
        <f>'часть 1'!L555</f>
        <v>257869</v>
      </c>
      <c r="D475" s="556">
        <f t="shared" si="64"/>
        <v>0</v>
      </c>
      <c r="E475" s="556">
        <v>0</v>
      </c>
      <c r="F475" s="556">
        <v>0</v>
      </c>
      <c r="G475" s="556">
        <v>0</v>
      </c>
      <c r="H475" s="556">
        <v>0</v>
      </c>
      <c r="I475" s="556">
        <v>0</v>
      </c>
      <c r="J475" s="556">
        <v>0</v>
      </c>
      <c r="K475" s="556">
        <v>0</v>
      </c>
      <c r="L475" s="917">
        <v>0</v>
      </c>
      <c r="M475" s="556">
        <v>0</v>
      </c>
      <c r="N475" s="556">
        <v>0</v>
      </c>
      <c r="O475" s="556">
        <v>0</v>
      </c>
      <c r="P475" s="918">
        <v>0</v>
      </c>
      <c r="Q475" s="556">
        <v>0</v>
      </c>
      <c r="R475" s="556">
        <v>4.2</v>
      </c>
      <c r="S475" s="556">
        <v>50335</v>
      </c>
      <c r="T475" s="921">
        <v>116</v>
      </c>
      <c r="U475" s="922">
        <v>207534</v>
      </c>
      <c r="V475" s="282"/>
      <c r="W475" s="282"/>
      <c r="X475" s="282"/>
      <c r="Y475" s="92"/>
      <c r="Z475" s="92"/>
      <c r="AG475" s="1">
        <f>U475/T475</f>
        <v>1789.0862068965516</v>
      </c>
    </row>
    <row r="476" spans="1:33" ht="15.75">
      <c r="A476" s="430">
        <v>11</v>
      </c>
      <c r="B476" s="915" t="s">
        <v>900</v>
      </c>
      <c r="C476" s="556">
        <f>'часть 1'!L556</f>
        <v>28738</v>
      </c>
      <c r="D476" s="556">
        <f t="shared" si="64"/>
        <v>0</v>
      </c>
      <c r="E476" s="556">
        <v>0</v>
      </c>
      <c r="F476" s="556">
        <v>0</v>
      </c>
      <c r="G476" s="556">
        <v>0</v>
      </c>
      <c r="H476" s="556">
        <v>0</v>
      </c>
      <c r="I476" s="556">
        <v>0</v>
      </c>
      <c r="J476" s="556">
        <v>0</v>
      </c>
      <c r="K476" s="556">
        <v>0</v>
      </c>
      <c r="L476" s="917">
        <v>0</v>
      </c>
      <c r="M476" s="556">
        <v>0</v>
      </c>
      <c r="N476" s="556">
        <v>0</v>
      </c>
      <c r="O476" s="556">
        <v>0</v>
      </c>
      <c r="P476" s="918">
        <v>0</v>
      </c>
      <c r="Q476" s="556">
        <v>0</v>
      </c>
      <c r="R476" s="556">
        <v>2.6</v>
      </c>
      <c r="S476" s="556">
        <v>28738</v>
      </c>
      <c r="T476" s="921">
        <v>0</v>
      </c>
      <c r="U476" s="922">
        <v>0</v>
      </c>
      <c r="V476" s="282"/>
      <c r="W476" s="282"/>
      <c r="X476" s="282"/>
      <c r="Y476" s="92"/>
      <c r="Z476" s="92"/>
    </row>
    <row r="477" spans="1:33" ht="15.75">
      <c r="A477" s="430">
        <v>12</v>
      </c>
      <c r="B477" s="915" t="s">
        <v>901</v>
      </c>
      <c r="C477" s="556">
        <f>'часть 1'!L557</f>
        <v>32453</v>
      </c>
      <c r="D477" s="556">
        <f t="shared" si="64"/>
        <v>0</v>
      </c>
      <c r="E477" s="556">
        <v>0</v>
      </c>
      <c r="F477" s="556">
        <v>0</v>
      </c>
      <c r="G477" s="556">
        <v>0</v>
      </c>
      <c r="H477" s="556">
        <v>0</v>
      </c>
      <c r="I477" s="556">
        <v>0</v>
      </c>
      <c r="J477" s="556">
        <v>0</v>
      </c>
      <c r="K477" s="556">
        <v>0</v>
      </c>
      <c r="L477" s="917">
        <v>0</v>
      </c>
      <c r="M477" s="556">
        <v>0</v>
      </c>
      <c r="N477" s="556">
        <v>0</v>
      </c>
      <c r="O477" s="556">
        <v>0</v>
      </c>
      <c r="P477" s="918">
        <v>0</v>
      </c>
      <c r="Q477" s="556">
        <v>0</v>
      </c>
      <c r="R477" s="556">
        <v>3.7</v>
      </c>
      <c r="S477" s="556">
        <v>32453</v>
      </c>
      <c r="T477" s="921">
        <v>0</v>
      </c>
      <c r="U477" s="922">
        <v>0</v>
      </c>
      <c r="V477" s="282"/>
      <c r="W477" s="282"/>
      <c r="X477" s="282"/>
      <c r="Y477" s="92"/>
      <c r="Z477" s="92"/>
    </row>
    <row r="478" spans="1:33" ht="15.75">
      <c r="A478" s="430">
        <v>13</v>
      </c>
      <c r="B478" s="915" t="s">
        <v>902</v>
      </c>
      <c r="C478" s="556">
        <f>'часть 1'!L558</f>
        <v>25023</v>
      </c>
      <c r="D478" s="556">
        <f t="shared" si="64"/>
        <v>0</v>
      </c>
      <c r="E478" s="556">
        <v>0</v>
      </c>
      <c r="F478" s="556">
        <v>0</v>
      </c>
      <c r="G478" s="556">
        <v>0</v>
      </c>
      <c r="H478" s="556">
        <v>0</v>
      </c>
      <c r="I478" s="556">
        <v>0</v>
      </c>
      <c r="J478" s="556">
        <v>0</v>
      </c>
      <c r="K478" s="556">
        <v>0</v>
      </c>
      <c r="L478" s="917">
        <v>0</v>
      </c>
      <c r="M478" s="556">
        <v>0</v>
      </c>
      <c r="N478" s="556">
        <v>0</v>
      </c>
      <c r="O478" s="556">
        <v>0</v>
      </c>
      <c r="P478" s="918">
        <v>0</v>
      </c>
      <c r="Q478" s="556">
        <v>0</v>
      </c>
      <c r="R478" s="556">
        <v>2.1</v>
      </c>
      <c r="S478" s="556">
        <v>25023</v>
      </c>
      <c r="T478" s="921">
        <v>0</v>
      </c>
      <c r="U478" s="922">
        <v>0</v>
      </c>
      <c r="V478" s="282"/>
      <c r="W478" s="282"/>
      <c r="X478" s="282"/>
      <c r="Y478" s="92"/>
      <c r="Z478" s="92"/>
    </row>
    <row r="479" spans="1:33" ht="15.75">
      <c r="A479" s="430">
        <v>14</v>
      </c>
      <c r="B479" s="915" t="s">
        <v>903</v>
      </c>
      <c r="C479" s="556">
        <f>'часть 1'!L559</f>
        <v>25119</v>
      </c>
      <c r="D479" s="556">
        <f t="shared" si="64"/>
        <v>0</v>
      </c>
      <c r="E479" s="556">
        <v>0</v>
      </c>
      <c r="F479" s="556">
        <v>0</v>
      </c>
      <c r="G479" s="556">
        <v>0</v>
      </c>
      <c r="H479" s="556">
        <v>0</v>
      </c>
      <c r="I479" s="556">
        <v>0</v>
      </c>
      <c r="J479" s="556">
        <v>0</v>
      </c>
      <c r="K479" s="556">
        <v>0</v>
      </c>
      <c r="L479" s="917">
        <v>0</v>
      </c>
      <c r="M479" s="556">
        <v>0</v>
      </c>
      <c r="N479" s="556">
        <v>0</v>
      </c>
      <c r="O479" s="556">
        <v>0</v>
      </c>
      <c r="P479" s="918">
        <v>0</v>
      </c>
      <c r="Q479" s="556">
        <v>0</v>
      </c>
      <c r="R479" s="556">
        <v>2.1</v>
      </c>
      <c r="S479" s="556">
        <v>25119</v>
      </c>
      <c r="T479" s="921">
        <v>0</v>
      </c>
      <c r="U479" s="922">
        <v>0</v>
      </c>
      <c r="V479" s="282"/>
      <c r="W479" s="282"/>
      <c r="X479" s="282"/>
      <c r="Y479" s="92"/>
      <c r="Z479" s="92"/>
    </row>
    <row r="480" spans="1:33" ht="15.75">
      <c r="A480" s="430">
        <v>15</v>
      </c>
      <c r="B480" s="915" t="s">
        <v>904</v>
      </c>
      <c r="C480" s="556">
        <f>'часть 1'!L560</f>
        <v>51107</v>
      </c>
      <c r="D480" s="556">
        <f t="shared" si="64"/>
        <v>0</v>
      </c>
      <c r="E480" s="556">
        <v>0</v>
      </c>
      <c r="F480" s="556">
        <v>0</v>
      </c>
      <c r="G480" s="556">
        <v>0</v>
      </c>
      <c r="H480" s="556">
        <v>0</v>
      </c>
      <c r="I480" s="556">
        <v>0</v>
      </c>
      <c r="J480" s="556">
        <v>0</v>
      </c>
      <c r="K480" s="556">
        <v>0</v>
      </c>
      <c r="L480" s="917">
        <v>0</v>
      </c>
      <c r="M480" s="556">
        <v>0</v>
      </c>
      <c r="N480" s="556">
        <v>0</v>
      </c>
      <c r="O480" s="556">
        <v>0</v>
      </c>
      <c r="P480" s="918">
        <v>0</v>
      </c>
      <c r="Q480" s="556">
        <v>0</v>
      </c>
      <c r="R480" s="556">
        <v>4.5</v>
      </c>
      <c r="S480" s="556">
        <v>51107</v>
      </c>
      <c r="T480" s="921">
        <v>0</v>
      </c>
      <c r="U480" s="922">
        <v>0</v>
      </c>
      <c r="V480" s="282"/>
      <c r="W480" s="282"/>
      <c r="X480" s="282"/>
      <c r="Y480" s="92"/>
      <c r="Z480" s="92"/>
    </row>
    <row r="481" spans="1:33" ht="15.75">
      <c r="A481" s="430">
        <v>16</v>
      </c>
      <c r="B481" s="915" t="s">
        <v>905</v>
      </c>
      <c r="C481" s="556">
        <f>'часть 1'!L561</f>
        <v>87488</v>
      </c>
      <c r="D481" s="556">
        <f t="shared" si="64"/>
        <v>0</v>
      </c>
      <c r="E481" s="556">
        <v>0</v>
      </c>
      <c r="F481" s="556">
        <v>0</v>
      </c>
      <c r="G481" s="556">
        <v>0</v>
      </c>
      <c r="H481" s="556">
        <v>0</v>
      </c>
      <c r="I481" s="556">
        <v>0</v>
      </c>
      <c r="J481" s="556">
        <v>0</v>
      </c>
      <c r="K481" s="556">
        <v>0</v>
      </c>
      <c r="L481" s="917">
        <v>0</v>
      </c>
      <c r="M481" s="556">
        <v>0</v>
      </c>
      <c r="N481" s="556">
        <v>0</v>
      </c>
      <c r="O481" s="556">
        <v>0</v>
      </c>
      <c r="P481" s="918">
        <v>0</v>
      </c>
      <c r="Q481" s="556">
        <v>0</v>
      </c>
      <c r="R481" s="556">
        <v>1.5</v>
      </c>
      <c r="S481" s="556">
        <v>87488</v>
      </c>
      <c r="T481" s="921">
        <v>0</v>
      </c>
      <c r="U481" s="922">
        <v>0</v>
      </c>
      <c r="V481" s="282"/>
      <c r="W481" s="282"/>
      <c r="X481" s="282"/>
      <c r="Y481" s="92"/>
      <c r="Z481" s="92"/>
    </row>
    <row r="482" spans="1:33" ht="15.75">
      <c r="A482" s="430">
        <v>17</v>
      </c>
      <c r="B482" s="915" t="s">
        <v>906</v>
      </c>
      <c r="C482" s="556">
        <f>'часть 1'!L562</f>
        <v>87102</v>
      </c>
      <c r="D482" s="556">
        <f t="shared" si="64"/>
        <v>0</v>
      </c>
      <c r="E482" s="556">
        <v>0</v>
      </c>
      <c r="F482" s="556">
        <v>0</v>
      </c>
      <c r="G482" s="556">
        <v>0</v>
      </c>
      <c r="H482" s="556">
        <v>0</v>
      </c>
      <c r="I482" s="556">
        <v>0</v>
      </c>
      <c r="J482" s="556">
        <v>0</v>
      </c>
      <c r="K482" s="556">
        <v>0</v>
      </c>
      <c r="L482" s="917">
        <v>0</v>
      </c>
      <c r="M482" s="556">
        <v>0</v>
      </c>
      <c r="N482" s="556">
        <v>0</v>
      </c>
      <c r="O482" s="556">
        <v>0</v>
      </c>
      <c r="P482" s="918">
        <v>0</v>
      </c>
      <c r="Q482" s="556">
        <v>0</v>
      </c>
      <c r="R482" s="556">
        <v>1.4</v>
      </c>
      <c r="S482" s="556">
        <v>87102</v>
      </c>
      <c r="T482" s="921">
        <v>0</v>
      </c>
      <c r="U482" s="922">
        <v>0</v>
      </c>
      <c r="V482" s="282"/>
      <c r="W482" s="282"/>
      <c r="X482" s="282"/>
      <c r="Y482" s="92"/>
      <c r="Z482" s="92"/>
    </row>
    <row r="483" spans="1:33" ht="15.75">
      <c r="A483" s="430">
        <v>18</v>
      </c>
      <c r="B483" s="915" t="s">
        <v>907</v>
      </c>
      <c r="C483" s="556">
        <f>'часть 1'!L563</f>
        <v>53713</v>
      </c>
      <c r="D483" s="556">
        <f t="shared" si="64"/>
        <v>0</v>
      </c>
      <c r="E483" s="556">
        <v>0</v>
      </c>
      <c r="F483" s="556">
        <v>0</v>
      </c>
      <c r="G483" s="556">
        <v>0</v>
      </c>
      <c r="H483" s="556">
        <v>0</v>
      </c>
      <c r="I483" s="556">
        <v>0</v>
      </c>
      <c r="J483" s="556">
        <v>0</v>
      </c>
      <c r="K483" s="556">
        <v>0</v>
      </c>
      <c r="L483" s="917">
        <v>0</v>
      </c>
      <c r="M483" s="556">
        <v>0</v>
      </c>
      <c r="N483" s="556">
        <v>0</v>
      </c>
      <c r="O483" s="556">
        <v>0</v>
      </c>
      <c r="P483" s="918">
        <v>0</v>
      </c>
      <c r="Q483" s="556">
        <v>0</v>
      </c>
      <c r="R483" s="556">
        <v>5.2</v>
      </c>
      <c r="S483" s="556">
        <v>53713</v>
      </c>
      <c r="T483" s="921">
        <v>0</v>
      </c>
      <c r="U483" s="922">
        <v>0</v>
      </c>
      <c r="V483" s="282"/>
      <c r="W483" s="282"/>
      <c r="X483" s="282"/>
      <c r="Y483" s="92"/>
      <c r="Z483" s="92"/>
    </row>
    <row r="484" spans="1:33" ht="15.75">
      <c r="A484" s="430">
        <v>19</v>
      </c>
      <c r="B484" s="915" t="s">
        <v>908</v>
      </c>
      <c r="C484" s="556">
        <f>'часть 1'!L564</f>
        <v>242578</v>
      </c>
      <c r="D484" s="556">
        <f t="shared" si="64"/>
        <v>0</v>
      </c>
      <c r="E484" s="556">
        <v>0</v>
      </c>
      <c r="F484" s="556">
        <v>0</v>
      </c>
      <c r="G484" s="556">
        <v>0</v>
      </c>
      <c r="H484" s="556">
        <v>0</v>
      </c>
      <c r="I484" s="556">
        <v>0</v>
      </c>
      <c r="J484" s="556">
        <v>0</v>
      </c>
      <c r="K484" s="556">
        <v>0</v>
      </c>
      <c r="L484" s="917">
        <v>0</v>
      </c>
      <c r="M484" s="556">
        <v>0</v>
      </c>
      <c r="N484" s="556">
        <v>0</v>
      </c>
      <c r="O484" s="556">
        <v>0</v>
      </c>
      <c r="P484" s="918">
        <v>0</v>
      </c>
      <c r="Q484" s="556">
        <v>0</v>
      </c>
      <c r="R484" s="556">
        <v>4.7</v>
      </c>
      <c r="S484" s="556">
        <v>51879</v>
      </c>
      <c r="T484" s="921">
        <v>106</v>
      </c>
      <c r="U484" s="922">
        <v>190699</v>
      </c>
      <c r="V484" s="282"/>
      <c r="W484" s="282"/>
      <c r="X484" s="282"/>
      <c r="Y484" s="92"/>
      <c r="Z484" s="92"/>
      <c r="AG484" s="1">
        <f>U484/T484</f>
        <v>1799.0471698113208</v>
      </c>
    </row>
    <row r="485" spans="1:33" ht="15.75">
      <c r="A485" s="430">
        <v>20</v>
      </c>
      <c r="B485" s="915" t="s">
        <v>390</v>
      </c>
      <c r="C485" s="556">
        <f>'часть 1'!L565</f>
        <v>52265</v>
      </c>
      <c r="D485" s="556">
        <f t="shared" si="64"/>
        <v>0</v>
      </c>
      <c r="E485" s="556">
        <v>0</v>
      </c>
      <c r="F485" s="556">
        <v>0</v>
      </c>
      <c r="G485" s="556">
        <v>0</v>
      </c>
      <c r="H485" s="556">
        <v>0</v>
      </c>
      <c r="I485" s="556">
        <v>0</v>
      </c>
      <c r="J485" s="556">
        <v>0</v>
      </c>
      <c r="K485" s="556">
        <v>0</v>
      </c>
      <c r="L485" s="917">
        <v>0</v>
      </c>
      <c r="M485" s="556">
        <v>0</v>
      </c>
      <c r="N485" s="556">
        <v>0</v>
      </c>
      <c r="O485" s="556">
        <v>0</v>
      </c>
      <c r="P485" s="918">
        <v>0</v>
      </c>
      <c r="Q485" s="556">
        <v>0</v>
      </c>
      <c r="R485" s="556">
        <v>4.8</v>
      </c>
      <c r="S485" s="556">
        <v>52265</v>
      </c>
      <c r="T485" s="921">
        <v>0</v>
      </c>
      <c r="U485" s="922">
        <v>0</v>
      </c>
      <c r="V485" s="282"/>
      <c r="W485" s="282"/>
      <c r="X485" s="282"/>
      <c r="Y485" s="92"/>
      <c r="Z485" s="92"/>
    </row>
    <row r="486" spans="1:33" ht="15.75">
      <c r="A486" s="430">
        <v>21</v>
      </c>
      <c r="B486" s="915" t="s">
        <v>909</v>
      </c>
      <c r="C486" s="556">
        <f>'часть 1'!L566</f>
        <v>81602</v>
      </c>
      <c r="D486" s="556">
        <f t="shared" si="64"/>
        <v>0</v>
      </c>
      <c r="E486" s="556">
        <v>0</v>
      </c>
      <c r="F486" s="556">
        <v>0</v>
      </c>
      <c r="G486" s="556">
        <v>0</v>
      </c>
      <c r="H486" s="556">
        <v>0</v>
      </c>
      <c r="I486" s="556">
        <v>0</v>
      </c>
      <c r="J486" s="556">
        <v>0</v>
      </c>
      <c r="K486" s="556">
        <v>0</v>
      </c>
      <c r="L486" s="917">
        <v>0</v>
      </c>
      <c r="M486" s="556">
        <v>0</v>
      </c>
      <c r="N486" s="556">
        <v>0</v>
      </c>
      <c r="O486" s="556">
        <v>0</v>
      </c>
      <c r="P486" s="918">
        <v>0</v>
      </c>
      <c r="Q486" s="556">
        <v>0</v>
      </c>
      <c r="R486" s="556">
        <v>1.3</v>
      </c>
      <c r="S486" s="556">
        <v>81602</v>
      </c>
      <c r="T486" s="921">
        <v>0</v>
      </c>
      <c r="U486" s="922">
        <v>0</v>
      </c>
      <c r="V486" s="282"/>
      <c r="W486" s="282"/>
      <c r="X486" s="282"/>
      <c r="Y486" s="92"/>
      <c r="Z486" s="92"/>
    </row>
    <row r="487" spans="1:33" ht="15.75">
      <c r="A487" s="430">
        <v>22</v>
      </c>
      <c r="B487" s="915" t="s">
        <v>232</v>
      </c>
      <c r="C487" s="556">
        <f>'часть 1'!L567</f>
        <v>87295</v>
      </c>
      <c r="D487" s="556">
        <f t="shared" si="64"/>
        <v>0</v>
      </c>
      <c r="E487" s="556">
        <v>0</v>
      </c>
      <c r="F487" s="556">
        <v>0</v>
      </c>
      <c r="G487" s="556">
        <v>0</v>
      </c>
      <c r="H487" s="556">
        <v>0</v>
      </c>
      <c r="I487" s="556">
        <v>0</v>
      </c>
      <c r="J487" s="556">
        <v>0</v>
      </c>
      <c r="K487" s="556">
        <v>0</v>
      </c>
      <c r="L487" s="917">
        <v>0</v>
      </c>
      <c r="M487" s="556">
        <v>0</v>
      </c>
      <c r="N487" s="556">
        <v>0</v>
      </c>
      <c r="O487" s="556">
        <v>0</v>
      </c>
      <c r="P487" s="918">
        <v>0</v>
      </c>
      <c r="Q487" s="556">
        <v>0</v>
      </c>
      <c r="R487" s="556">
        <v>1.4</v>
      </c>
      <c r="S487" s="556">
        <v>87295</v>
      </c>
      <c r="T487" s="921">
        <v>0</v>
      </c>
      <c r="U487" s="922">
        <v>0</v>
      </c>
      <c r="V487" s="282"/>
      <c r="W487" s="282"/>
      <c r="X487" s="282"/>
      <c r="Y487" s="92"/>
      <c r="Z487" s="92"/>
    </row>
    <row r="488" spans="1:33" ht="15.75">
      <c r="A488" s="430">
        <v>23</v>
      </c>
      <c r="B488" s="915" t="s">
        <v>910</v>
      </c>
      <c r="C488" s="556">
        <f>'часть 1'!L568</f>
        <v>51879</v>
      </c>
      <c r="D488" s="556">
        <f t="shared" si="64"/>
        <v>0</v>
      </c>
      <c r="E488" s="556">
        <v>0</v>
      </c>
      <c r="F488" s="556">
        <v>0</v>
      </c>
      <c r="G488" s="556">
        <v>0</v>
      </c>
      <c r="H488" s="556">
        <v>0</v>
      </c>
      <c r="I488" s="556">
        <v>0</v>
      </c>
      <c r="J488" s="556">
        <v>0</v>
      </c>
      <c r="K488" s="556">
        <v>0</v>
      </c>
      <c r="L488" s="917">
        <v>0</v>
      </c>
      <c r="M488" s="556">
        <v>0</v>
      </c>
      <c r="N488" s="556">
        <v>0</v>
      </c>
      <c r="O488" s="556">
        <v>0</v>
      </c>
      <c r="P488" s="918">
        <v>0</v>
      </c>
      <c r="Q488" s="556">
        <v>0</v>
      </c>
      <c r="R488" s="556">
        <v>7</v>
      </c>
      <c r="S488" s="556">
        <v>51879</v>
      </c>
      <c r="T488" s="921">
        <v>0</v>
      </c>
      <c r="U488" s="922">
        <v>0</v>
      </c>
      <c r="V488" s="282"/>
      <c r="W488" s="282"/>
      <c r="X488" s="282"/>
      <c r="Y488" s="92"/>
      <c r="Z488" s="92"/>
    </row>
    <row r="489" spans="1:33" ht="15.75">
      <c r="A489" s="430">
        <v>24</v>
      </c>
      <c r="B489" s="915" t="s">
        <v>911</v>
      </c>
      <c r="C489" s="556">
        <f>'часть 1'!L569</f>
        <v>51879</v>
      </c>
      <c r="D489" s="556">
        <f t="shared" si="64"/>
        <v>0</v>
      </c>
      <c r="E489" s="556">
        <v>0</v>
      </c>
      <c r="F489" s="556">
        <v>0</v>
      </c>
      <c r="G489" s="556">
        <v>0</v>
      </c>
      <c r="H489" s="556">
        <v>0</v>
      </c>
      <c r="I489" s="556">
        <v>0</v>
      </c>
      <c r="J489" s="556">
        <v>0</v>
      </c>
      <c r="K489" s="556">
        <v>0</v>
      </c>
      <c r="L489" s="917">
        <v>0</v>
      </c>
      <c r="M489" s="556">
        <v>0</v>
      </c>
      <c r="N489" s="556">
        <v>0</v>
      </c>
      <c r="O489" s="556">
        <v>0</v>
      </c>
      <c r="P489" s="918">
        <v>0</v>
      </c>
      <c r="Q489" s="556">
        <v>0</v>
      </c>
      <c r="R489" s="556">
        <v>4.7</v>
      </c>
      <c r="S489" s="556">
        <v>51879</v>
      </c>
      <c r="T489" s="921">
        <v>0</v>
      </c>
      <c r="U489" s="922">
        <v>0</v>
      </c>
      <c r="V489" s="282"/>
      <c r="W489" s="282"/>
      <c r="X489" s="282"/>
      <c r="Y489" s="92"/>
      <c r="Z489" s="92"/>
    </row>
    <row r="490" spans="1:33" ht="15.75">
      <c r="A490" s="430">
        <v>25</v>
      </c>
      <c r="B490" s="915" t="s">
        <v>912</v>
      </c>
      <c r="C490" s="556">
        <f>'часть 1'!L570</f>
        <v>52072</v>
      </c>
      <c r="D490" s="556">
        <f t="shared" si="64"/>
        <v>0</v>
      </c>
      <c r="E490" s="556">
        <v>0</v>
      </c>
      <c r="F490" s="556">
        <v>0</v>
      </c>
      <c r="G490" s="556">
        <v>0</v>
      </c>
      <c r="H490" s="556">
        <v>0</v>
      </c>
      <c r="I490" s="556">
        <v>0</v>
      </c>
      <c r="J490" s="556">
        <v>0</v>
      </c>
      <c r="K490" s="556">
        <v>0</v>
      </c>
      <c r="L490" s="917">
        <v>0</v>
      </c>
      <c r="M490" s="556">
        <v>0</v>
      </c>
      <c r="N490" s="556">
        <v>0</v>
      </c>
      <c r="O490" s="556">
        <v>0</v>
      </c>
      <c r="P490" s="918">
        <v>0</v>
      </c>
      <c r="Q490" s="556">
        <v>0</v>
      </c>
      <c r="R490" s="556">
        <v>4.7</v>
      </c>
      <c r="S490" s="556">
        <v>52072</v>
      </c>
      <c r="T490" s="921">
        <v>0</v>
      </c>
      <c r="U490" s="922">
        <v>0</v>
      </c>
      <c r="V490" s="282"/>
      <c r="W490" s="282"/>
      <c r="X490" s="282"/>
      <c r="Y490" s="92"/>
      <c r="Z490" s="92"/>
    </row>
    <row r="491" spans="1:33" ht="15.75">
      <c r="A491" s="430">
        <v>26</v>
      </c>
      <c r="B491" s="915" t="s">
        <v>913</v>
      </c>
      <c r="C491" s="556">
        <f>'часть 1'!L571</f>
        <v>51879</v>
      </c>
      <c r="D491" s="556">
        <f t="shared" si="64"/>
        <v>0</v>
      </c>
      <c r="E491" s="556">
        <v>0</v>
      </c>
      <c r="F491" s="556">
        <v>0</v>
      </c>
      <c r="G491" s="556">
        <v>0</v>
      </c>
      <c r="H491" s="556">
        <v>0</v>
      </c>
      <c r="I491" s="556">
        <v>0</v>
      </c>
      <c r="J491" s="556">
        <v>0</v>
      </c>
      <c r="K491" s="556">
        <v>0</v>
      </c>
      <c r="L491" s="917">
        <v>0</v>
      </c>
      <c r="M491" s="556">
        <v>0</v>
      </c>
      <c r="N491" s="556">
        <v>0</v>
      </c>
      <c r="O491" s="556">
        <v>0</v>
      </c>
      <c r="P491" s="918">
        <v>0</v>
      </c>
      <c r="Q491" s="556">
        <v>0</v>
      </c>
      <c r="R491" s="556">
        <v>4.7</v>
      </c>
      <c r="S491" s="556">
        <v>51879</v>
      </c>
      <c r="T491" s="921">
        <v>0</v>
      </c>
      <c r="U491" s="922">
        <v>0</v>
      </c>
      <c r="V491" s="282"/>
      <c r="W491" s="282"/>
      <c r="X491" s="282"/>
      <c r="Y491" s="92"/>
      <c r="Z491" s="92"/>
    </row>
    <row r="492" spans="1:33" ht="15.75">
      <c r="A492" s="430">
        <v>27</v>
      </c>
      <c r="B492" s="915" t="s">
        <v>914</v>
      </c>
      <c r="C492" s="556">
        <f>'часть 1'!L572</f>
        <v>77819</v>
      </c>
      <c r="D492" s="556">
        <f t="shared" si="64"/>
        <v>0</v>
      </c>
      <c r="E492" s="556">
        <v>0</v>
      </c>
      <c r="F492" s="556">
        <v>0</v>
      </c>
      <c r="G492" s="556">
        <v>0</v>
      </c>
      <c r="H492" s="556">
        <v>0</v>
      </c>
      <c r="I492" s="556">
        <v>0</v>
      </c>
      <c r="J492" s="556">
        <v>0</v>
      </c>
      <c r="K492" s="556">
        <v>0</v>
      </c>
      <c r="L492" s="917">
        <v>0</v>
      </c>
      <c r="M492" s="556">
        <v>0</v>
      </c>
      <c r="N492" s="556">
        <v>0</v>
      </c>
      <c r="O492" s="556">
        <v>0</v>
      </c>
      <c r="P492" s="918">
        <v>0</v>
      </c>
      <c r="Q492" s="556">
        <v>0</v>
      </c>
      <c r="R492" s="556">
        <v>7.6</v>
      </c>
      <c r="S492" s="556">
        <v>77819</v>
      </c>
      <c r="T492" s="921">
        <v>0</v>
      </c>
      <c r="U492" s="922">
        <v>0</v>
      </c>
      <c r="V492" s="282"/>
      <c r="W492" s="282"/>
      <c r="X492" s="282"/>
      <c r="Y492" s="92"/>
      <c r="Z492" s="92"/>
    </row>
    <row r="493" spans="1:33" ht="15.75">
      <c r="A493" s="430">
        <v>28</v>
      </c>
      <c r="B493" s="915" t="s">
        <v>915</v>
      </c>
      <c r="C493" s="556">
        <f>'часть 1'!L573</f>
        <v>51879</v>
      </c>
      <c r="D493" s="556">
        <f t="shared" si="64"/>
        <v>0</v>
      </c>
      <c r="E493" s="556">
        <v>0</v>
      </c>
      <c r="F493" s="556">
        <v>0</v>
      </c>
      <c r="G493" s="556">
        <v>0</v>
      </c>
      <c r="H493" s="556">
        <v>0</v>
      </c>
      <c r="I493" s="556">
        <v>0</v>
      </c>
      <c r="J493" s="556">
        <v>0</v>
      </c>
      <c r="K493" s="556">
        <v>0</v>
      </c>
      <c r="L493" s="917">
        <v>0</v>
      </c>
      <c r="M493" s="556">
        <v>0</v>
      </c>
      <c r="N493" s="556">
        <v>0</v>
      </c>
      <c r="O493" s="556">
        <v>0</v>
      </c>
      <c r="P493" s="918">
        <v>0</v>
      </c>
      <c r="Q493" s="556">
        <v>0</v>
      </c>
      <c r="R493" s="556">
        <v>4.7</v>
      </c>
      <c r="S493" s="556">
        <v>51879</v>
      </c>
      <c r="T493" s="923">
        <v>0</v>
      </c>
      <c r="U493" s="922">
        <v>0</v>
      </c>
      <c r="V493" s="282"/>
      <c r="W493" s="282"/>
      <c r="X493" s="282"/>
      <c r="Y493" s="92"/>
      <c r="Z493" s="92"/>
    </row>
    <row r="494" spans="1:33" ht="15.75">
      <c r="A494" s="430">
        <v>29</v>
      </c>
      <c r="B494" s="915" t="s">
        <v>916</v>
      </c>
      <c r="C494" s="556">
        <f>'часть 1'!L574</f>
        <v>51783</v>
      </c>
      <c r="D494" s="556">
        <f t="shared" si="64"/>
        <v>0</v>
      </c>
      <c r="E494" s="556">
        <v>0</v>
      </c>
      <c r="F494" s="556">
        <v>0</v>
      </c>
      <c r="G494" s="556">
        <v>0</v>
      </c>
      <c r="H494" s="556">
        <v>0</v>
      </c>
      <c r="I494" s="556">
        <v>0</v>
      </c>
      <c r="J494" s="556">
        <v>0</v>
      </c>
      <c r="K494" s="556">
        <v>0</v>
      </c>
      <c r="L494" s="917">
        <v>0</v>
      </c>
      <c r="M494" s="556">
        <v>0</v>
      </c>
      <c r="N494" s="556">
        <v>0</v>
      </c>
      <c r="O494" s="556">
        <v>0</v>
      </c>
      <c r="P494" s="918">
        <v>0</v>
      </c>
      <c r="Q494" s="556">
        <v>0</v>
      </c>
      <c r="R494" s="556">
        <v>4.7</v>
      </c>
      <c r="S494" s="556">
        <v>51783</v>
      </c>
      <c r="T494" s="921">
        <v>0</v>
      </c>
      <c r="U494" s="922">
        <v>0</v>
      </c>
      <c r="V494" s="282"/>
      <c r="W494" s="282"/>
      <c r="X494" s="282"/>
      <c r="Y494" s="92"/>
      <c r="Z494" s="92"/>
    </row>
    <row r="495" spans="1:33" ht="15.75">
      <c r="A495" s="430">
        <v>30</v>
      </c>
      <c r="B495" s="915" t="s">
        <v>917</v>
      </c>
      <c r="C495" s="556">
        <f>'часть 1'!L575</f>
        <v>51011</v>
      </c>
      <c r="D495" s="556">
        <f t="shared" si="64"/>
        <v>0</v>
      </c>
      <c r="E495" s="556">
        <v>0</v>
      </c>
      <c r="F495" s="556">
        <v>0</v>
      </c>
      <c r="G495" s="556">
        <v>0</v>
      </c>
      <c r="H495" s="556">
        <v>0</v>
      </c>
      <c r="I495" s="556">
        <v>0</v>
      </c>
      <c r="J495" s="556">
        <v>0</v>
      </c>
      <c r="K495" s="556">
        <v>0</v>
      </c>
      <c r="L495" s="917">
        <v>0</v>
      </c>
      <c r="M495" s="556">
        <v>0</v>
      </c>
      <c r="N495" s="556">
        <v>0</v>
      </c>
      <c r="O495" s="556">
        <v>0</v>
      </c>
      <c r="P495" s="918">
        <v>0</v>
      </c>
      <c r="Q495" s="556">
        <v>0</v>
      </c>
      <c r="R495" s="556">
        <v>4.4000000000000004</v>
      </c>
      <c r="S495" s="556">
        <v>51011</v>
      </c>
      <c r="T495" s="923">
        <v>0</v>
      </c>
      <c r="U495" s="922">
        <v>0</v>
      </c>
      <c r="V495" s="282"/>
      <c r="W495" s="282"/>
      <c r="X495" s="282"/>
      <c r="Y495" s="92"/>
      <c r="Z495" s="92"/>
    </row>
    <row r="496" spans="1:33" ht="15.75">
      <c r="A496" s="430">
        <v>31</v>
      </c>
      <c r="B496" s="915" t="s">
        <v>918</v>
      </c>
      <c r="C496" s="556">
        <f>'часть 1'!L576</f>
        <v>78398</v>
      </c>
      <c r="D496" s="556">
        <f t="shared" si="64"/>
        <v>0</v>
      </c>
      <c r="E496" s="556">
        <v>0</v>
      </c>
      <c r="F496" s="556">
        <v>0</v>
      </c>
      <c r="G496" s="556">
        <v>0</v>
      </c>
      <c r="H496" s="556">
        <v>0</v>
      </c>
      <c r="I496" s="556">
        <v>0</v>
      </c>
      <c r="J496" s="556">
        <v>0</v>
      </c>
      <c r="K496" s="556">
        <v>0</v>
      </c>
      <c r="L496" s="917">
        <v>0</v>
      </c>
      <c r="M496" s="556">
        <v>0</v>
      </c>
      <c r="N496" s="556">
        <v>0</v>
      </c>
      <c r="O496" s="556">
        <v>0</v>
      </c>
      <c r="P496" s="918">
        <v>0</v>
      </c>
      <c r="Q496" s="556">
        <v>0</v>
      </c>
      <c r="R496" s="556">
        <v>7.2</v>
      </c>
      <c r="S496" s="556">
        <v>78398</v>
      </c>
      <c r="T496" s="921">
        <v>0</v>
      </c>
      <c r="U496" s="922">
        <v>0</v>
      </c>
      <c r="V496" s="282"/>
      <c r="W496" s="282"/>
      <c r="X496" s="282"/>
      <c r="Y496" s="92"/>
      <c r="Z496" s="92"/>
    </row>
    <row r="497" spans="1:26" ht="15.75">
      <c r="A497" s="430">
        <v>32</v>
      </c>
      <c r="B497" s="915" t="s">
        <v>919</v>
      </c>
      <c r="C497" s="556">
        <f>'часть 1'!L577</f>
        <v>78012</v>
      </c>
      <c r="D497" s="556">
        <f t="shared" si="64"/>
        <v>0</v>
      </c>
      <c r="E497" s="556">
        <v>0</v>
      </c>
      <c r="F497" s="556">
        <v>0</v>
      </c>
      <c r="G497" s="556">
        <v>0</v>
      </c>
      <c r="H497" s="556">
        <v>0</v>
      </c>
      <c r="I497" s="556">
        <v>0</v>
      </c>
      <c r="J497" s="556">
        <v>0</v>
      </c>
      <c r="K497" s="556">
        <v>0</v>
      </c>
      <c r="L497" s="917">
        <v>0</v>
      </c>
      <c r="M497" s="556">
        <v>0</v>
      </c>
      <c r="N497" s="556">
        <v>0</v>
      </c>
      <c r="O497" s="556">
        <v>0</v>
      </c>
      <c r="P497" s="918">
        <v>0</v>
      </c>
      <c r="Q497" s="556">
        <v>0</v>
      </c>
      <c r="R497" s="556">
        <v>7.1</v>
      </c>
      <c r="S497" s="556">
        <v>78012</v>
      </c>
      <c r="T497" s="923">
        <v>0</v>
      </c>
      <c r="U497" s="922">
        <v>0</v>
      </c>
      <c r="V497" s="282"/>
      <c r="W497" s="282"/>
      <c r="X497" s="282"/>
      <c r="Y497" s="92"/>
      <c r="Z497" s="92"/>
    </row>
    <row r="498" spans="1:26" ht="15.75">
      <c r="A498" s="430">
        <v>33</v>
      </c>
      <c r="B498" s="915" t="s">
        <v>920</v>
      </c>
      <c r="C498" s="556">
        <f>'часть 1'!L578</f>
        <v>52265</v>
      </c>
      <c r="D498" s="556">
        <f t="shared" si="64"/>
        <v>0</v>
      </c>
      <c r="E498" s="556">
        <v>0</v>
      </c>
      <c r="F498" s="556">
        <v>0</v>
      </c>
      <c r="G498" s="556">
        <v>0</v>
      </c>
      <c r="H498" s="556">
        <v>0</v>
      </c>
      <c r="I498" s="556">
        <v>0</v>
      </c>
      <c r="J498" s="556">
        <v>0</v>
      </c>
      <c r="K498" s="556">
        <v>0</v>
      </c>
      <c r="L498" s="917">
        <v>0</v>
      </c>
      <c r="M498" s="556">
        <v>0</v>
      </c>
      <c r="N498" s="556">
        <v>0</v>
      </c>
      <c r="O498" s="556">
        <v>0</v>
      </c>
      <c r="P498" s="918">
        <v>0</v>
      </c>
      <c r="Q498" s="556">
        <v>0</v>
      </c>
      <c r="R498" s="556">
        <v>7.2</v>
      </c>
      <c r="S498" s="556">
        <v>52265</v>
      </c>
      <c r="T498" s="921">
        <v>0</v>
      </c>
      <c r="U498" s="922">
        <v>0</v>
      </c>
      <c r="V498" s="282"/>
      <c r="W498" s="282"/>
      <c r="X498" s="282"/>
      <c r="Y498" s="92"/>
      <c r="Z498" s="92"/>
    </row>
    <row r="499" spans="1:26" ht="15.75">
      <c r="A499" s="430">
        <v>34</v>
      </c>
      <c r="B499" s="915" t="s">
        <v>921</v>
      </c>
      <c r="C499" s="556">
        <f>'часть 1'!L579</f>
        <v>242964</v>
      </c>
      <c r="D499" s="556">
        <f t="shared" si="64"/>
        <v>0</v>
      </c>
      <c r="E499" s="556">
        <v>0</v>
      </c>
      <c r="F499" s="556">
        <v>0</v>
      </c>
      <c r="G499" s="556">
        <v>0</v>
      </c>
      <c r="H499" s="556">
        <v>0</v>
      </c>
      <c r="I499" s="556">
        <v>0</v>
      </c>
      <c r="J499" s="556">
        <v>0</v>
      </c>
      <c r="K499" s="556">
        <v>0</v>
      </c>
      <c r="L499" s="917">
        <v>0</v>
      </c>
      <c r="M499" s="556">
        <v>0</v>
      </c>
      <c r="N499" s="556">
        <v>0</v>
      </c>
      <c r="O499" s="556">
        <v>0</v>
      </c>
      <c r="P499" s="918">
        <v>0</v>
      </c>
      <c r="Q499" s="556">
        <v>0</v>
      </c>
      <c r="R499" s="556">
        <v>4.8</v>
      </c>
      <c r="S499" s="556">
        <v>52265</v>
      </c>
      <c r="T499" s="921">
        <v>106</v>
      </c>
      <c r="U499" s="922">
        <v>190699</v>
      </c>
      <c r="V499" s="282"/>
      <c r="W499" s="282"/>
      <c r="X499" s="282"/>
      <c r="Y499" s="92"/>
      <c r="Z499" s="92"/>
    </row>
    <row r="500" spans="1:26" ht="15.75">
      <c r="A500" s="430">
        <v>35</v>
      </c>
      <c r="B500" s="915" t="s">
        <v>922</v>
      </c>
      <c r="C500" s="556">
        <f>'часть 1'!L580</f>
        <v>87102</v>
      </c>
      <c r="D500" s="556">
        <f t="shared" si="64"/>
        <v>0</v>
      </c>
      <c r="E500" s="556">
        <v>0</v>
      </c>
      <c r="F500" s="556">
        <v>0</v>
      </c>
      <c r="G500" s="556">
        <v>0</v>
      </c>
      <c r="H500" s="556">
        <v>0</v>
      </c>
      <c r="I500" s="556">
        <v>0</v>
      </c>
      <c r="J500" s="556">
        <v>0</v>
      </c>
      <c r="K500" s="556">
        <v>0</v>
      </c>
      <c r="L500" s="917">
        <v>0</v>
      </c>
      <c r="M500" s="556">
        <v>0</v>
      </c>
      <c r="N500" s="556">
        <v>0</v>
      </c>
      <c r="O500" s="556">
        <v>0</v>
      </c>
      <c r="P500" s="918">
        <v>0</v>
      </c>
      <c r="Q500" s="556">
        <v>0</v>
      </c>
      <c r="R500" s="556">
        <v>1.4</v>
      </c>
      <c r="S500" s="556">
        <v>87102</v>
      </c>
      <c r="T500" s="917">
        <v>0</v>
      </c>
      <c r="U500" s="922">
        <v>0</v>
      </c>
      <c r="V500" s="282"/>
      <c r="W500" s="282"/>
      <c r="X500" s="282"/>
      <c r="Y500" s="92"/>
      <c r="Z500" s="92"/>
    </row>
    <row r="501" spans="1:26">
      <c r="A501" s="198"/>
      <c r="B501" s="216" t="s">
        <v>60</v>
      </c>
      <c r="C501" s="211">
        <v>9462538</v>
      </c>
      <c r="D501" s="211"/>
      <c r="E501" s="211"/>
      <c r="F501" s="211"/>
      <c r="G501" s="211"/>
      <c r="H501" s="211"/>
      <c r="I501" s="211"/>
      <c r="J501" s="211"/>
      <c r="K501" s="211">
        <v>0</v>
      </c>
      <c r="L501" s="212">
        <v>0</v>
      </c>
      <c r="M501" s="211">
        <v>0</v>
      </c>
      <c r="N501" s="211">
        <v>0</v>
      </c>
      <c r="O501" s="211">
        <v>0</v>
      </c>
      <c r="P501" s="213">
        <v>0</v>
      </c>
      <c r="Q501" s="211">
        <v>0</v>
      </c>
      <c r="R501" s="211">
        <v>4347</v>
      </c>
      <c r="S501" s="211">
        <v>6288728</v>
      </c>
      <c r="T501" s="212">
        <v>0</v>
      </c>
      <c r="U501" s="290">
        <v>0</v>
      </c>
      <c r="V501" s="282"/>
      <c r="W501" s="282"/>
      <c r="X501" s="282"/>
    </row>
    <row r="502" spans="1:26" ht="30">
      <c r="A502" s="198"/>
      <c r="B502" s="214" t="s">
        <v>113</v>
      </c>
      <c r="C502" s="211">
        <v>9462538</v>
      </c>
      <c r="D502" s="211"/>
      <c r="E502" s="211"/>
      <c r="F502" s="211"/>
      <c r="G502" s="211"/>
      <c r="H502" s="211"/>
      <c r="I502" s="211"/>
      <c r="J502" s="211"/>
      <c r="K502" s="211">
        <v>0</v>
      </c>
      <c r="L502" s="212">
        <v>0</v>
      </c>
      <c r="M502" s="211">
        <v>0</v>
      </c>
      <c r="N502" s="211">
        <v>1596</v>
      </c>
      <c r="O502" s="211">
        <v>3173810</v>
      </c>
      <c r="P502" s="213">
        <v>0</v>
      </c>
      <c r="Q502" s="211">
        <v>0</v>
      </c>
      <c r="R502" s="211">
        <v>4347</v>
      </c>
      <c r="S502" s="211">
        <v>6288728</v>
      </c>
      <c r="T502" s="212">
        <v>0</v>
      </c>
      <c r="U502" s="290">
        <v>0</v>
      </c>
      <c r="V502" s="282"/>
      <c r="W502" s="282"/>
      <c r="X502" s="282"/>
      <c r="Y502" s="10"/>
      <c r="Z502" s="10"/>
    </row>
    <row r="503" spans="1:26" s="32" customFormat="1">
      <c r="A503" s="198">
        <v>435</v>
      </c>
      <c r="B503" s="206" t="s">
        <v>887</v>
      </c>
      <c r="C503" s="232">
        <f>'часть 1'!L462</f>
        <v>3626543</v>
      </c>
      <c r="D503" s="232"/>
      <c r="E503" s="232"/>
      <c r="F503" s="232"/>
      <c r="G503" s="232"/>
      <c r="H503" s="232"/>
      <c r="I503" s="232"/>
      <c r="J503" s="232"/>
      <c r="K503" s="211">
        <v>0</v>
      </c>
      <c r="L503" s="212">
        <v>0</v>
      </c>
      <c r="M503" s="211">
        <v>0</v>
      </c>
      <c r="N503" s="211">
        <v>0</v>
      </c>
      <c r="O503" s="211">
        <v>0</v>
      </c>
      <c r="P503" s="213">
        <v>0</v>
      </c>
      <c r="Q503" s="211">
        <v>0</v>
      </c>
      <c r="R503" s="232">
        <v>2511</v>
      </c>
      <c r="S503" s="232">
        <v>3626543</v>
      </c>
      <c r="T503" s="212">
        <v>0</v>
      </c>
      <c r="U503" s="290">
        <v>0</v>
      </c>
      <c r="V503" s="282"/>
      <c r="W503" s="282"/>
      <c r="X503" s="282"/>
      <c r="Y503" s="31"/>
      <c r="Z503" s="31"/>
    </row>
    <row r="504" spans="1:26" s="32" customFormat="1">
      <c r="A504" s="198">
        <v>436</v>
      </c>
      <c r="B504" s="206" t="s">
        <v>888</v>
      </c>
      <c r="C504" s="232">
        <f>'часть 1'!L463</f>
        <v>2160246</v>
      </c>
      <c r="D504" s="232"/>
      <c r="E504" s="232"/>
      <c r="F504" s="232"/>
      <c r="G504" s="232"/>
      <c r="H504" s="232"/>
      <c r="I504" s="232"/>
      <c r="J504" s="232"/>
      <c r="K504" s="211">
        <v>0</v>
      </c>
      <c r="L504" s="212">
        <v>0</v>
      </c>
      <c r="M504" s="211">
        <v>0</v>
      </c>
      <c r="N504" s="232">
        <v>1092</v>
      </c>
      <c r="O504" s="232">
        <v>2160246</v>
      </c>
      <c r="P504" s="213">
        <v>0</v>
      </c>
      <c r="Q504" s="211">
        <v>0</v>
      </c>
      <c r="R504" s="213">
        <v>0</v>
      </c>
      <c r="S504" s="211">
        <v>0</v>
      </c>
      <c r="T504" s="212">
        <v>0</v>
      </c>
      <c r="U504" s="290">
        <v>0</v>
      </c>
      <c r="V504" s="282"/>
      <c r="W504" s="282"/>
      <c r="X504" s="282"/>
      <c r="Y504" s="31"/>
      <c r="Z504" s="31"/>
    </row>
    <row r="505" spans="1:26" s="32" customFormat="1">
      <c r="A505" s="198">
        <v>437</v>
      </c>
      <c r="B505" s="206" t="s">
        <v>889</v>
      </c>
      <c r="C505" s="232">
        <f>'часть 1'!L464</f>
        <v>1013564</v>
      </c>
      <c r="D505" s="232"/>
      <c r="E505" s="232"/>
      <c r="F505" s="232"/>
      <c r="G505" s="232"/>
      <c r="H505" s="232"/>
      <c r="I505" s="232"/>
      <c r="J505" s="232"/>
      <c r="K505" s="211">
        <v>0</v>
      </c>
      <c r="L505" s="212">
        <v>0</v>
      </c>
      <c r="M505" s="211">
        <v>0</v>
      </c>
      <c r="N505" s="232">
        <v>504</v>
      </c>
      <c r="O505" s="232">
        <v>1013564</v>
      </c>
      <c r="P505" s="213">
        <v>0</v>
      </c>
      <c r="Q505" s="211">
        <v>0</v>
      </c>
      <c r="R505" s="213">
        <v>0</v>
      </c>
      <c r="S505" s="211">
        <v>0</v>
      </c>
      <c r="T505" s="212">
        <v>0</v>
      </c>
      <c r="U505" s="290">
        <v>0</v>
      </c>
      <c r="V505" s="282"/>
      <c r="W505" s="282"/>
      <c r="X505" s="282"/>
      <c r="Y505" s="31"/>
      <c r="Z505" s="31"/>
    </row>
    <row r="506" spans="1:26" s="32" customFormat="1">
      <c r="A506" s="198"/>
      <c r="B506" s="206" t="s">
        <v>208</v>
      </c>
      <c r="C506" s="232">
        <v>562350</v>
      </c>
      <c r="D506" s="232"/>
      <c r="E506" s="232"/>
      <c r="F506" s="232"/>
      <c r="G506" s="232"/>
      <c r="H506" s="232"/>
      <c r="I506" s="232"/>
      <c r="J506" s="232"/>
      <c r="K506" s="232">
        <v>0</v>
      </c>
      <c r="L506" s="239">
        <v>0</v>
      </c>
      <c r="M506" s="232">
        <v>0</v>
      </c>
      <c r="N506" s="232">
        <v>275</v>
      </c>
      <c r="O506" s="232">
        <v>562350</v>
      </c>
      <c r="P506" s="230">
        <v>0</v>
      </c>
      <c r="Q506" s="232">
        <v>0</v>
      </c>
      <c r="R506" s="230">
        <v>0</v>
      </c>
      <c r="S506" s="232">
        <v>0</v>
      </c>
      <c r="T506" s="230">
        <v>0</v>
      </c>
      <c r="U506" s="295">
        <v>0</v>
      </c>
      <c r="V506" s="282"/>
      <c r="W506" s="282"/>
      <c r="X506" s="282"/>
      <c r="Y506" s="31"/>
      <c r="Z506" s="31"/>
    </row>
    <row r="507" spans="1:26" s="32" customFormat="1" ht="30">
      <c r="A507" s="198"/>
      <c r="B507" s="214" t="s">
        <v>209</v>
      </c>
      <c r="C507" s="232">
        <f>C508</f>
        <v>1167102</v>
      </c>
      <c r="D507" s="232">
        <f t="shared" ref="D507:U507" si="65">D508</f>
        <v>0</v>
      </c>
      <c r="E507" s="232">
        <f t="shared" si="65"/>
        <v>0</v>
      </c>
      <c r="F507" s="232">
        <f t="shared" si="65"/>
        <v>0</v>
      </c>
      <c r="G507" s="232">
        <f t="shared" si="65"/>
        <v>0</v>
      </c>
      <c r="H507" s="232">
        <f t="shared" si="65"/>
        <v>0</v>
      </c>
      <c r="I507" s="232">
        <f t="shared" si="65"/>
        <v>0</v>
      </c>
      <c r="J507" s="232">
        <f t="shared" si="65"/>
        <v>0</v>
      </c>
      <c r="K507" s="232">
        <f t="shared" si="65"/>
        <v>0</v>
      </c>
      <c r="L507" s="232">
        <f t="shared" si="65"/>
        <v>0</v>
      </c>
      <c r="M507" s="232">
        <f t="shared" si="65"/>
        <v>0</v>
      </c>
      <c r="N507" s="232">
        <f t="shared" si="65"/>
        <v>368</v>
      </c>
      <c r="O507" s="232">
        <f t="shared" si="65"/>
        <v>1167102</v>
      </c>
      <c r="P507" s="232">
        <f t="shared" si="65"/>
        <v>0</v>
      </c>
      <c r="Q507" s="232">
        <f t="shared" si="65"/>
        <v>0</v>
      </c>
      <c r="R507" s="232">
        <f t="shared" si="65"/>
        <v>0</v>
      </c>
      <c r="S507" s="232">
        <f t="shared" si="65"/>
        <v>0</v>
      </c>
      <c r="T507" s="232">
        <f t="shared" si="65"/>
        <v>0</v>
      </c>
      <c r="U507" s="232">
        <f t="shared" si="65"/>
        <v>0</v>
      </c>
      <c r="V507" s="282"/>
      <c r="W507" s="282"/>
      <c r="X507" s="282"/>
      <c r="Y507" s="31"/>
      <c r="Z507" s="31"/>
    </row>
    <row r="508" spans="1:26" s="32" customFormat="1">
      <c r="A508" s="430">
        <v>439</v>
      </c>
      <c r="B508" s="467" t="s">
        <v>478</v>
      </c>
      <c r="C508" s="468">
        <v>1167102</v>
      </c>
      <c r="D508" s="468">
        <v>0</v>
      </c>
      <c r="E508" s="468">
        <v>0</v>
      </c>
      <c r="F508" s="468">
        <v>0</v>
      </c>
      <c r="G508" s="468">
        <v>0</v>
      </c>
      <c r="H508" s="468">
        <v>0</v>
      </c>
      <c r="I508" s="468">
        <v>0</v>
      </c>
      <c r="J508" s="468">
        <v>0</v>
      </c>
      <c r="K508" s="439">
        <v>0</v>
      </c>
      <c r="L508" s="440">
        <v>0</v>
      </c>
      <c r="M508" s="439">
        <v>0</v>
      </c>
      <c r="N508" s="439">
        <v>368</v>
      </c>
      <c r="O508" s="439">
        <v>1167102</v>
      </c>
      <c r="P508" s="442">
        <v>0</v>
      </c>
      <c r="Q508" s="439">
        <v>0</v>
      </c>
      <c r="R508" s="469">
        <v>0</v>
      </c>
      <c r="S508" s="468">
        <v>0</v>
      </c>
      <c r="T508" s="440">
        <v>0</v>
      </c>
      <c r="U508" s="443">
        <v>0</v>
      </c>
      <c r="V508" s="282"/>
      <c r="W508" s="282">
        <f>O508/N508</f>
        <v>3171.4728260869565</v>
      </c>
      <c r="X508" s="282"/>
      <c r="Y508" s="31"/>
      <c r="Z508" s="31"/>
    </row>
    <row r="509" spans="1:26">
      <c r="A509" s="198"/>
      <c r="B509" s="216" t="s">
        <v>61</v>
      </c>
      <c r="C509" s="211">
        <v>1267050</v>
      </c>
      <c r="D509" s="211"/>
      <c r="E509" s="211"/>
      <c r="F509" s="211"/>
      <c r="G509" s="211"/>
      <c r="H509" s="211"/>
      <c r="I509" s="211"/>
      <c r="J509" s="211"/>
      <c r="K509" s="211">
        <v>0</v>
      </c>
      <c r="L509" s="212">
        <v>0</v>
      </c>
      <c r="M509" s="211">
        <v>0</v>
      </c>
      <c r="N509" s="211">
        <v>643</v>
      </c>
      <c r="O509" s="211">
        <v>1267050</v>
      </c>
      <c r="P509" s="213">
        <v>0</v>
      </c>
      <c r="Q509" s="211">
        <v>0</v>
      </c>
      <c r="R509" s="213">
        <v>0</v>
      </c>
      <c r="S509" s="211">
        <v>0</v>
      </c>
      <c r="T509" s="212">
        <v>0</v>
      </c>
      <c r="U509" s="290">
        <v>0</v>
      </c>
      <c r="V509" s="282"/>
      <c r="W509" s="282"/>
      <c r="X509" s="282"/>
    </row>
    <row r="510" spans="1:26" ht="30">
      <c r="A510" s="198"/>
      <c r="B510" s="214" t="s">
        <v>118</v>
      </c>
      <c r="C510" s="211">
        <f>C511+C512</f>
        <v>3666180</v>
      </c>
      <c r="D510" s="211">
        <f t="shared" ref="D510:U510" si="66">D511+D512</f>
        <v>0</v>
      </c>
      <c r="E510" s="211">
        <f t="shared" si="66"/>
        <v>0</v>
      </c>
      <c r="F510" s="211">
        <f t="shared" si="66"/>
        <v>0</v>
      </c>
      <c r="G510" s="211">
        <f t="shared" si="66"/>
        <v>0</v>
      </c>
      <c r="H510" s="211">
        <f t="shared" si="66"/>
        <v>0</v>
      </c>
      <c r="I510" s="211">
        <f t="shared" si="66"/>
        <v>0</v>
      </c>
      <c r="J510" s="211">
        <f t="shared" si="66"/>
        <v>0</v>
      </c>
      <c r="K510" s="211">
        <f t="shared" si="66"/>
        <v>0</v>
      </c>
      <c r="L510" s="211">
        <f t="shared" si="66"/>
        <v>0</v>
      </c>
      <c r="M510" s="211">
        <f t="shared" si="66"/>
        <v>0</v>
      </c>
      <c r="N510" s="211">
        <f t="shared" si="66"/>
        <v>1481.5</v>
      </c>
      <c r="O510" s="211">
        <f t="shared" si="66"/>
        <v>3666180</v>
      </c>
      <c r="P510" s="211">
        <f t="shared" si="66"/>
        <v>0</v>
      </c>
      <c r="Q510" s="211">
        <f t="shared" si="66"/>
        <v>0</v>
      </c>
      <c r="R510" s="211">
        <f t="shared" si="66"/>
        <v>0</v>
      </c>
      <c r="S510" s="211">
        <f t="shared" si="66"/>
        <v>0</v>
      </c>
      <c r="T510" s="211">
        <f t="shared" si="66"/>
        <v>0</v>
      </c>
      <c r="U510" s="211">
        <f t="shared" si="66"/>
        <v>0</v>
      </c>
      <c r="V510" s="282"/>
      <c r="W510" s="282"/>
      <c r="X510" s="282"/>
    </row>
    <row r="511" spans="1:26">
      <c r="A511" s="430">
        <v>440</v>
      </c>
      <c r="B511" s="438" t="s">
        <v>495</v>
      </c>
      <c r="C511" s="439">
        <v>2553216</v>
      </c>
      <c r="D511" s="439">
        <v>0</v>
      </c>
      <c r="E511" s="439">
        <v>0</v>
      </c>
      <c r="F511" s="439">
        <v>0</v>
      </c>
      <c r="G511" s="439">
        <v>0</v>
      </c>
      <c r="H511" s="439">
        <v>0</v>
      </c>
      <c r="I511" s="439">
        <v>0</v>
      </c>
      <c r="J511" s="439">
        <v>0</v>
      </c>
      <c r="K511" s="439">
        <v>0</v>
      </c>
      <c r="L511" s="440">
        <v>0</v>
      </c>
      <c r="M511" s="439">
        <v>0</v>
      </c>
      <c r="N511" s="439">
        <v>1032</v>
      </c>
      <c r="O511" s="439">
        <v>2553216</v>
      </c>
      <c r="P511" s="442">
        <v>0</v>
      </c>
      <c r="Q511" s="439">
        <v>0</v>
      </c>
      <c r="R511" s="442">
        <v>0</v>
      </c>
      <c r="S511" s="439">
        <v>0</v>
      </c>
      <c r="T511" s="440">
        <v>0</v>
      </c>
      <c r="U511" s="443">
        <v>0</v>
      </c>
      <c r="V511" s="282"/>
      <c r="W511" s="282">
        <f>O511/N511</f>
        <v>2474.046511627907</v>
      </c>
      <c r="X511" s="282"/>
    </row>
    <row r="512" spans="1:26">
      <c r="A512" s="430"/>
      <c r="B512" s="438" t="s">
        <v>496</v>
      </c>
      <c r="C512" s="439">
        <v>1112964</v>
      </c>
      <c r="D512" s="439">
        <v>0</v>
      </c>
      <c r="E512" s="439">
        <v>0</v>
      </c>
      <c r="F512" s="439">
        <v>0</v>
      </c>
      <c r="G512" s="439">
        <v>0</v>
      </c>
      <c r="H512" s="439">
        <v>0</v>
      </c>
      <c r="I512" s="439">
        <v>0</v>
      </c>
      <c r="J512" s="439">
        <v>0</v>
      </c>
      <c r="K512" s="439">
        <v>0</v>
      </c>
      <c r="L512" s="440">
        <v>0</v>
      </c>
      <c r="M512" s="439">
        <v>0</v>
      </c>
      <c r="N512" s="439">
        <v>449.5</v>
      </c>
      <c r="O512" s="439">
        <v>1112964</v>
      </c>
      <c r="P512" s="442">
        <v>0</v>
      </c>
      <c r="Q512" s="439">
        <v>0</v>
      </c>
      <c r="R512" s="442">
        <v>0</v>
      </c>
      <c r="S512" s="439">
        <v>0</v>
      </c>
      <c r="T512" s="440">
        <v>0</v>
      </c>
      <c r="U512" s="443">
        <v>0</v>
      </c>
      <c r="V512" s="282"/>
      <c r="W512" s="282">
        <f>O512/N512</f>
        <v>2476.0044493882092</v>
      </c>
      <c r="X512" s="282"/>
    </row>
    <row r="513" spans="1:31" ht="25.15" customHeight="1">
      <c r="A513" s="194"/>
      <c r="B513" s="216" t="s">
        <v>649</v>
      </c>
      <c r="C513" s="211"/>
      <c r="D513" s="211">
        <f>D514</f>
        <v>204131</v>
      </c>
      <c r="E513" s="211">
        <f t="shared" ref="E513:U513" si="67">E514</f>
        <v>204131</v>
      </c>
      <c r="F513" s="211">
        <f t="shared" si="67"/>
        <v>0</v>
      </c>
      <c r="G513" s="211">
        <f t="shared" si="67"/>
        <v>0</v>
      </c>
      <c r="H513" s="211">
        <f t="shared" si="67"/>
        <v>0</v>
      </c>
      <c r="I513" s="211">
        <f t="shared" si="67"/>
        <v>0</v>
      </c>
      <c r="J513" s="211">
        <f t="shared" si="67"/>
        <v>0</v>
      </c>
      <c r="K513" s="211">
        <f t="shared" si="67"/>
        <v>0</v>
      </c>
      <c r="L513" s="211">
        <f t="shared" si="67"/>
        <v>0</v>
      </c>
      <c r="M513" s="211">
        <f t="shared" si="67"/>
        <v>0</v>
      </c>
      <c r="N513" s="211">
        <f t="shared" si="67"/>
        <v>0</v>
      </c>
      <c r="O513" s="211">
        <f t="shared" si="67"/>
        <v>0</v>
      </c>
      <c r="P513" s="211">
        <f t="shared" si="67"/>
        <v>0</v>
      </c>
      <c r="Q513" s="211">
        <f t="shared" si="67"/>
        <v>0</v>
      </c>
      <c r="R513" s="211">
        <f t="shared" si="67"/>
        <v>0</v>
      </c>
      <c r="S513" s="211">
        <f t="shared" si="67"/>
        <v>0</v>
      </c>
      <c r="T513" s="211">
        <f t="shared" si="67"/>
        <v>0</v>
      </c>
      <c r="U513" s="211">
        <f t="shared" si="67"/>
        <v>0</v>
      </c>
      <c r="V513" s="282"/>
      <c r="W513" s="282"/>
      <c r="X513" s="282"/>
    </row>
    <row r="514" spans="1:31" ht="30">
      <c r="A514" s="194"/>
      <c r="B514" s="214" t="s">
        <v>658</v>
      </c>
      <c r="C514" s="211"/>
      <c r="D514" s="211">
        <f>D515</f>
        <v>204131</v>
      </c>
      <c r="E514" s="211">
        <f t="shared" ref="E514:V514" si="68">E515</f>
        <v>204131</v>
      </c>
      <c r="F514" s="211">
        <f t="shared" si="68"/>
        <v>0</v>
      </c>
      <c r="G514" s="211">
        <f t="shared" si="68"/>
        <v>0</v>
      </c>
      <c r="H514" s="211">
        <f t="shared" si="68"/>
        <v>0</v>
      </c>
      <c r="I514" s="211">
        <f t="shared" si="68"/>
        <v>0</v>
      </c>
      <c r="J514" s="211">
        <f t="shared" si="68"/>
        <v>0</v>
      </c>
      <c r="K514" s="211">
        <f t="shared" si="68"/>
        <v>0</v>
      </c>
      <c r="L514" s="211">
        <f t="shared" si="68"/>
        <v>0</v>
      </c>
      <c r="M514" s="211">
        <f t="shared" si="68"/>
        <v>0</v>
      </c>
      <c r="N514" s="211">
        <f t="shared" si="68"/>
        <v>0</v>
      </c>
      <c r="O514" s="211">
        <f t="shared" si="68"/>
        <v>0</v>
      </c>
      <c r="P514" s="211">
        <f t="shared" si="68"/>
        <v>0</v>
      </c>
      <c r="Q514" s="211">
        <f t="shared" si="68"/>
        <v>0</v>
      </c>
      <c r="R514" s="211">
        <f t="shared" si="68"/>
        <v>0</v>
      </c>
      <c r="S514" s="211">
        <f t="shared" si="68"/>
        <v>0</v>
      </c>
      <c r="T514" s="211">
        <f t="shared" si="68"/>
        <v>0</v>
      </c>
      <c r="U514" s="211">
        <f t="shared" si="68"/>
        <v>0</v>
      </c>
      <c r="V514" s="211">
        <f t="shared" si="68"/>
        <v>0</v>
      </c>
      <c r="W514" s="282"/>
      <c r="X514" s="282"/>
    </row>
    <row r="515" spans="1:31">
      <c r="A515" s="194"/>
      <c r="B515" s="214" t="s">
        <v>651</v>
      </c>
      <c r="C515" s="211">
        <v>204131</v>
      </c>
      <c r="D515" s="211">
        <f>E515+F515+G515+H515+I515+J515+K515</f>
        <v>204131</v>
      </c>
      <c r="E515" s="211">
        <v>204131</v>
      </c>
      <c r="F515" s="211">
        <v>0</v>
      </c>
      <c r="G515" s="211">
        <v>0</v>
      </c>
      <c r="H515" s="211">
        <v>0</v>
      </c>
      <c r="I515" s="211">
        <v>0</v>
      </c>
      <c r="J515" s="211">
        <v>0</v>
      </c>
      <c r="K515" s="211">
        <v>0</v>
      </c>
      <c r="L515" s="212">
        <v>0</v>
      </c>
      <c r="M515" s="211">
        <v>0</v>
      </c>
      <c r="N515" s="211">
        <v>0</v>
      </c>
      <c r="O515" s="211">
        <v>0</v>
      </c>
      <c r="P515" s="213">
        <v>0</v>
      </c>
      <c r="Q515" s="211">
        <v>0</v>
      </c>
      <c r="R515" s="213">
        <v>0</v>
      </c>
      <c r="S515" s="211">
        <v>0</v>
      </c>
      <c r="T515" s="212">
        <v>0</v>
      </c>
      <c r="U515" s="290">
        <v>0</v>
      </c>
      <c r="V515" s="282"/>
      <c r="W515" s="282"/>
      <c r="X515" s="282"/>
      <c r="Y515" s="1">
        <f>E515/'часть 1'!I475</f>
        <v>465.62728102189783</v>
      </c>
    </row>
    <row r="516" spans="1:31">
      <c r="A516" s="198"/>
      <c r="B516" s="216" t="s">
        <v>62</v>
      </c>
      <c r="C516" s="211">
        <v>974618</v>
      </c>
      <c r="D516" s="211"/>
      <c r="E516" s="211"/>
      <c r="F516" s="211"/>
      <c r="G516" s="211"/>
      <c r="H516" s="211"/>
      <c r="I516" s="211"/>
      <c r="J516" s="211"/>
      <c r="K516" s="211">
        <v>0</v>
      </c>
      <c r="L516" s="212">
        <v>0</v>
      </c>
      <c r="M516" s="211">
        <v>0</v>
      </c>
      <c r="N516" s="211">
        <v>484</v>
      </c>
      <c r="O516" s="211">
        <v>974618</v>
      </c>
      <c r="P516" s="213">
        <v>0</v>
      </c>
      <c r="Q516" s="211">
        <v>0</v>
      </c>
      <c r="R516" s="213">
        <v>0</v>
      </c>
      <c r="S516" s="211">
        <v>0</v>
      </c>
      <c r="T516" s="212">
        <v>0</v>
      </c>
      <c r="U516" s="290">
        <v>0</v>
      </c>
      <c r="V516" s="282"/>
      <c r="W516" s="282"/>
      <c r="X516" s="282"/>
    </row>
    <row r="517" spans="1:31" ht="30">
      <c r="A517" s="198"/>
      <c r="B517" s="238" t="s">
        <v>117</v>
      </c>
      <c r="C517" s="211">
        <f>C518</f>
        <v>1214790</v>
      </c>
      <c r="D517" s="211">
        <f t="shared" ref="D517:V517" si="69">D518</f>
        <v>0</v>
      </c>
      <c r="E517" s="211">
        <f t="shared" si="69"/>
        <v>0</v>
      </c>
      <c r="F517" s="211">
        <f t="shared" si="69"/>
        <v>0</v>
      </c>
      <c r="G517" s="211">
        <f t="shared" si="69"/>
        <v>0</v>
      </c>
      <c r="H517" s="211">
        <f t="shared" si="69"/>
        <v>0</v>
      </c>
      <c r="I517" s="211">
        <f t="shared" si="69"/>
        <v>0</v>
      </c>
      <c r="J517" s="211">
        <f t="shared" si="69"/>
        <v>0</v>
      </c>
      <c r="K517" s="211">
        <f t="shared" si="69"/>
        <v>0</v>
      </c>
      <c r="L517" s="211">
        <f t="shared" si="69"/>
        <v>0</v>
      </c>
      <c r="M517" s="211">
        <f t="shared" si="69"/>
        <v>0</v>
      </c>
      <c r="N517" s="211">
        <f t="shared" si="69"/>
        <v>383</v>
      </c>
      <c r="O517" s="211">
        <f t="shared" si="69"/>
        <v>1214790</v>
      </c>
      <c r="P517" s="211">
        <f t="shared" si="69"/>
        <v>0</v>
      </c>
      <c r="Q517" s="211">
        <f t="shared" si="69"/>
        <v>0</v>
      </c>
      <c r="R517" s="211">
        <f t="shared" si="69"/>
        <v>0</v>
      </c>
      <c r="S517" s="211">
        <f t="shared" si="69"/>
        <v>0</v>
      </c>
      <c r="T517" s="211">
        <f t="shared" si="69"/>
        <v>0</v>
      </c>
      <c r="U517" s="211">
        <f t="shared" si="69"/>
        <v>0</v>
      </c>
      <c r="V517" s="211">
        <f t="shared" si="69"/>
        <v>0</v>
      </c>
      <c r="W517" s="211"/>
      <c r="X517" s="211"/>
      <c r="Y517" s="211"/>
      <c r="Z517" s="211"/>
      <c r="AA517" s="211"/>
      <c r="AB517" s="211"/>
      <c r="AC517" s="211"/>
      <c r="AD517" s="211"/>
      <c r="AE517" s="211"/>
    </row>
    <row r="518" spans="1:31">
      <c r="A518" s="430">
        <v>441</v>
      </c>
      <c r="B518" s="438" t="s">
        <v>486</v>
      </c>
      <c r="C518" s="439">
        <v>1214790</v>
      </c>
      <c r="D518" s="439">
        <v>0</v>
      </c>
      <c r="E518" s="439">
        <v>0</v>
      </c>
      <c r="F518" s="439">
        <v>0</v>
      </c>
      <c r="G518" s="439">
        <v>0</v>
      </c>
      <c r="H518" s="439">
        <v>0</v>
      </c>
      <c r="I518" s="439">
        <v>0</v>
      </c>
      <c r="J518" s="439">
        <v>0</v>
      </c>
      <c r="K518" s="439">
        <v>0</v>
      </c>
      <c r="L518" s="440">
        <v>0</v>
      </c>
      <c r="M518" s="439">
        <v>0</v>
      </c>
      <c r="N518" s="439">
        <v>383</v>
      </c>
      <c r="O518" s="439">
        <v>1214790</v>
      </c>
      <c r="P518" s="442">
        <v>0</v>
      </c>
      <c r="Q518" s="439">
        <v>0</v>
      </c>
      <c r="R518" s="442">
        <v>0</v>
      </c>
      <c r="S518" s="439">
        <v>0</v>
      </c>
      <c r="T518" s="440">
        <v>0</v>
      </c>
      <c r="U518" s="443">
        <v>0</v>
      </c>
      <c r="V518" s="282"/>
      <c r="W518" s="282">
        <f>O518/N518</f>
        <v>3171.7754569190602</v>
      </c>
      <c r="X518" s="282"/>
    </row>
    <row r="519" spans="1:31" ht="18.600000000000001" customHeight="1">
      <c r="A519" s="430"/>
      <c r="B519" s="464" t="s">
        <v>63</v>
      </c>
      <c r="C519" s="439">
        <f>C520</f>
        <v>3037109</v>
      </c>
      <c r="D519" s="439">
        <f t="shared" ref="D519:V519" si="70">D520</f>
        <v>0</v>
      </c>
      <c r="E519" s="439">
        <f t="shared" si="70"/>
        <v>0</v>
      </c>
      <c r="F519" s="439">
        <f t="shared" si="70"/>
        <v>0</v>
      </c>
      <c r="G519" s="439">
        <f t="shared" si="70"/>
        <v>0</v>
      </c>
      <c r="H519" s="439">
        <f t="shared" si="70"/>
        <v>0</v>
      </c>
      <c r="I519" s="439">
        <f t="shared" si="70"/>
        <v>0</v>
      </c>
      <c r="J519" s="439">
        <f t="shared" si="70"/>
        <v>0</v>
      </c>
      <c r="K519" s="439">
        <f t="shared" si="70"/>
        <v>0</v>
      </c>
      <c r="L519" s="439">
        <f t="shared" si="70"/>
        <v>0</v>
      </c>
      <c r="M519" s="439">
        <f t="shared" si="70"/>
        <v>0</v>
      </c>
      <c r="N519" s="439">
        <f t="shared" si="70"/>
        <v>1220.54</v>
      </c>
      <c r="O519" s="439">
        <f t="shared" si="70"/>
        <v>3037109</v>
      </c>
      <c r="P519" s="439">
        <f t="shared" si="70"/>
        <v>0</v>
      </c>
      <c r="Q519" s="439">
        <f t="shared" si="70"/>
        <v>0</v>
      </c>
      <c r="R519" s="439">
        <f t="shared" si="70"/>
        <v>0</v>
      </c>
      <c r="S519" s="439">
        <f t="shared" si="70"/>
        <v>0</v>
      </c>
      <c r="T519" s="439">
        <f t="shared" si="70"/>
        <v>0</v>
      </c>
      <c r="U519" s="439">
        <f t="shared" si="70"/>
        <v>0</v>
      </c>
      <c r="V519" s="211">
        <f t="shared" si="70"/>
        <v>0</v>
      </c>
      <c r="W519" s="282"/>
      <c r="X519" s="282"/>
    </row>
    <row r="520" spans="1:31" ht="30">
      <c r="A520" s="430"/>
      <c r="B520" s="438" t="s">
        <v>116</v>
      </c>
      <c r="C520" s="439">
        <f>C521+C522</f>
        <v>3037109</v>
      </c>
      <c r="D520" s="439">
        <f t="shared" ref="D520:U520" si="71">D521+D522</f>
        <v>0</v>
      </c>
      <c r="E520" s="439">
        <f t="shared" si="71"/>
        <v>0</v>
      </c>
      <c r="F520" s="439">
        <f t="shared" si="71"/>
        <v>0</v>
      </c>
      <c r="G520" s="439">
        <f t="shared" si="71"/>
        <v>0</v>
      </c>
      <c r="H520" s="439">
        <f t="shared" si="71"/>
        <v>0</v>
      </c>
      <c r="I520" s="439">
        <f t="shared" si="71"/>
        <v>0</v>
      </c>
      <c r="J520" s="439">
        <f t="shared" si="71"/>
        <v>0</v>
      </c>
      <c r="K520" s="439">
        <f t="shared" si="71"/>
        <v>0</v>
      </c>
      <c r="L520" s="439">
        <f t="shared" si="71"/>
        <v>0</v>
      </c>
      <c r="M520" s="439">
        <f t="shared" si="71"/>
        <v>0</v>
      </c>
      <c r="N520" s="439">
        <f t="shared" si="71"/>
        <v>1220.54</v>
      </c>
      <c r="O520" s="439">
        <f t="shared" si="71"/>
        <v>3037109</v>
      </c>
      <c r="P520" s="439">
        <f t="shared" si="71"/>
        <v>0</v>
      </c>
      <c r="Q520" s="439">
        <f t="shared" si="71"/>
        <v>0</v>
      </c>
      <c r="R520" s="439">
        <f t="shared" si="71"/>
        <v>0</v>
      </c>
      <c r="S520" s="439">
        <f t="shared" si="71"/>
        <v>0</v>
      </c>
      <c r="T520" s="439">
        <f t="shared" si="71"/>
        <v>0</v>
      </c>
      <c r="U520" s="439">
        <f t="shared" si="71"/>
        <v>0</v>
      </c>
      <c r="V520" s="282"/>
      <c r="W520" s="282"/>
      <c r="X520" s="282"/>
    </row>
    <row r="521" spans="1:31" ht="17.45" customHeight="1">
      <c r="A521" s="430">
        <v>442</v>
      </c>
      <c r="B521" s="438" t="s">
        <v>675</v>
      </c>
      <c r="C521" s="439">
        <f>'часть 1'!L481</f>
        <v>2012761</v>
      </c>
      <c r="D521" s="439">
        <v>0</v>
      </c>
      <c r="E521" s="439">
        <v>0</v>
      </c>
      <c r="F521" s="439">
        <v>0</v>
      </c>
      <c r="G521" s="439">
        <v>0</v>
      </c>
      <c r="H521" s="439">
        <v>0</v>
      </c>
      <c r="I521" s="439">
        <v>0</v>
      </c>
      <c r="J521" s="439">
        <v>0</v>
      </c>
      <c r="K521" s="439">
        <v>0</v>
      </c>
      <c r="L521" s="440">
        <v>0</v>
      </c>
      <c r="M521" s="439">
        <v>0</v>
      </c>
      <c r="N521" s="439">
        <v>811.74</v>
      </c>
      <c r="O521" s="439">
        <v>2012761</v>
      </c>
      <c r="P521" s="442">
        <v>0</v>
      </c>
      <c r="Q521" s="439">
        <v>0</v>
      </c>
      <c r="R521" s="442">
        <v>0</v>
      </c>
      <c r="S521" s="439">
        <v>0</v>
      </c>
      <c r="T521" s="440">
        <v>0</v>
      </c>
      <c r="U521" s="443">
        <v>0</v>
      </c>
      <c r="V521" s="282"/>
      <c r="W521" s="282">
        <f>O521/N521</f>
        <v>2479.5636533865522</v>
      </c>
      <c r="X521" s="282"/>
    </row>
    <row r="522" spans="1:31" ht="17.45" customHeight="1">
      <c r="A522" s="430"/>
      <c r="B522" s="438" t="s">
        <v>676</v>
      </c>
      <c r="C522" s="439">
        <f>'часть 1'!L482</f>
        <v>1024348</v>
      </c>
      <c r="D522" s="439">
        <v>0</v>
      </c>
      <c r="E522" s="439">
        <v>0</v>
      </c>
      <c r="F522" s="439">
        <v>0</v>
      </c>
      <c r="G522" s="439">
        <v>0</v>
      </c>
      <c r="H522" s="439">
        <v>0</v>
      </c>
      <c r="I522" s="439">
        <v>0</v>
      </c>
      <c r="J522" s="439">
        <v>0</v>
      </c>
      <c r="K522" s="439">
        <v>0</v>
      </c>
      <c r="L522" s="440">
        <v>0</v>
      </c>
      <c r="M522" s="439">
        <v>0</v>
      </c>
      <c r="N522" s="439">
        <v>408.8</v>
      </c>
      <c r="O522" s="439">
        <v>1024348</v>
      </c>
      <c r="P522" s="442">
        <v>0</v>
      </c>
      <c r="Q522" s="439">
        <v>0</v>
      </c>
      <c r="R522" s="442">
        <v>0</v>
      </c>
      <c r="S522" s="439">
        <v>0</v>
      </c>
      <c r="T522" s="440">
        <v>0</v>
      </c>
      <c r="U522" s="443">
        <v>0</v>
      </c>
      <c r="V522" s="282"/>
      <c r="W522" s="282">
        <f>O522/N522</f>
        <v>2505.7436399217222</v>
      </c>
      <c r="X522" s="282"/>
    </row>
    <row r="523" spans="1:31" ht="18.600000000000001" customHeight="1">
      <c r="A523" s="430"/>
      <c r="B523" s="438" t="s">
        <v>663</v>
      </c>
      <c r="C523" s="439">
        <f>C524</f>
        <v>1402598</v>
      </c>
      <c r="D523" s="439">
        <f t="shared" ref="D523:V524" si="72">D524</f>
        <v>0</v>
      </c>
      <c r="E523" s="439">
        <f t="shared" si="72"/>
        <v>0</v>
      </c>
      <c r="F523" s="439">
        <f t="shared" si="72"/>
        <v>0</v>
      </c>
      <c r="G523" s="439">
        <f t="shared" si="72"/>
        <v>0</v>
      </c>
      <c r="H523" s="439">
        <f t="shared" si="72"/>
        <v>0</v>
      </c>
      <c r="I523" s="439">
        <f t="shared" si="72"/>
        <v>0</v>
      </c>
      <c r="J523" s="439">
        <f t="shared" si="72"/>
        <v>0</v>
      </c>
      <c r="K523" s="439">
        <f t="shared" si="72"/>
        <v>0</v>
      </c>
      <c r="L523" s="439">
        <f t="shared" si="72"/>
        <v>0</v>
      </c>
      <c r="M523" s="439">
        <f t="shared" si="72"/>
        <v>0</v>
      </c>
      <c r="N523" s="439">
        <f t="shared" si="72"/>
        <v>443.4</v>
      </c>
      <c r="O523" s="439">
        <f t="shared" si="72"/>
        <v>1402598</v>
      </c>
      <c r="P523" s="439">
        <f t="shared" si="72"/>
        <v>0</v>
      </c>
      <c r="Q523" s="439">
        <f t="shared" si="72"/>
        <v>0</v>
      </c>
      <c r="R523" s="439">
        <f t="shared" si="72"/>
        <v>0</v>
      </c>
      <c r="S523" s="439">
        <f t="shared" si="72"/>
        <v>0</v>
      </c>
      <c r="T523" s="439">
        <f t="shared" si="72"/>
        <v>0</v>
      </c>
      <c r="U523" s="439">
        <f t="shared" si="72"/>
        <v>0</v>
      </c>
      <c r="V523" s="211">
        <f t="shared" si="72"/>
        <v>0</v>
      </c>
      <c r="W523" s="282"/>
      <c r="X523" s="282"/>
    </row>
    <row r="524" spans="1:31" ht="30">
      <c r="A524" s="430"/>
      <c r="B524" s="438" t="s">
        <v>667</v>
      </c>
      <c r="C524" s="439">
        <f>C525</f>
        <v>1402598</v>
      </c>
      <c r="D524" s="439">
        <f t="shared" si="72"/>
        <v>0</v>
      </c>
      <c r="E524" s="439">
        <f t="shared" si="72"/>
        <v>0</v>
      </c>
      <c r="F524" s="439">
        <f t="shared" si="72"/>
        <v>0</v>
      </c>
      <c r="G524" s="439">
        <f t="shared" si="72"/>
        <v>0</v>
      </c>
      <c r="H524" s="439">
        <f t="shared" si="72"/>
        <v>0</v>
      </c>
      <c r="I524" s="439">
        <f t="shared" si="72"/>
        <v>0</v>
      </c>
      <c r="J524" s="439">
        <f t="shared" si="72"/>
        <v>0</v>
      </c>
      <c r="K524" s="439">
        <f t="shared" si="72"/>
        <v>0</v>
      </c>
      <c r="L524" s="439">
        <f t="shared" si="72"/>
        <v>0</v>
      </c>
      <c r="M524" s="439">
        <f t="shared" si="72"/>
        <v>0</v>
      </c>
      <c r="N524" s="439">
        <f t="shared" si="72"/>
        <v>443.4</v>
      </c>
      <c r="O524" s="439">
        <f t="shared" si="72"/>
        <v>1402598</v>
      </c>
      <c r="P524" s="439">
        <f t="shared" si="72"/>
        <v>0</v>
      </c>
      <c r="Q524" s="439">
        <f t="shared" si="72"/>
        <v>0</v>
      </c>
      <c r="R524" s="439">
        <f t="shared" si="72"/>
        <v>0</v>
      </c>
      <c r="S524" s="439">
        <f t="shared" si="72"/>
        <v>0</v>
      </c>
      <c r="T524" s="439">
        <f t="shared" si="72"/>
        <v>0</v>
      </c>
      <c r="U524" s="439">
        <f t="shared" si="72"/>
        <v>0</v>
      </c>
      <c r="V524" s="439">
        <f t="shared" si="72"/>
        <v>0</v>
      </c>
      <c r="W524" s="282"/>
      <c r="X524" s="282"/>
    </row>
    <row r="525" spans="1:31" ht="17.45" customHeight="1">
      <c r="A525" s="430">
        <v>443</v>
      </c>
      <c r="B525" s="438" t="s">
        <v>835</v>
      </c>
      <c r="C525" s="439">
        <f>'часть 1'!L484</f>
        <v>1402598</v>
      </c>
      <c r="D525" s="439">
        <v>0</v>
      </c>
      <c r="E525" s="439">
        <v>0</v>
      </c>
      <c r="F525" s="439">
        <v>0</v>
      </c>
      <c r="G525" s="439">
        <v>0</v>
      </c>
      <c r="H525" s="439">
        <v>0</v>
      </c>
      <c r="I525" s="439">
        <v>0</v>
      </c>
      <c r="J525" s="439">
        <v>0</v>
      </c>
      <c r="K525" s="439">
        <v>0</v>
      </c>
      <c r="L525" s="440">
        <v>0</v>
      </c>
      <c r="M525" s="439">
        <v>0</v>
      </c>
      <c r="N525" s="432">
        <v>443.4</v>
      </c>
      <c r="O525" s="439">
        <v>1402598</v>
      </c>
      <c r="P525" s="442">
        <v>0</v>
      </c>
      <c r="Q525" s="439">
        <v>0</v>
      </c>
      <c r="R525" s="442">
        <v>0</v>
      </c>
      <c r="S525" s="439">
        <v>0</v>
      </c>
      <c r="T525" s="440">
        <v>0</v>
      </c>
      <c r="U525" s="443">
        <v>0</v>
      </c>
      <c r="V525" s="282"/>
      <c r="W525" s="282">
        <f>O525/N525</f>
        <v>3163.2792061344162</v>
      </c>
      <c r="X525" s="282"/>
    </row>
    <row r="526" spans="1:31">
      <c r="A526" s="198"/>
      <c r="B526" s="216" t="s">
        <v>64</v>
      </c>
      <c r="C526" s="211">
        <v>6928539</v>
      </c>
      <c r="D526" s="211"/>
      <c r="E526" s="211"/>
      <c r="F526" s="211"/>
      <c r="G526" s="211"/>
      <c r="H526" s="211"/>
      <c r="I526" s="211"/>
      <c r="J526" s="211"/>
      <c r="K526" s="211">
        <v>0</v>
      </c>
      <c r="L526" s="212">
        <v>0</v>
      </c>
      <c r="M526" s="211">
        <v>0</v>
      </c>
      <c r="N526" s="211">
        <v>3103</v>
      </c>
      <c r="O526" s="211">
        <v>6183896</v>
      </c>
      <c r="P526" s="213">
        <v>0</v>
      </c>
      <c r="Q526" s="211">
        <v>0</v>
      </c>
      <c r="R526" s="211">
        <v>512.4</v>
      </c>
      <c r="S526" s="211">
        <v>744643</v>
      </c>
      <c r="T526" s="212">
        <v>0</v>
      </c>
      <c r="U526" s="290">
        <v>0</v>
      </c>
      <c r="V526" s="282"/>
      <c r="W526" s="282"/>
      <c r="X526" s="282"/>
    </row>
    <row r="527" spans="1:31" ht="30">
      <c r="A527" s="430"/>
      <c r="B527" s="438" t="s">
        <v>115</v>
      </c>
      <c r="C527" s="439">
        <f>C528+C529+C530+C531</f>
        <v>5743338</v>
      </c>
      <c r="D527" s="439">
        <f t="shared" ref="D527:U527" si="73">D528+D529+D530+D531</f>
        <v>287932</v>
      </c>
      <c r="E527" s="439">
        <f t="shared" si="73"/>
        <v>287932</v>
      </c>
      <c r="F527" s="439">
        <f t="shared" si="73"/>
        <v>0</v>
      </c>
      <c r="G527" s="439">
        <f t="shared" si="73"/>
        <v>0</v>
      </c>
      <c r="H527" s="439">
        <f t="shared" si="73"/>
        <v>0</v>
      </c>
      <c r="I527" s="439">
        <f t="shared" si="73"/>
        <v>0</v>
      </c>
      <c r="J527" s="439">
        <f t="shared" si="73"/>
        <v>0</v>
      </c>
      <c r="K527" s="439">
        <f t="shared" si="73"/>
        <v>0</v>
      </c>
      <c r="L527" s="439">
        <f t="shared" si="73"/>
        <v>0</v>
      </c>
      <c r="M527" s="439">
        <f t="shared" si="73"/>
        <v>0</v>
      </c>
      <c r="N527" s="439">
        <f t="shared" si="73"/>
        <v>1384</v>
      </c>
      <c r="O527" s="439">
        <f t="shared" si="73"/>
        <v>4388060</v>
      </c>
      <c r="P527" s="439">
        <f t="shared" si="73"/>
        <v>0</v>
      </c>
      <c r="Q527" s="439">
        <f t="shared" si="73"/>
        <v>0</v>
      </c>
      <c r="R527" s="439">
        <f t="shared" si="73"/>
        <v>703</v>
      </c>
      <c r="S527" s="439">
        <f t="shared" si="73"/>
        <v>1067346</v>
      </c>
      <c r="T527" s="439">
        <f t="shared" si="73"/>
        <v>0</v>
      </c>
      <c r="U527" s="439">
        <f t="shared" si="73"/>
        <v>0</v>
      </c>
      <c r="V527" s="282"/>
      <c r="W527" s="282"/>
      <c r="X527" s="282"/>
      <c r="Y527" s="25"/>
      <c r="Z527" s="25"/>
    </row>
    <row r="528" spans="1:31">
      <c r="A528" s="198">
        <v>444</v>
      </c>
      <c r="B528" s="214" t="s">
        <v>608</v>
      </c>
      <c r="C528" s="211">
        <f>E528+O528+S528</f>
        <v>2311572</v>
      </c>
      <c r="D528" s="211">
        <f>E528+F528+G528+H528+I528+J528+K528</f>
        <v>203804</v>
      </c>
      <c r="E528" s="211">
        <v>203804</v>
      </c>
      <c r="F528" s="211">
        <v>0</v>
      </c>
      <c r="G528" s="211">
        <v>0</v>
      </c>
      <c r="H528" s="211">
        <v>0</v>
      </c>
      <c r="I528" s="211">
        <v>0</v>
      </c>
      <c r="J528" s="211">
        <v>0</v>
      </c>
      <c r="K528" s="211">
        <v>0</v>
      </c>
      <c r="L528" s="212">
        <v>0</v>
      </c>
      <c r="M528" s="211">
        <v>0</v>
      </c>
      <c r="N528" s="211">
        <v>413</v>
      </c>
      <c r="O528" s="211">
        <v>1306584</v>
      </c>
      <c r="P528" s="213">
        <v>0</v>
      </c>
      <c r="Q528" s="211">
        <v>0</v>
      </c>
      <c r="R528" s="213">
        <v>530</v>
      </c>
      <c r="S528" s="211">
        <v>801184</v>
      </c>
      <c r="T528" s="212">
        <v>0</v>
      </c>
      <c r="U528" s="290">
        <v>0</v>
      </c>
      <c r="V528" s="282"/>
      <c r="W528" s="282">
        <f>O528/N528</f>
        <v>3163.641646489104</v>
      </c>
      <c r="X528" s="865">
        <f>S528/R528</f>
        <v>1511.6679245283019</v>
      </c>
      <c r="Y528" s="1">
        <f>E528/'часть 1'!I487</f>
        <v>700.35738831615117</v>
      </c>
    </row>
    <row r="529" spans="1:35" ht="30">
      <c r="A529" s="198">
        <v>445</v>
      </c>
      <c r="B529" s="214" t="s">
        <v>609</v>
      </c>
      <c r="C529" s="211">
        <f t="shared" ref="C529:C531" si="74">E529+O529+S529</f>
        <v>968625</v>
      </c>
      <c r="D529" s="211">
        <f t="shared" ref="D529:D531" si="75">E529+F529+G529+H529+I529+J529+K529</f>
        <v>84128</v>
      </c>
      <c r="E529" s="211">
        <v>84128</v>
      </c>
      <c r="F529" s="211">
        <v>0</v>
      </c>
      <c r="G529" s="211">
        <v>0</v>
      </c>
      <c r="H529" s="211">
        <v>0</v>
      </c>
      <c r="I529" s="211">
        <v>0</v>
      </c>
      <c r="J529" s="211">
        <v>0</v>
      </c>
      <c r="K529" s="211">
        <v>0</v>
      </c>
      <c r="L529" s="212">
        <v>0</v>
      </c>
      <c r="M529" s="211">
        <v>0</v>
      </c>
      <c r="N529" s="211">
        <v>194</v>
      </c>
      <c r="O529" s="211">
        <v>618335</v>
      </c>
      <c r="P529" s="213">
        <v>0</v>
      </c>
      <c r="Q529" s="211">
        <v>0</v>
      </c>
      <c r="R529" s="213">
        <v>173</v>
      </c>
      <c r="S529" s="211">
        <v>266162</v>
      </c>
      <c r="T529" s="212">
        <v>0</v>
      </c>
      <c r="U529" s="290">
        <v>0</v>
      </c>
      <c r="V529" s="282"/>
      <c r="W529" s="282">
        <f t="shared" ref="W529:W531" si="76">O529/N529</f>
        <v>3187.2938144329896</v>
      </c>
      <c r="X529" s="282">
        <f>S529/R529</f>
        <v>1538.5086705202311</v>
      </c>
      <c r="Y529" s="1">
        <f>E529/'часть 1'!I488</f>
        <v>701.06666666666672</v>
      </c>
    </row>
    <row r="530" spans="1:35">
      <c r="A530" s="198">
        <v>446</v>
      </c>
      <c r="B530" s="214" t="s">
        <v>610</v>
      </c>
      <c r="C530" s="211">
        <f t="shared" si="74"/>
        <v>1139852</v>
      </c>
      <c r="D530" s="211">
        <f t="shared" si="75"/>
        <v>0</v>
      </c>
      <c r="E530" s="211">
        <v>0</v>
      </c>
      <c r="F530" s="211">
        <v>0</v>
      </c>
      <c r="G530" s="211">
        <v>0</v>
      </c>
      <c r="H530" s="211">
        <v>0</v>
      </c>
      <c r="I530" s="211">
        <v>0</v>
      </c>
      <c r="J530" s="211">
        <v>0</v>
      </c>
      <c r="K530" s="211">
        <v>0</v>
      </c>
      <c r="L530" s="212">
        <v>0</v>
      </c>
      <c r="M530" s="211">
        <v>0</v>
      </c>
      <c r="N530" s="211">
        <v>359</v>
      </c>
      <c r="O530" s="211">
        <v>1139852</v>
      </c>
      <c r="P530" s="213">
        <v>0</v>
      </c>
      <c r="Q530" s="211">
        <v>0</v>
      </c>
      <c r="R530" s="211">
        <v>0</v>
      </c>
      <c r="S530" s="211">
        <v>0</v>
      </c>
      <c r="T530" s="212">
        <v>0</v>
      </c>
      <c r="U530" s="290">
        <v>0</v>
      </c>
      <c r="V530" s="282"/>
      <c r="W530" s="282">
        <f t="shared" si="76"/>
        <v>3175.075208913649</v>
      </c>
      <c r="X530" s="282"/>
      <c r="Y530" s="25"/>
      <c r="Z530" s="25"/>
    </row>
    <row r="531" spans="1:35">
      <c r="A531" s="198">
        <v>447</v>
      </c>
      <c r="B531" s="214" t="s">
        <v>611</v>
      </c>
      <c r="C531" s="211">
        <f t="shared" si="74"/>
        <v>1323289</v>
      </c>
      <c r="D531" s="211">
        <f t="shared" si="75"/>
        <v>0</v>
      </c>
      <c r="E531" s="211">
        <v>0</v>
      </c>
      <c r="F531" s="211">
        <v>0</v>
      </c>
      <c r="G531" s="211">
        <v>0</v>
      </c>
      <c r="H531" s="211">
        <v>0</v>
      </c>
      <c r="I531" s="211">
        <v>0</v>
      </c>
      <c r="J531" s="211">
        <v>0</v>
      </c>
      <c r="K531" s="211">
        <v>0</v>
      </c>
      <c r="L531" s="212">
        <v>0</v>
      </c>
      <c r="M531" s="211">
        <v>0</v>
      </c>
      <c r="N531" s="211">
        <v>418</v>
      </c>
      <c r="O531" s="211">
        <v>1323289</v>
      </c>
      <c r="P531" s="213">
        <v>0</v>
      </c>
      <c r="Q531" s="211">
        <v>0</v>
      </c>
      <c r="R531" s="213">
        <v>0</v>
      </c>
      <c r="S531" s="211">
        <v>0</v>
      </c>
      <c r="T531" s="212">
        <v>0</v>
      </c>
      <c r="U531" s="290">
        <v>0</v>
      </c>
      <c r="V531" s="282"/>
      <c r="W531" s="282">
        <f t="shared" si="76"/>
        <v>3165.7631578947367</v>
      </c>
      <c r="X531" s="282"/>
    </row>
    <row r="532" spans="1:35">
      <c r="A532" s="198"/>
      <c r="B532" s="216" t="s">
        <v>65</v>
      </c>
      <c r="C532" s="211">
        <f>C533+C535</f>
        <v>2988909</v>
      </c>
      <c r="D532" s="211">
        <f t="shared" ref="D532:U532" si="77">D533+D535</f>
        <v>0</v>
      </c>
      <c r="E532" s="211">
        <f t="shared" si="77"/>
        <v>0</v>
      </c>
      <c r="F532" s="211">
        <f t="shared" si="77"/>
        <v>0</v>
      </c>
      <c r="G532" s="211">
        <f t="shared" si="77"/>
        <v>0</v>
      </c>
      <c r="H532" s="211">
        <f t="shared" si="77"/>
        <v>0</v>
      </c>
      <c r="I532" s="211">
        <f t="shared" si="77"/>
        <v>0</v>
      </c>
      <c r="J532" s="211">
        <f t="shared" si="77"/>
        <v>0</v>
      </c>
      <c r="K532" s="211">
        <f t="shared" si="77"/>
        <v>0</v>
      </c>
      <c r="L532" s="211">
        <f t="shared" si="77"/>
        <v>0</v>
      </c>
      <c r="M532" s="211">
        <f t="shared" si="77"/>
        <v>0</v>
      </c>
      <c r="N532" s="211">
        <f t="shared" si="77"/>
        <v>946.68000000000006</v>
      </c>
      <c r="O532" s="211">
        <f t="shared" si="77"/>
        <v>2988909</v>
      </c>
      <c r="P532" s="211">
        <f t="shared" si="77"/>
        <v>0</v>
      </c>
      <c r="Q532" s="211">
        <f t="shared" si="77"/>
        <v>0</v>
      </c>
      <c r="R532" s="211">
        <f t="shared" si="77"/>
        <v>0</v>
      </c>
      <c r="S532" s="211">
        <f t="shared" si="77"/>
        <v>0</v>
      </c>
      <c r="T532" s="211">
        <f t="shared" si="77"/>
        <v>0</v>
      </c>
      <c r="U532" s="211">
        <f t="shared" si="77"/>
        <v>0</v>
      </c>
      <c r="V532" s="282"/>
      <c r="W532" s="282"/>
      <c r="X532" s="282"/>
    </row>
    <row r="533" spans="1:35" ht="30">
      <c r="A533" s="198"/>
      <c r="B533" s="214" t="s">
        <v>629</v>
      </c>
      <c r="C533" s="211">
        <f>C534</f>
        <v>1537679</v>
      </c>
      <c r="D533" s="211">
        <f t="shared" ref="D533:U533" si="78">D534</f>
        <v>0</v>
      </c>
      <c r="E533" s="211">
        <f t="shared" si="78"/>
        <v>0</v>
      </c>
      <c r="F533" s="211">
        <f t="shared" si="78"/>
        <v>0</v>
      </c>
      <c r="G533" s="211">
        <f t="shared" si="78"/>
        <v>0</v>
      </c>
      <c r="H533" s="211">
        <f t="shared" si="78"/>
        <v>0</v>
      </c>
      <c r="I533" s="211">
        <f t="shared" si="78"/>
        <v>0</v>
      </c>
      <c r="J533" s="211">
        <f t="shared" si="78"/>
        <v>0</v>
      </c>
      <c r="K533" s="211">
        <f t="shared" si="78"/>
        <v>0</v>
      </c>
      <c r="L533" s="211">
        <f t="shared" si="78"/>
        <v>0</v>
      </c>
      <c r="M533" s="211">
        <f t="shared" si="78"/>
        <v>0</v>
      </c>
      <c r="N533" s="211">
        <f t="shared" si="78"/>
        <v>487.68</v>
      </c>
      <c r="O533" s="211">
        <f t="shared" si="78"/>
        <v>1537679</v>
      </c>
      <c r="P533" s="211">
        <f t="shared" si="78"/>
        <v>0</v>
      </c>
      <c r="Q533" s="211">
        <f t="shared" si="78"/>
        <v>0</v>
      </c>
      <c r="R533" s="211">
        <f t="shared" si="78"/>
        <v>0</v>
      </c>
      <c r="S533" s="211">
        <f t="shared" si="78"/>
        <v>0</v>
      </c>
      <c r="T533" s="211">
        <f t="shared" si="78"/>
        <v>0</v>
      </c>
      <c r="U533" s="211">
        <f t="shared" si="78"/>
        <v>0</v>
      </c>
      <c r="V533" s="282"/>
      <c r="W533" s="282"/>
      <c r="X533" s="282"/>
    </row>
    <row r="534" spans="1:35">
      <c r="A534" s="198">
        <v>448</v>
      </c>
      <c r="B534" s="214" t="s">
        <v>630</v>
      </c>
      <c r="C534" s="211">
        <v>1537679</v>
      </c>
      <c r="D534" s="211">
        <v>0</v>
      </c>
      <c r="E534" s="211">
        <v>0</v>
      </c>
      <c r="F534" s="211">
        <v>0</v>
      </c>
      <c r="G534" s="211">
        <v>0</v>
      </c>
      <c r="H534" s="211">
        <v>0</v>
      </c>
      <c r="I534" s="211">
        <v>0</v>
      </c>
      <c r="J534" s="211">
        <v>0</v>
      </c>
      <c r="K534" s="211">
        <v>0</v>
      </c>
      <c r="L534" s="212">
        <v>0</v>
      </c>
      <c r="M534" s="211">
        <v>0</v>
      </c>
      <c r="N534" s="211">
        <v>487.68</v>
      </c>
      <c r="O534" s="211">
        <v>1537679</v>
      </c>
      <c r="P534" s="213">
        <v>0</v>
      </c>
      <c r="Q534" s="211">
        <v>0</v>
      </c>
      <c r="R534" s="213">
        <v>0</v>
      </c>
      <c r="S534" s="211">
        <v>0</v>
      </c>
      <c r="T534" s="212">
        <v>0</v>
      </c>
      <c r="U534" s="290">
        <v>0</v>
      </c>
      <c r="V534" s="282"/>
      <c r="W534" s="282">
        <f>O534/N534</f>
        <v>3153.0491305774276</v>
      </c>
      <c r="X534" s="282"/>
    </row>
    <row r="535" spans="1:35" ht="30">
      <c r="A535" s="198"/>
      <c r="B535" s="214" t="s">
        <v>631</v>
      </c>
      <c r="C535" s="211">
        <f>C536</f>
        <v>1451230</v>
      </c>
      <c r="D535" s="211">
        <f t="shared" ref="D535:V535" si="79">D536</f>
        <v>0</v>
      </c>
      <c r="E535" s="211">
        <f t="shared" si="79"/>
        <v>0</v>
      </c>
      <c r="F535" s="211">
        <f t="shared" si="79"/>
        <v>0</v>
      </c>
      <c r="G535" s="211">
        <f t="shared" si="79"/>
        <v>0</v>
      </c>
      <c r="H535" s="211">
        <f t="shared" si="79"/>
        <v>0</v>
      </c>
      <c r="I535" s="211">
        <f t="shared" si="79"/>
        <v>0</v>
      </c>
      <c r="J535" s="211">
        <f t="shared" si="79"/>
        <v>0</v>
      </c>
      <c r="K535" s="211">
        <f t="shared" si="79"/>
        <v>0</v>
      </c>
      <c r="L535" s="211">
        <f t="shared" si="79"/>
        <v>0</v>
      </c>
      <c r="M535" s="211">
        <f t="shared" si="79"/>
        <v>0</v>
      </c>
      <c r="N535" s="211">
        <f t="shared" si="79"/>
        <v>459</v>
      </c>
      <c r="O535" s="211">
        <f t="shared" si="79"/>
        <v>1451230</v>
      </c>
      <c r="P535" s="211">
        <f t="shared" si="79"/>
        <v>0</v>
      </c>
      <c r="Q535" s="211">
        <f t="shared" si="79"/>
        <v>0</v>
      </c>
      <c r="R535" s="211">
        <f t="shared" si="79"/>
        <v>0</v>
      </c>
      <c r="S535" s="211">
        <f t="shared" si="79"/>
        <v>0</v>
      </c>
      <c r="T535" s="211">
        <f t="shared" si="79"/>
        <v>0</v>
      </c>
      <c r="U535" s="211">
        <f t="shared" si="79"/>
        <v>0</v>
      </c>
      <c r="V535" s="211">
        <f t="shared" si="79"/>
        <v>0</v>
      </c>
      <c r="W535" s="282"/>
      <c r="X535" s="282"/>
    </row>
    <row r="536" spans="1:35">
      <c r="A536" s="198">
        <v>449</v>
      </c>
      <c r="B536" s="214" t="s">
        <v>632</v>
      </c>
      <c r="C536" s="211">
        <v>1451230</v>
      </c>
      <c r="D536" s="211">
        <v>0</v>
      </c>
      <c r="E536" s="211">
        <v>0</v>
      </c>
      <c r="F536" s="211">
        <v>0</v>
      </c>
      <c r="G536" s="211">
        <v>0</v>
      </c>
      <c r="H536" s="211">
        <v>0</v>
      </c>
      <c r="I536" s="211">
        <v>0</v>
      </c>
      <c r="J536" s="211">
        <v>0</v>
      </c>
      <c r="K536" s="211">
        <v>0</v>
      </c>
      <c r="L536" s="212">
        <v>0</v>
      </c>
      <c r="M536" s="211">
        <v>0</v>
      </c>
      <c r="N536" s="211">
        <v>459</v>
      </c>
      <c r="O536" s="211">
        <v>1451230</v>
      </c>
      <c r="P536" s="213">
        <v>0</v>
      </c>
      <c r="Q536" s="211">
        <v>0</v>
      </c>
      <c r="R536" s="213">
        <v>0</v>
      </c>
      <c r="S536" s="211">
        <v>0</v>
      </c>
      <c r="T536" s="212">
        <v>0</v>
      </c>
      <c r="U536" s="290">
        <v>0</v>
      </c>
      <c r="V536" s="282"/>
      <c r="W536" s="282">
        <f>O536/N536</f>
        <v>3161.7211328976036</v>
      </c>
      <c r="X536" s="282"/>
    </row>
    <row r="537" spans="1:35">
      <c r="A537" s="198"/>
      <c r="B537" s="216" t="s">
        <v>66</v>
      </c>
      <c r="C537" s="211">
        <f>C540+C538</f>
        <v>4692143</v>
      </c>
      <c r="D537" s="211">
        <f t="shared" ref="D537:V537" si="80">D540+D538</f>
        <v>346938</v>
      </c>
      <c r="E537" s="211">
        <f t="shared" si="80"/>
        <v>0</v>
      </c>
      <c r="F537" s="211">
        <f t="shared" si="80"/>
        <v>0</v>
      </c>
      <c r="G537" s="211">
        <f t="shared" si="80"/>
        <v>0</v>
      </c>
      <c r="H537" s="211">
        <f t="shared" si="80"/>
        <v>0</v>
      </c>
      <c r="I537" s="211">
        <f t="shared" si="80"/>
        <v>0</v>
      </c>
      <c r="J537" s="211">
        <f t="shared" si="80"/>
        <v>346938</v>
      </c>
      <c r="K537" s="211">
        <f t="shared" si="80"/>
        <v>0</v>
      </c>
      <c r="L537" s="211">
        <f t="shared" si="80"/>
        <v>0</v>
      </c>
      <c r="M537" s="211">
        <f t="shared" si="80"/>
        <v>0</v>
      </c>
      <c r="N537" s="211">
        <f t="shared" si="80"/>
        <v>1369.3</v>
      </c>
      <c r="O537" s="211">
        <f t="shared" si="80"/>
        <v>4345205</v>
      </c>
      <c r="P537" s="211">
        <f t="shared" si="80"/>
        <v>0</v>
      </c>
      <c r="Q537" s="211">
        <f t="shared" si="80"/>
        <v>0</v>
      </c>
      <c r="R537" s="211">
        <f t="shared" si="80"/>
        <v>0</v>
      </c>
      <c r="S537" s="211">
        <f t="shared" si="80"/>
        <v>0</v>
      </c>
      <c r="T537" s="211">
        <f t="shared" si="80"/>
        <v>0</v>
      </c>
      <c r="U537" s="211">
        <f t="shared" si="80"/>
        <v>0</v>
      </c>
      <c r="V537" s="211">
        <f t="shared" si="80"/>
        <v>0</v>
      </c>
      <c r="W537" s="282"/>
      <c r="X537" s="282"/>
    </row>
    <row r="538" spans="1:35" ht="30">
      <c r="A538" s="430"/>
      <c r="B538" s="438" t="s">
        <v>641</v>
      </c>
      <c r="C538" s="439">
        <f>C539</f>
        <v>346938</v>
      </c>
      <c r="D538" s="439">
        <f t="shared" ref="D538:V538" si="81">D539</f>
        <v>346938</v>
      </c>
      <c r="E538" s="439">
        <f t="shared" si="81"/>
        <v>0</v>
      </c>
      <c r="F538" s="439">
        <f t="shared" si="81"/>
        <v>0</v>
      </c>
      <c r="G538" s="439">
        <f t="shared" si="81"/>
        <v>0</v>
      </c>
      <c r="H538" s="439">
        <f t="shared" si="81"/>
        <v>0</v>
      </c>
      <c r="I538" s="439">
        <f t="shared" si="81"/>
        <v>0</v>
      </c>
      <c r="J538" s="439">
        <f t="shared" si="81"/>
        <v>346938</v>
      </c>
      <c r="K538" s="439">
        <f t="shared" si="81"/>
        <v>0</v>
      </c>
      <c r="L538" s="439">
        <f t="shared" si="81"/>
        <v>0</v>
      </c>
      <c r="M538" s="439">
        <f t="shared" si="81"/>
        <v>0</v>
      </c>
      <c r="N538" s="439">
        <f t="shared" si="81"/>
        <v>0</v>
      </c>
      <c r="O538" s="439">
        <f t="shared" si="81"/>
        <v>0</v>
      </c>
      <c r="P538" s="439">
        <f t="shared" si="81"/>
        <v>0</v>
      </c>
      <c r="Q538" s="439">
        <f t="shared" si="81"/>
        <v>0</v>
      </c>
      <c r="R538" s="439">
        <f t="shared" si="81"/>
        <v>0</v>
      </c>
      <c r="S538" s="439">
        <f t="shared" si="81"/>
        <v>0</v>
      </c>
      <c r="T538" s="439">
        <f t="shared" si="81"/>
        <v>0</v>
      </c>
      <c r="U538" s="439">
        <f t="shared" si="81"/>
        <v>0</v>
      </c>
      <c r="V538" s="211">
        <f t="shared" si="81"/>
        <v>0</v>
      </c>
      <c r="W538" s="282"/>
      <c r="X538" s="282"/>
    </row>
    <row r="539" spans="1:35">
      <c r="A539" s="430"/>
      <c r="B539" s="464" t="s">
        <v>642</v>
      </c>
      <c r="C539" s="439">
        <v>346938</v>
      </c>
      <c r="D539" s="439">
        <f>E539+F539+G539+H539+I539+J539+K539</f>
        <v>346938</v>
      </c>
      <c r="E539" s="439">
        <v>0</v>
      </c>
      <c r="F539" s="439">
        <v>0</v>
      </c>
      <c r="G539" s="439">
        <v>0</v>
      </c>
      <c r="H539" s="439">
        <v>0</v>
      </c>
      <c r="I539" s="439">
        <v>0</v>
      </c>
      <c r="J539" s="439">
        <v>346938</v>
      </c>
      <c r="K539" s="439">
        <v>0</v>
      </c>
      <c r="L539" s="439">
        <v>0</v>
      </c>
      <c r="M539" s="439">
        <v>0</v>
      </c>
      <c r="N539" s="439">
        <v>0</v>
      </c>
      <c r="O539" s="439">
        <v>0</v>
      </c>
      <c r="P539" s="439">
        <v>0</v>
      </c>
      <c r="Q539" s="439">
        <v>0</v>
      </c>
      <c r="R539" s="439">
        <v>0</v>
      </c>
      <c r="S539" s="439">
        <v>0</v>
      </c>
      <c r="T539" s="439">
        <v>0</v>
      </c>
      <c r="U539" s="439">
        <v>0</v>
      </c>
      <c r="V539" s="282"/>
      <c r="W539" s="282"/>
      <c r="X539" s="282"/>
      <c r="AD539" s="1">
        <f>J539/'часть 1'!I498</f>
        <v>553.86015325670496</v>
      </c>
    </row>
    <row r="540" spans="1:35" ht="30">
      <c r="A540" s="198"/>
      <c r="B540" s="214" t="s">
        <v>114</v>
      </c>
      <c r="C540" s="211">
        <f>C541+C542+C543</f>
        <v>4345205</v>
      </c>
      <c r="D540" s="211">
        <f t="shared" ref="D540:U540" si="82">D541+D542+D543</f>
        <v>0</v>
      </c>
      <c r="E540" s="211">
        <f t="shared" si="82"/>
        <v>0</v>
      </c>
      <c r="F540" s="211">
        <f t="shared" si="82"/>
        <v>0</v>
      </c>
      <c r="G540" s="211">
        <f t="shared" si="82"/>
        <v>0</v>
      </c>
      <c r="H540" s="211">
        <f t="shared" si="82"/>
        <v>0</v>
      </c>
      <c r="I540" s="211">
        <f t="shared" si="82"/>
        <v>0</v>
      </c>
      <c r="J540" s="211">
        <f t="shared" si="82"/>
        <v>0</v>
      </c>
      <c r="K540" s="211">
        <f t="shared" si="82"/>
        <v>0</v>
      </c>
      <c r="L540" s="211">
        <f>L541+L542+L543</f>
        <v>0</v>
      </c>
      <c r="M540" s="211">
        <f t="shared" si="82"/>
        <v>0</v>
      </c>
      <c r="N540" s="211">
        <f t="shared" si="82"/>
        <v>1369.3</v>
      </c>
      <c r="O540" s="211">
        <f t="shared" si="82"/>
        <v>4345205</v>
      </c>
      <c r="P540" s="211">
        <f t="shared" si="82"/>
        <v>0</v>
      </c>
      <c r="Q540" s="211">
        <f t="shared" si="82"/>
        <v>0</v>
      </c>
      <c r="R540" s="211">
        <f t="shared" si="82"/>
        <v>0</v>
      </c>
      <c r="S540" s="211">
        <f t="shared" si="82"/>
        <v>0</v>
      </c>
      <c r="T540" s="211">
        <f t="shared" si="82"/>
        <v>0</v>
      </c>
      <c r="U540" s="211">
        <f t="shared" si="82"/>
        <v>0</v>
      </c>
      <c r="V540" s="282"/>
      <c r="W540" s="282"/>
      <c r="X540" s="282"/>
    </row>
    <row r="541" spans="1:35" ht="15.75">
      <c r="A541" s="430">
        <v>450</v>
      </c>
      <c r="B541" s="363" t="s">
        <v>497</v>
      </c>
      <c r="C541" s="439">
        <v>784601</v>
      </c>
      <c r="D541" s="439">
        <v>0</v>
      </c>
      <c r="E541" s="439">
        <v>0</v>
      </c>
      <c r="F541" s="439">
        <v>0</v>
      </c>
      <c r="G541" s="439">
        <v>0</v>
      </c>
      <c r="H541" s="439">
        <v>0</v>
      </c>
      <c r="I541" s="439">
        <v>0</v>
      </c>
      <c r="J541" s="439">
        <v>0</v>
      </c>
      <c r="K541" s="439">
        <v>0</v>
      </c>
      <c r="L541" s="440">
        <v>0</v>
      </c>
      <c r="M541" s="439">
        <v>0</v>
      </c>
      <c r="N541" s="439">
        <v>245</v>
      </c>
      <c r="O541" s="439">
        <v>784601</v>
      </c>
      <c r="P541" s="442">
        <v>0</v>
      </c>
      <c r="Q541" s="439">
        <v>0</v>
      </c>
      <c r="R541" s="442">
        <v>0</v>
      </c>
      <c r="S541" s="439">
        <v>0</v>
      </c>
      <c r="T541" s="440">
        <v>0</v>
      </c>
      <c r="U541" s="443">
        <v>0</v>
      </c>
      <c r="V541" s="282"/>
      <c r="W541" s="282">
        <f>O541/N541</f>
        <v>3202.4530612244898</v>
      </c>
      <c r="X541" s="282"/>
    </row>
    <row r="542" spans="1:35" ht="15.75">
      <c r="A542" s="430">
        <v>451</v>
      </c>
      <c r="B542" s="363" t="s">
        <v>498</v>
      </c>
      <c r="C542" s="439">
        <v>1513632</v>
      </c>
      <c r="D542" s="439">
        <v>0</v>
      </c>
      <c r="E542" s="439">
        <v>0</v>
      </c>
      <c r="F542" s="439">
        <v>0</v>
      </c>
      <c r="G542" s="439">
        <v>0</v>
      </c>
      <c r="H542" s="439">
        <v>0</v>
      </c>
      <c r="I542" s="439">
        <v>0</v>
      </c>
      <c r="J542" s="439">
        <v>0</v>
      </c>
      <c r="K542" s="439">
        <v>0</v>
      </c>
      <c r="L542" s="440">
        <v>0</v>
      </c>
      <c r="M542" s="439">
        <v>0</v>
      </c>
      <c r="N542" s="439">
        <v>479.3</v>
      </c>
      <c r="O542" s="439">
        <v>1513632</v>
      </c>
      <c r="P542" s="442">
        <v>0</v>
      </c>
      <c r="Q542" s="439">
        <v>0</v>
      </c>
      <c r="R542" s="442">
        <v>0</v>
      </c>
      <c r="S542" s="439">
        <v>0</v>
      </c>
      <c r="T542" s="440">
        <v>0</v>
      </c>
      <c r="U542" s="443">
        <v>0</v>
      </c>
      <c r="V542" s="282"/>
      <c r="W542" s="282">
        <f t="shared" ref="W542:W551" si="83">O542/N542</f>
        <v>3158.0054245775086</v>
      </c>
      <c r="X542" s="282"/>
    </row>
    <row r="543" spans="1:35" ht="15.75">
      <c r="A543" s="430">
        <v>452</v>
      </c>
      <c r="B543" s="363" t="s">
        <v>499</v>
      </c>
      <c r="C543" s="439">
        <v>2046972</v>
      </c>
      <c r="D543" s="439">
        <v>0</v>
      </c>
      <c r="E543" s="439">
        <v>0</v>
      </c>
      <c r="F543" s="439">
        <v>0</v>
      </c>
      <c r="G543" s="439">
        <v>0</v>
      </c>
      <c r="H543" s="439">
        <v>0</v>
      </c>
      <c r="I543" s="439">
        <v>0</v>
      </c>
      <c r="J543" s="439">
        <v>0</v>
      </c>
      <c r="K543" s="439">
        <v>0</v>
      </c>
      <c r="L543" s="440">
        <v>0</v>
      </c>
      <c r="M543" s="439">
        <v>0</v>
      </c>
      <c r="N543" s="439">
        <v>645</v>
      </c>
      <c r="O543" s="439">
        <v>2046972</v>
      </c>
      <c r="P543" s="442">
        <v>0</v>
      </c>
      <c r="Q543" s="439">
        <v>0</v>
      </c>
      <c r="R543" s="442">
        <v>0</v>
      </c>
      <c r="S543" s="439">
        <v>0</v>
      </c>
      <c r="T543" s="440">
        <v>0</v>
      </c>
      <c r="U543" s="443">
        <v>0</v>
      </c>
      <c r="V543" s="282"/>
      <c r="W543" s="282">
        <f t="shared" si="83"/>
        <v>3173.6</v>
      </c>
      <c r="X543" s="282"/>
    </row>
    <row r="544" spans="1:35">
      <c r="A544" s="198"/>
      <c r="B544" s="214" t="s">
        <v>207</v>
      </c>
      <c r="C544" s="211">
        <f>C545+C546+C547+C548+C549+C550+C551</f>
        <v>21667282</v>
      </c>
      <c r="D544" s="211">
        <f t="shared" ref="D544:V544" si="84">D545+D546+D547+D548+D549+D550+D551</f>
        <v>0</v>
      </c>
      <c r="E544" s="211">
        <f t="shared" si="84"/>
        <v>0</v>
      </c>
      <c r="F544" s="211">
        <f t="shared" si="84"/>
        <v>0</v>
      </c>
      <c r="G544" s="211">
        <f t="shared" si="84"/>
        <v>0</v>
      </c>
      <c r="H544" s="211">
        <f t="shared" si="84"/>
        <v>0</v>
      </c>
      <c r="I544" s="211">
        <f t="shared" si="84"/>
        <v>0</v>
      </c>
      <c r="J544" s="211">
        <f t="shared" si="84"/>
        <v>0</v>
      </c>
      <c r="K544" s="211">
        <f t="shared" si="84"/>
        <v>0</v>
      </c>
      <c r="L544" s="211">
        <f t="shared" si="84"/>
        <v>0</v>
      </c>
      <c r="M544" s="211">
        <f t="shared" si="84"/>
        <v>0</v>
      </c>
      <c r="N544" s="211">
        <f t="shared" si="84"/>
        <v>8726</v>
      </c>
      <c r="O544" s="211">
        <f t="shared" si="84"/>
        <v>21667282</v>
      </c>
      <c r="P544" s="211">
        <f t="shared" si="84"/>
        <v>0</v>
      </c>
      <c r="Q544" s="211">
        <f t="shared" si="84"/>
        <v>0</v>
      </c>
      <c r="R544" s="211">
        <f t="shared" si="84"/>
        <v>0</v>
      </c>
      <c r="S544" s="211">
        <f t="shared" si="84"/>
        <v>0</v>
      </c>
      <c r="T544" s="211">
        <f t="shared" si="84"/>
        <v>0</v>
      </c>
      <c r="U544" s="211">
        <f t="shared" si="84"/>
        <v>0</v>
      </c>
      <c r="V544" s="211">
        <f t="shared" si="84"/>
        <v>0</v>
      </c>
      <c r="W544" s="282">
        <f t="shared" si="83"/>
        <v>2483.0715104286041</v>
      </c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</row>
    <row r="545" spans="1:24">
      <c r="A545" s="430">
        <v>453</v>
      </c>
      <c r="B545" s="458" t="s">
        <v>569</v>
      </c>
      <c r="C545" s="439">
        <v>2609742</v>
      </c>
      <c r="D545" s="439">
        <v>0</v>
      </c>
      <c r="E545" s="439">
        <v>0</v>
      </c>
      <c r="F545" s="439">
        <v>0</v>
      </c>
      <c r="G545" s="439">
        <v>0</v>
      </c>
      <c r="H545" s="439">
        <v>0</v>
      </c>
      <c r="I545" s="439">
        <v>0</v>
      </c>
      <c r="J545" s="439">
        <v>0</v>
      </c>
      <c r="K545" s="439">
        <v>0</v>
      </c>
      <c r="L545" s="440">
        <v>0</v>
      </c>
      <c r="M545" s="439">
        <v>0</v>
      </c>
      <c r="N545" s="435">
        <v>1055</v>
      </c>
      <c r="O545" s="439">
        <v>2609742</v>
      </c>
      <c r="P545" s="440">
        <v>0</v>
      </c>
      <c r="Q545" s="439">
        <v>0</v>
      </c>
      <c r="R545" s="442">
        <v>0</v>
      </c>
      <c r="S545" s="439">
        <v>0</v>
      </c>
      <c r="T545" s="440">
        <v>0</v>
      </c>
      <c r="U545" s="443">
        <v>0</v>
      </c>
      <c r="V545" s="282"/>
      <c r="W545" s="282">
        <f t="shared" si="83"/>
        <v>2473.6890995260665</v>
      </c>
      <c r="X545" s="282"/>
    </row>
    <row r="546" spans="1:24">
      <c r="A546" s="430">
        <v>454</v>
      </c>
      <c r="B546" s="458" t="s">
        <v>570</v>
      </c>
      <c r="C546" s="439">
        <v>2313974</v>
      </c>
      <c r="D546" s="439">
        <v>0</v>
      </c>
      <c r="E546" s="439">
        <v>0</v>
      </c>
      <c r="F546" s="439">
        <v>0</v>
      </c>
      <c r="G546" s="439">
        <v>0</v>
      </c>
      <c r="H546" s="439">
        <v>0</v>
      </c>
      <c r="I546" s="439">
        <v>0</v>
      </c>
      <c r="J546" s="439">
        <v>0</v>
      </c>
      <c r="K546" s="439">
        <v>0</v>
      </c>
      <c r="L546" s="440">
        <v>0</v>
      </c>
      <c r="M546" s="439">
        <v>0</v>
      </c>
      <c r="N546" s="435">
        <v>927</v>
      </c>
      <c r="O546" s="439">
        <v>2313974</v>
      </c>
      <c r="P546" s="440">
        <v>0</v>
      </c>
      <c r="Q546" s="439">
        <v>0</v>
      </c>
      <c r="R546" s="442">
        <v>0</v>
      </c>
      <c r="S546" s="439">
        <v>0</v>
      </c>
      <c r="T546" s="440">
        <v>0</v>
      </c>
      <c r="U546" s="443">
        <v>0</v>
      </c>
      <c r="V546" s="282"/>
      <c r="W546" s="282">
        <f t="shared" si="83"/>
        <v>2496.1963322545848</v>
      </c>
      <c r="X546" s="282"/>
    </row>
    <row r="547" spans="1:24">
      <c r="A547" s="430">
        <v>455</v>
      </c>
      <c r="B547" s="458" t="s">
        <v>571</v>
      </c>
      <c r="C547" s="439">
        <v>4688365</v>
      </c>
      <c r="D547" s="439">
        <v>0</v>
      </c>
      <c r="E547" s="439">
        <v>0</v>
      </c>
      <c r="F547" s="439">
        <v>0</v>
      </c>
      <c r="G547" s="439">
        <v>0</v>
      </c>
      <c r="H547" s="439">
        <v>0</v>
      </c>
      <c r="I547" s="439">
        <v>0</v>
      </c>
      <c r="J547" s="439">
        <v>0</v>
      </c>
      <c r="K547" s="439">
        <v>0</v>
      </c>
      <c r="L547" s="440">
        <v>0</v>
      </c>
      <c r="M547" s="439">
        <v>0</v>
      </c>
      <c r="N547" s="439">
        <v>1894</v>
      </c>
      <c r="O547" s="439">
        <v>4688365</v>
      </c>
      <c r="P547" s="440">
        <v>0</v>
      </c>
      <c r="Q547" s="439">
        <v>0</v>
      </c>
      <c r="R547" s="442">
        <v>0</v>
      </c>
      <c r="S547" s="439">
        <v>0</v>
      </c>
      <c r="T547" s="440">
        <v>0</v>
      </c>
      <c r="U547" s="443">
        <v>0</v>
      </c>
      <c r="V547" s="282"/>
      <c r="W547" s="282">
        <f t="shared" si="83"/>
        <v>2475.3775079197467</v>
      </c>
      <c r="X547" s="282"/>
    </row>
    <row r="548" spans="1:24">
      <c r="A548" s="430">
        <v>456</v>
      </c>
      <c r="B548" s="458" t="s">
        <v>572</v>
      </c>
      <c r="C548" s="439">
        <v>924354</v>
      </c>
      <c r="D548" s="439">
        <v>0</v>
      </c>
      <c r="E548" s="439">
        <v>0</v>
      </c>
      <c r="F548" s="439">
        <v>0</v>
      </c>
      <c r="G548" s="439">
        <v>0</v>
      </c>
      <c r="H548" s="439">
        <v>0</v>
      </c>
      <c r="I548" s="439">
        <v>0</v>
      </c>
      <c r="J548" s="439">
        <v>0</v>
      </c>
      <c r="K548" s="439">
        <v>0</v>
      </c>
      <c r="L548" s="440">
        <v>0</v>
      </c>
      <c r="M548" s="439">
        <v>0</v>
      </c>
      <c r="N548" s="435">
        <v>362</v>
      </c>
      <c r="O548" s="439">
        <v>924354</v>
      </c>
      <c r="P548" s="440">
        <v>0</v>
      </c>
      <c r="Q548" s="439">
        <v>0</v>
      </c>
      <c r="R548" s="442">
        <v>0</v>
      </c>
      <c r="S548" s="439">
        <v>0</v>
      </c>
      <c r="T548" s="440">
        <v>0</v>
      </c>
      <c r="U548" s="443">
        <v>0</v>
      </c>
      <c r="V548" s="282"/>
      <c r="W548" s="282">
        <f t="shared" si="83"/>
        <v>2553.46408839779</v>
      </c>
      <c r="X548" s="282"/>
    </row>
    <row r="549" spans="1:24">
      <c r="A549" s="430">
        <v>457</v>
      </c>
      <c r="B549" s="458" t="s">
        <v>573</v>
      </c>
      <c r="C549" s="439">
        <v>1813705</v>
      </c>
      <c r="D549" s="439">
        <v>0</v>
      </c>
      <c r="E549" s="439">
        <v>0</v>
      </c>
      <c r="F549" s="439">
        <v>0</v>
      </c>
      <c r="G549" s="439">
        <v>0</v>
      </c>
      <c r="H549" s="439">
        <v>0</v>
      </c>
      <c r="I549" s="439">
        <v>0</v>
      </c>
      <c r="J549" s="439">
        <v>0</v>
      </c>
      <c r="K549" s="439">
        <v>0</v>
      </c>
      <c r="L549" s="440">
        <v>0</v>
      </c>
      <c r="M549" s="439">
        <v>0</v>
      </c>
      <c r="N549" s="435">
        <v>724</v>
      </c>
      <c r="O549" s="439">
        <v>1813705</v>
      </c>
      <c r="P549" s="440">
        <v>0</v>
      </c>
      <c r="Q549" s="439">
        <v>0</v>
      </c>
      <c r="R549" s="442">
        <v>0</v>
      </c>
      <c r="S549" s="439">
        <v>0</v>
      </c>
      <c r="T549" s="440">
        <v>0</v>
      </c>
      <c r="U549" s="443">
        <v>0</v>
      </c>
      <c r="V549" s="282"/>
      <c r="W549" s="282">
        <f t="shared" si="83"/>
        <v>2505.1174033149173</v>
      </c>
      <c r="X549" s="282"/>
    </row>
    <row r="550" spans="1:24">
      <c r="A550" s="430">
        <v>458</v>
      </c>
      <c r="B550" s="458" t="s">
        <v>574</v>
      </c>
      <c r="C550" s="439">
        <v>4665548</v>
      </c>
      <c r="D550" s="439">
        <v>0</v>
      </c>
      <c r="E550" s="439">
        <v>0</v>
      </c>
      <c r="F550" s="439">
        <v>0</v>
      </c>
      <c r="G550" s="439">
        <v>0</v>
      </c>
      <c r="H550" s="439">
        <v>0</v>
      </c>
      <c r="I550" s="439">
        <v>0</v>
      </c>
      <c r="J550" s="439">
        <v>0</v>
      </c>
      <c r="K550" s="439">
        <v>0</v>
      </c>
      <c r="L550" s="440">
        <v>0</v>
      </c>
      <c r="M550" s="439">
        <v>0</v>
      </c>
      <c r="N550" s="435">
        <v>1885</v>
      </c>
      <c r="O550" s="439">
        <v>4665548</v>
      </c>
      <c r="P550" s="440">
        <v>0</v>
      </c>
      <c r="Q550" s="439">
        <v>0</v>
      </c>
      <c r="R550" s="442">
        <v>0</v>
      </c>
      <c r="S550" s="439">
        <v>0</v>
      </c>
      <c r="T550" s="440">
        <v>0</v>
      </c>
      <c r="U550" s="443">
        <v>0</v>
      </c>
      <c r="V550" s="282"/>
      <c r="W550" s="282">
        <f t="shared" si="83"/>
        <v>2475.0917771883287</v>
      </c>
      <c r="X550" s="282"/>
    </row>
    <row r="551" spans="1:24">
      <c r="A551" s="430">
        <v>459</v>
      </c>
      <c r="B551" s="458" t="s">
        <v>575</v>
      </c>
      <c r="C551" s="439">
        <v>4651594</v>
      </c>
      <c r="D551" s="439">
        <v>0</v>
      </c>
      <c r="E551" s="439">
        <v>0</v>
      </c>
      <c r="F551" s="439">
        <v>0</v>
      </c>
      <c r="G551" s="439">
        <v>0</v>
      </c>
      <c r="H551" s="439">
        <v>0</v>
      </c>
      <c r="I551" s="439">
        <v>0</v>
      </c>
      <c r="J551" s="439">
        <v>0</v>
      </c>
      <c r="K551" s="439">
        <v>0</v>
      </c>
      <c r="L551" s="440">
        <v>0</v>
      </c>
      <c r="M551" s="439">
        <v>0</v>
      </c>
      <c r="N551" s="435">
        <v>1879</v>
      </c>
      <c r="O551" s="439">
        <v>4651594</v>
      </c>
      <c r="P551" s="440">
        <v>0</v>
      </c>
      <c r="Q551" s="439">
        <v>0</v>
      </c>
      <c r="R551" s="442">
        <v>0</v>
      </c>
      <c r="S551" s="439">
        <v>0</v>
      </c>
      <c r="T551" s="440">
        <v>0</v>
      </c>
      <c r="U551" s="443">
        <v>0</v>
      </c>
      <c r="V551" s="282"/>
      <c r="W551" s="282">
        <f t="shared" si="83"/>
        <v>2475.5689196381054</v>
      </c>
      <c r="X551" s="282"/>
    </row>
    <row r="552" spans="1:24">
      <c r="A552" s="430"/>
      <c r="B552" s="457"/>
      <c r="C552" s="439"/>
      <c r="D552" s="439"/>
      <c r="E552" s="439"/>
      <c r="F552" s="439"/>
      <c r="G552" s="439"/>
      <c r="H552" s="439"/>
      <c r="I552" s="439"/>
      <c r="J552" s="439"/>
      <c r="K552" s="439"/>
      <c r="L552" s="440"/>
      <c r="M552" s="439"/>
      <c r="N552" s="435"/>
      <c r="O552" s="439"/>
      <c r="P552" s="440"/>
      <c r="Q552" s="439"/>
      <c r="R552" s="442"/>
      <c r="S552" s="439"/>
      <c r="T552" s="440"/>
      <c r="U552" s="443"/>
      <c r="V552" s="282"/>
      <c r="W552" s="282"/>
      <c r="X552" s="282"/>
    </row>
    <row r="553" spans="1:24">
      <c r="A553" s="430"/>
      <c r="B553" s="457"/>
      <c r="C553" s="439"/>
      <c r="D553" s="439"/>
      <c r="E553" s="439"/>
      <c r="F553" s="439"/>
      <c r="G553" s="439"/>
      <c r="H553" s="439"/>
      <c r="I553" s="439"/>
      <c r="J553" s="439"/>
      <c r="K553" s="439"/>
      <c r="L553" s="440"/>
      <c r="M553" s="439"/>
      <c r="N553" s="435"/>
      <c r="O553" s="439"/>
      <c r="P553" s="440"/>
      <c r="Q553" s="439"/>
      <c r="R553" s="442"/>
      <c r="S553" s="439"/>
      <c r="T553" s="440"/>
      <c r="U553" s="443"/>
      <c r="V553" s="282"/>
      <c r="W553" s="282"/>
      <c r="X553" s="282"/>
    </row>
    <row r="554" spans="1:24">
      <c r="A554" s="430"/>
      <c r="B554" s="457"/>
      <c r="C554" s="439"/>
      <c r="D554" s="439"/>
      <c r="E554" s="439"/>
      <c r="F554" s="439"/>
      <c r="G554" s="439"/>
      <c r="H554" s="439"/>
      <c r="I554" s="439"/>
      <c r="J554" s="439"/>
      <c r="K554" s="439"/>
      <c r="L554" s="440"/>
      <c r="M554" s="439"/>
      <c r="N554" s="435"/>
      <c r="O554" s="439"/>
      <c r="P554" s="440"/>
      <c r="Q554" s="439"/>
      <c r="R554" s="442"/>
      <c r="S554" s="439"/>
      <c r="T554" s="440"/>
      <c r="U554" s="443"/>
      <c r="V554" s="282"/>
      <c r="W554" s="282"/>
      <c r="X554" s="282"/>
    </row>
    <row r="555" spans="1:24">
      <c r="A555" s="430"/>
      <c r="B555" s="457"/>
      <c r="C555" s="439"/>
      <c r="D555" s="439"/>
      <c r="E555" s="439"/>
      <c r="F555" s="439"/>
      <c r="G555" s="439"/>
      <c r="H555" s="439"/>
      <c r="I555" s="439"/>
      <c r="J555" s="439"/>
      <c r="K555" s="439"/>
      <c r="L555" s="440"/>
      <c r="M555" s="439"/>
      <c r="N555" s="435"/>
      <c r="O555" s="439"/>
      <c r="P555" s="440"/>
      <c r="Q555" s="439"/>
      <c r="R555" s="442"/>
      <c r="S555" s="439"/>
      <c r="T555" s="440"/>
      <c r="U555" s="443"/>
      <c r="V555" s="282"/>
      <c r="W555" s="282"/>
      <c r="X555" s="282"/>
    </row>
    <row r="556" spans="1:24">
      <c r="A556" s="198"/>
      <c r="B556" s="216" t="s">
        <v>67</v>
      </c>
      <c r="C556" s="211">
        <v>2507155.0699999998</v>
      </c>
      <c r="D556" s="211"/>
      <c r="E556" s="211"/>
      <c r="F556" s="211"/>
      <c r="G556" s="211"/>
      <c r="H556" s="211"/>
      <c r="I556" s="211"/>
      <c r="J556" s="211"/>
      <c r="K556" s="211">
        <v>0</v>
      </c>
      <c r="L556" s="212">
        <v>0</v>
      </c>
      <c r="M556" s="211">
        <v>0</v>
      </c>
      <c r="N556" s="211">
        <v>1630.2</v>
      </c>
      <c r="O556" s="211">
        <v>2507155.0699999998</v>
      </c>
      <c r="P556" s="212">
        <v>0</v>
      </c>
      <c r="Q556" s="211">
        <v>0</v>
      </c>
      <c r="R556" s="213">
        <v>0</v>
      </c>
      <c r="S556" s="211">
        <v>0</v>
      </c>
      <c r="T556" s="212">
        <v>0</v>
      </c>
      <c r="U556" s="290">
        <v>0</v>
      </c>
      <c r="V556" s="282"/>
      <c r="W556" s="282"/>
      <c r="X556" s="282"/>
    </row>
    <row r="557" spans="1:24" ht="30">
      <c r="A557" s="198"/>
      <c r="B557" s="214" t="s">
        <v>90</v>
      </c>
      <c r="C557" s="211">
        <v>728197.07</v>
      </c>
      <c r="D557" s="211"/>
      <c r="E557" s="211"/>
      <c r="F557" s="211"/>
      <c r="G557" s="211"/>
      <c r="H557" s="211"/>
      <c r="I557" s="211"/>
      <c r="J557" s="211"/>
      <c r="K557" s="211">
        <v>0</v>
      </c>
      <c r="L557" s="212">
        <v>0</v>
      </c>
      <c r="M557" s="211">
        <v>0</v>
      </c>
      <c r="N557" s="211">
        <v>731.2</v>
      </c>
      <c r="O557" s="211">
        <v>728197.07</v>
      </c>
      <c r="P557" s="212">
        <v>0</v>
      </c>
      <c r="Q557" s="211">
        <v>0</v>
      </c>
      <c r="R557" s="213">
        <v>0</v>
      </c>
      <c r="S557" s="211">
        <v>0</v>
      </c>
      <c r="T557" s="212">
        <v>0</v>
      </c>
      <c r="U557" s="290">
        <v>0</v>
      </c>
      <c r="V557" s="282"/>
      <c r="W557" s="282"/>
      <c r="X557" s="282"/>
    </row>
    <row r="558" spans="1:24" s="23" customFormat="1">
      <c r="A558" s="198">
        <v>464</v>
      </c>
      <c r="B558" s="241" t="s">
        <v>429</v>
      </c>
      <c r="C558" s="211">
        <v>728197.07</v>
      </c>
      <c r="D558" s="211"/>
      <c r="E558" s="211"/>
      <c r="F558" s="211"/>
      <c r="G558" s="211"/>
      <c r="H558" s="211"/>
      <c r="I558" s="211"/>
      <c r="J558" s="211"/>
      <c r="K558" s="211">
        <v>0</v>
      </c>
      <c r="L558" s="212">
        <v>0</v>
      </c>
      <c r="M558" s="211">
        <v>0</v>
      </c>
      <c r="N558" s="211">
        <v>731.2</v>
      </c>
      <c r="O558" s="211">
        <v>728197.07</v>
      </c>
      <c r="P558" s="212">
        <v>0</v>
      </c>
      <c r="Q558" s="211">
        <v>0</v>
      </c>
      <c r="R558" s="213">
        <v>0</v>
      </c>
      <c r="S558" s="211">
        <v>0</v>
      </c>
      <c r="T558" s="212">
        <v>0</v>
      </c>
      <c r="U558" s="290">
        <v>0</v>
      </c>
      <c r="V558" s="282"/>
      <c r="W558" s="282"/>
      <c r="X558" s="282"/>
    </row>
    <row r="559" spans="1:24" ht="30">
      <c r="A559" s="430"/>
      <c r="B559" s="438" t="s">
        <v>127</v>
      </c>
      <c r="C559" s="439">
        <f>C560</f>
        <v>2131086</v>
      </c>
      <c r="D559" s="439">
        <f t="shared" ref="D559:V559" si="85">D560</f>
        <v>0</v>
      </c>
      <c r="E559" s="439">
        <f t="shared" si="85"/>
        <v>0</v>
      </c>
      <c r="F559" s="439">
        <f t="shared" si="85"/>
        <v>0</v>
      </c>
      <c r="G559" s="439">
        <f t="shared" si="85"/>
        <v>0</v>
      </c>
      <c r="H559" s="439">
        <f t="shared" si="85"/>
        <v>0</v>
      </c>
      <c r="I559" s="439">
        <f t="shared" si="85"/>
        <v>0</v>
      </c>
      <c r="J559" s="439">
        <f t="shared" si="85"/>
        <v>0</v>
      </c>
      <c r="K559" s="439">
        <f t="shared" si="85"/>
        <v>0</v>
      </c>
      <c r="L559" s="439">
        <f t="shared" si="85"/>
        <v>0</v>
      </c>
      <c r="M559" s="439">
        <f t="shared" si="85"/>
        <v>0</v>
      </c>
      <c r="N559" s="439">
        <f t="shared" si="85"/>
        <v>860</v>
      </c>
      <c r="O559" s="439">
        <f t="shared" si="85"/>
        <v>2131086</v>
      </c>
      <c r="P559" s="439">
        <f t="shared" si="85"/>
        <v>0</v>
      </c>
      <c r="Q559" s="439">
        <f t="shared" si="85"/>
        <v>0</v>
      </c>
      <c r="R559" s="439">
        <f t="shared" si="85"/>
        <v>0</v>
      </c>
      <c r="S559" s="439">
        <f t="shared" si="85"/>
        <v>0</v>
      </c>
      <c r="T559" s="439">
        <f t="shared" si="85"/>
        <v>0</v>
      </c>
      <c r="U559" s="439">
        <f t="shared" si="85"/>
        <v>0</v>
      </c>
      <c r="V559" s="211">
        <f t="shared" si="85"/>
        <v>0</v>
      </c>
      <c r="W559" s="282"/>
      <c r="X559" s="282"/>
    </row>
    <row r="560" spans="1:24" ht="24" customHeight="1">
      <c r="A560" s="430">
        <v>465</v>
      </c>
      <c r="B560" s="438" t="s">
        <v>686</v>
      </c>
      <c r="C560" s="439">
        <f>'часть 1'!L519</f>
        <v>2131086</v>
      </c>
      <c r="D560" s="439">
        <v>0</v>
      </c>
      <c r="E560" s="439">
        <v>0</v>
      </c>
      <c r="F560" s="439">
        <v>0</v>
      </c>
      <c r="G560" s="439">
        <v>0</v>
      </c>
      <c r="H560" s="439">
        <v>0</v>
      </c>
      <c r="I560" s="439">
        <v>0</v>
      </c>
      <c r="J560" s="439">
        <v>0</v>
      </c>
      <c r="K560" s="439">
        <v>0</v>
      </c>
      <c r="L560" s="440">
        <v>0</v>
      </c>
      <c r="M560" s="439">
        <v>0</v>
      </c>
      <c r="N560" s="439">
        <v>860</v>
      </c>
      <c r="O560" s="439">
        <v>2131086</v>
      </c>
      <c r="P560" s="440">
        <v>0</v>
      </c>
      <c r="Q560" s="439">
        <v>0</v>
      </c>
      <c r="R560" s="442">
        <v>0</v>
      </c>
      <c r="S560" s="439">
        <v>0</v>
      </c>
      <c r="T560" s="440">
        <v>0</v>
      </c>
      <c r="U560" s="443">
        <v>0</v>
      </c>
      <c r="V560" s="282"/>
      <c r="W560" s="282">
        <f>O560/N560</f>
        <v>2478.006976744186</v>
      </c>
      <c r="X560" s="282"/>
    </row>
    <row r="561" spans="1:49" ht="18.75" customHeight="1">
      <c r="A561" s="487"/>
      <c r="B561" s="488" t="s">
        <v>89</v>
      </c>
      <c r="C561" s="489">
        <f>SUM(C562:C729)</f>
        <v>336230870.63</v>
      </c>
      <c r="D561" s="489"/>
      <c r="E561" s="489"/>
      <c r="F561" s="489"/>
      <c r="G561" s="489"/>
      <c r="H561" s="489"/>
      <c r="I561" s="489"/>
      <c r="J561" s="489"/>
      <c r="K561" s="489" t="e">
        <f>SUM(K562:K729)</f>
        <v>#REF!</v>
      </c>
      <c r="L561" s="490">
        <v>45</v>
      </c>
      <c r="M561" s="489">
        <f>SUM(M562:M729)</f>
        <v>84665172</v>
      </c>
      <c r="N561" s="489">
        <f t="shared" ref="N561" si="86">SUM(N562:N729)</f>
        <v>64824.649999999994</v>
      </c>
      <c r="O561" s="489">
        <f>SUM(O562:O729)</f>
        <v>127943364.07000001</v>
      </c>
      <c r="P561" s="489">
        <f t="shared" ref="P561" si="87">SUM(P562:P729)</f>
        <v>682</v>
      </c>
      <c r="Q561" s="489">
        <f>SUM(Q562:Q729)</f>
        <v>662518</v>
      </c>
      <c r="R561" s="489">
        <f t="shared" ref="R561" si="88">SUM(R562:R729)</f>
        <v>29106.850000000002</v>
      </c>
      <c r="S561" s="489">
        <f>SUM(S562:S729)</f>
        <v>38255949.950000003</v>
      </c>
      <c r="T561" s="490">
        <v>0</v>
      </c>
      <c r="U561" s="491">
        <v>0</v>
      </c>
      <c r="V561" s="436"/>
      <c r="W561" s="436"/>
      <c r="X561" s="436"/>
      <c r="Y561" s="437"/>
      <c r="Z561" s="437"/>
      <c r="AA561" s="437"/>
      <c r="AB561" s="437"/>
      <c r="AC561" s="437"/>
      <c r="AD561" s="437"/>
      <c r="AE561" s="437"/>
      <c r="AF561" s="437"/>
      <c r="AG561" s="437"/>
      <c r="AH561" s="437"/>
      <c r="AI561" s="437"/>
    </row>
    <row r="562" spans="1:49" s="59" customFormat="1">
      <c r="A562" s="198">
        <v>1</v>
      </c>
      <c r="B562" s="195" t="s">
        <v>324</v>
      </c>
      <c r="C562" s="196">
        <v>5982216</v>
      </c>
      <c r="D562" s="196"/>
      <c r="E562" s="196"/>
      <c r="F562" s="196"/>
      <c r="G562" s="196"/>
      <c r="H562" s="196"/>
      <c r="I562" s="196"/>
      <c r="J562" s="196"/>
      <c r="K562" s="196">
        <v>0</v>
      </c>
      <c r="L562" s="194">
        <v>0</v>
      </c>
      <c r="M562" s="196">
        <v>0</v>
      </c>
      <c r="N562" s="196">
        <v>0</v>
      </c>
      <c r="O562" s="196">
        <v>0</v>
      </c>
      <c r="P562" s="194">
        <v>0</v>
      </c>
      <c r="Q562" s="196">
        <v>0</v>
      </c>
      <c r="R562" s="199">
        <v>4158.84</v>
      </c>
      <c r="S562" s="196">
        <v>5982216</v>
      </c>
      <c r="T562" s="197">
        <v>0</v>
      </c>
      <c r="U562" s="288">
        <v>0</v>
      </c>
      <c r="V562" s="282" t="e">
        <f>C562-'часть 1'!#REF!</f>
        <v>#REF!</v>
      </c>
      <c r="W562" s="282"/>
      <c r="X562" s="28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296"/>
    </row>
    <row r="563" spans="1:49" s="89" customFormat="1">
      <c r="A563" s="198">
        <v>2</v>
      </c>
      <c r="B563" s="195" t="s">
        <v>325</v>
      </c>
      <c r="C563" s="196">
        <v>9379653</v>
      </c>
      <c r="D563" s="196"/>
      <c r="E563" s="196"/>
      <c r="F563" s="196"/>
      <c r="G563" s="196"/>
      <c r="H563" s="196"/>
      <c r="I563" s="196"/>
      <c r="J563" s="196"/>
      <c r="K563" s="196">
        <v>0</v>
      </c>
      <c r="L563" s="194">
        <v>5</v>
      </c>
      <c r="M563" s="196">
        <v>9379653</v>
      </c>
      <c r="N563" s="196">
        <v>0</v>
      </c>
      <c r="O563" s="196">
        <v>0</v>
      </c>
      <c r="P563" s="194">
        <v>0</v>
      </c>
      <c r="Q563" s="196">
        <v>0</v>
      </c>
      <c r="R563" s="197">
        <v>0</v>
      </c>
      <c r="S563" s="196">
        <v>0</v>
      </c>
      <c r="T563" s="197">
        <v>0</v>
      </c>
      <c r="U563" s="288">
        <v>0</v>
      </c>
      <c r="V563" s="282" t="e">
        <f>C563-'часть 1'!#REF!</f>
        <v>#REF!</v>
      </c>
      <c r="W563" s="282"/>
      <c r="X563" s="28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296"/>
      <c r="AJ563" s="59"/>
      <c r="AK563" s="59"/>
      <c r="AL563" s="59"/>
      <c r="AM563" s="59"/>
      <c r="AN563" s="59"/>
      <c r="AO563" s="59"/>
      <c r="AP563" s="59"/>
      <c r="AQ563" s="59"/>
      <c r="AR563" s="59"/>
      <c r="AS563" s="59"/>
      <c r="AT563" s="59"/>
      <c r="AU563" s="59"/>
      <c r="AV563" s="59"/>
      <c r="AW563" s="59"/>
    </row>
    <row r="564" spans="1:49" s="59" customFormat="1">
      <c r="A564" s="198">
        <v>3</v>
      </c>
      <c r="B564" s="195" t="s">
        <v>321</v>
      </c>
      <c r="C564" s="196">
        <v>3763756</v>
      </c>
      <c r="D564" s="196"/>
      <c r="E564" s="196"/>
      <c r="F564" s="196"/>
      <c r="G564" s="196"/>
      <c r="H564" s="196"/>
      <c r="I564" s="196"/>
      <c r="J564" s="196"/>
      <c r="K564" s="196">
        <v>0</v>
      </c>
      <c r="L564" s="194">
        <v>2</v>
      </c>
      <c r="M564" s="196">
        <v>3763756</v>
      </c>
      <c r="N564" s="196">
        <v>0</v>
      </c>
      <c r="O564" s="196">
        <v>0</v>
      </c>
      <c r="P564" s="194">
        <v>0</v>
      </c>
      <c r="Q564" s="196">
        <v>0</v>
      </c>
      <c r="R564" s="200">
        <v>0</v>
      </c>
      <c r="S564" s="196">
        <v>0</v>
      </c>
      <c r="T564" s="197">
        <v>0</v>
      </c>
      <c r="U564" s="288">
        <v>0</v>
      </c>
      <c r="V564" s="282" t="e">
        <f>C564-'часть 1'!#REF!</f>
        <v>#REF!</v>
      </c>
      <c r="W564" s="282"/>
      <c r="X564" s="28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296"/>
    </row>
    <row r="565" spans="1:49" s="59" customFormat="1">
      <c r="A565" s="198">
        <v>4</v>
      </c>
      <c r="B565" s="195" t="s">
        <v>346</v>
      </c>
      <c r="C565" s="196">
        <v>1095812</v>
      </c>
      <c r="D565" s="196"/>
      <c r="E565" s="196"/>
      <c r="F565" s="196"/>
      <c r="G565" s="196"/>
      <c r="H565" s="196"/>
      <c r="I565" s="196"/>
      <c r="J565" s="196"/>
      <c r="K565" s="196">
        <v>1095812</v>
      </c>
      <c r="L565" s="194">
        <v>0</v>
      </c>
      <c r="M565" s="196">
        <v>0</v>
      </c>
      <c r="N565" s="196">
        <v>0</v>
      </c>
      <c r="O565" s="196">
        <v>0</v>
      </c>
      <c r="P565" s="194">
        <v>0</v>
      </c>
      <c r="Q565" s="196">
        <v>0</v>
      </c>
      <c r="R565" s="200">
        <v>0</v>
      </c>
      <c r="S565" s="196">
        <v>0</v>
      </c>
      <c r="T565" s="197">
        <v>0</v>
      </c>
      <c r="U565" s="288">
        <v>0</v>
      </c>
      <c r="V565" s="282" t="e">
        <f>C565-'часть 1'!#REF!</f>
        <v>#REF!</v>
      </c>
      <c r="W565" s="282"/>
      <c r="X565" s="28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296"/>
    </row>
    <row r="566" spans="1:49" s="59" customFormat="1">
      <c r="A566" s="198">
        <v>5</v>
      </c>
      <c r="B566" s="195" t="s">
        <v>322</v>
      </c>
      <c r="C566" s="196">
        <v>5619141</v>
      </c>
      <c r="D566" s="196"/>
      <c r="E566" s="196"/>
      <c r="F566" s="196"/>
      <c r="G566" s="196"/>
      <c r="H566" s="196"/>
      <c r="I566" s="196"/>
      <c r="J566" s="196"/>
      <c r="K566" s="196">
        <v>0</v>
      </c>
      <c r="L566" s="194">
        <v>3</v>
      </c>
      <c r="M566" s="196">
        <v>5619141</v>
      </c>
      <c r="N566" s="196">
        <v>0</v>
      </c>
      <c r="O566" s="196">
        <v>0</v>
      </c>
      <c r="P566" s="194">
        <v>0</v>
      </c>
      <c r="Q566" s="196">
        <v>0</v>
      </c>
      <c r="R566" s="200">
        <v>0</v>
      </c>
      <c r="S566" s="196">
        <v>0</v>
      </c>
      <c r="T566" s="197">
        <v>0</v>
      </c>
      <c r="U566" s="288">
        <v>0</v>
      </c>
      <c r="V566" s="282" t="e">
        <f>C566-'часть 1'!#REF!</f>
        <v>#REF!</v>
      </c>
      <c r="W566" s="282"/>
      <c r="X566" s="28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296"/>
    </row>
    <row r="567" spans="1:49" s="59" customFormat="1">
      <c r="A567" s="198">
        <v>6</v>
      </c>
      <c r="B567" s="195" t="s">
        <v>320</v>
      </c>
      <c r="C567" s="196">
        <v>3748388</v>
      </c>
      <c r="D567" s="196"/>
      <c r="E567" s="196"/>
      <c r="F567" s="196"/>
      <c r="G567" s="196"/>
      <c r="H567" s="196"/>
      <c r="I567" s="196"/>
      <c r="J567" s="196"/>
      <c r="K567" s="196">
        <v>0</v>
      </c>
      <c r="L567" s="194">
        <v>2</v>
      </c>
      <c r="M567" s="196">
        <v>3748388</v>
      </c>
      <c r="N567" s="196">
        <v>0</v>
      </c>
      <c r="O567" s="196">
        <v>0</v>
      </c>
      <c r="P567" s="194">
        <v>0</v>
      </c>
      <c r="Q567" s="196">
        <v>0</v>
      </c>
      <c r="R567" s="197">
        <v>0</v>
      </c>
      <c r="S567" s="196">
        <v>0</v>
      </c>
      <c r="T567" s="197">
        <v>0</v>
      </c>
      <c r="U567" s="288">
        <v>0</v>
      </c>
      <c r="V567" s="282" t="e">
        <f>C567-'часть 1'!#REF!</f>
        <v>#REF!</v>
      </c>
      <c r="W567" s="282"/>
      <c r="X567" s="28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296"/>
    </row>
    <row r="568" spans="1:49" s="59" customFormat="1">
      <c r="A568" s="198">
        <v>7</v>
      </c>
      <c r="B568" s="195" t="s">
        <v>327</v>
      </c>
      <c r="C568" s="196">
        <v>15157748</v>
      </c>
      <c r="D568" s="196"/>
      <c r="E568" s="196"/>
      <c r="F568" s="196"/>
      <c r="G568" s="196"/>
      <c r="H568" s="196"/>
      <c r="I568" s="196"/>
      <c r="J568" s="196"/>
      <c r="K568" s="196">
        <v>0</v>
      </c>
      <c r="L568" s="194">
        <v>8</v>
      </c>
      <c r="M568" s="196">
        <f>C568</f>
        <v>15157748</v>
      </c>
      <c r="N568" s="196">
        <v>0</v>
      </c>
      <c r="O568" s="196">
        <v>0</v>
      </c>
      <c r="P568" s="194">
        <v>0</v>
      </c>
      <c r="Q568" s="196">
        <v>0</v>
      </c>
      <c r="R568" s="197">
        <v>0</v>
      </c>
      <c r="S568" s="196">
        <v>0</v>
      </c>
      <c r="T568" s="197">
        <v>0</v>
      </c>
      <c r="U568" s="288">
        <v>0</v>
      </c>
      <c r="V568" s="282" t="e">
        <f>C568-'часть 1'!#REF!</f>
        <v>#REF!</v>
      </c>
      <c r="W568" s="282"/>
      <c r="X568" s="28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296"/>
    </row>
    <row r="569" spans="1:49" s="59" customFormat="1">
      <c r="A569" s="198">
        <v>8</v>
      </c>
      <c r="B569" s="195" t="s">
        <v>323</v>
      </c>
      <c r="C569" s="196">
        <v>1030213</v>
      </c>
      <c r="D569" s="196"/>
      <c r="E569" s="196"/>
      <c r="F569" s="196"/>
      <c r="G569" s="196"/>
      <c r="H569" s="196"/>
      <c r="I569" s="196"/>
      <c r="J569" s="196"/>
      <c r="K569" s="196">
        <v>0</v>
      </c>
      <c r="L569" s="194">
        <v>0</v>
      </c>
      <c r="M569" s="196">
        <v>0</v>
      </c>
      <c r="N569" s="196">
        <v>513.79999999999995</v>
      </c>
      <c r="O569" s="199">
        <f>C569</f>
        <v>1030213</v>
      </c>
      <c r="P569" s="194">
        <v>0</v>
      </c>
      <c r="Q569" s="196">
        <v>0</v>
      </c>
      <c r="R569" s="200">
        <v>0</v>
      </c>
      <c r="S569" s="196">
        <v>0</v>
      </c>
      <c r="T569" s="197">
        <v>0</v>
      </c>
      <c r="U569" s="288">
        <v>0</v>
      </c>
      <c r="V569" s="282" t="e">
        <f>C569-'часть 1'!#REF!</f>
        <v>#REF!</v>
      </c>
      <c r="W569" s="282"/>
      <c r="X569" s="28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296"/>
    </row>
    <row r="570" spans="1:49" s="59" customFormat="1">
      <c r="A570" s="198">
        <v>9</v>
      </c>
      <c r="B570" s="195" t="s">
        <v>319</v>
      </c>
      <c r="C570" s="196">
        <v>530465</v>
      </c>
      <c r="D570" s="196"/>
      <c r="E570" s="196"/>
      <c r="F570" s="196"/>
      <c r="G570" s="196"/>
      <c r="H570" s="196"/>
      <c r="I570" s="196"/>
      <c r="J570" s="196"/>
      <c r="K570" s="196" t="e">
        <f>#REF!</f>
        <v>#REF!</v>
      </c>
      <c r="L570" s="194">
        <v>0</v>
      </c>
      <c r="M570" s="196">
        <v>0</v>
      </c>
      <c r="N570" s="199">
        <v>0</v>
      </c>
      <c r="O570" s="196">
        <v>0</v>
      </c>
      <c r="P570" s="194">
        <v>0</v>
      </c>
      <c r="Q570" s="196">
        <v>0</v>
      </c>
      <c r="R570" s="200">
        <v>0</v>
      </c>
      <c r="S570" s="196">
        <v>0</v>
      </c>
      <c r="T570" s="197">
        <v>0</v>
      </c>
      <c r="U570" s="288">
        <v>0</v>
      </c>
      <c r="V570" s="282">
        <f>C570-'часть 1'!L581</f>
        <v>530465</v>
      </c>
      <c r="W570" s="282"/>
      <c r="X570" s="28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296"/>
    </row>
    <row r="571" spans="1:49" s="59" customFormat="1">
      <c r="A571" s="198">
        <v>10</v>
      </c>
      <c r="B571" s="195" t="s">
        <v>326</v>
      </c>
      <c r="C571" s="196">
        <v>1983854</v>
      </c>
      <c r="D571" s="196"/>
      <c r="E571" s="196"/>
      <c r="F571" s="196"/>
      <c r="G571" s="196"/>
      <c r="H571" s="196"/>
      <c r="I571" s="196"/>
      <c r="J571" s="196"/>
      <c r="K571" s="196">
        <v>0</v>
      </c>
      <c r="L571" s="194">
        <v>0</v>
      </c>
      <c r="M571" s="196">
        <v>0</v>
      </c>
      <c r="N571" s="196">
        <v>1000</v>
      </c>
      <c r="O571" s="196">
        <v>1983854</v>
      </c>
      <c r="P571" s="194">
        <v>0</v>
      </c>
      <c r="Q571" s="196">
        <v>0</v>
      </c>
      <c r="R571" s="197">
        <v>0</v>
      </c>
      <c r="S571" s="196">
        <v>0</v>
      </c>
      <c r="T571" s="197">
        <v>0</v>
      </c>
      <c r="U571" s="288">
        <v>0</v>
      </c>
      <c r="V571" s="282">
        <f>C571-'часть 1'!L582</f>
        <v>1983854</v>
      </c>
      <c r="W571" s="282"/>
      <c r="X571" s="28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296"/>
    </row>
    <row r="572" spans="1:49" s="59" customFormat="1">
      <c r="A572" s="198">
        <v>11</v>
      </c>
      <c r="B572" s="195" t="s">
        <v>388</v>
      </c>
      <c r="C572" s="196">
        <v>1206304</v>
      </c>
      <c r="D572" s="196"/>
      <c r="E572" s="196"/>
      <c r="F572" s="196"/>
      <c r="G572" s="196"/>
      <c r="H572" s="196"/>
      <c r="I572" s="196"/>
      <c r="J572" s="196"/>
      <c r="K572" s="196">
        <v>0</v>
      </c>
      <c r="L572" s="194">
        <v>0</v>
      </c>
      <c r="M572" s="196">
        <v>0</v>
      </c>
      <c r="N572" s="196">
        <v>576</v>
      </c>
      <c r="O572" s="196">
        <v>1206304</v>
      </c>
      <c r="P572" s="194">
        <v>0</v>
      </c>
      <c r="Q572" s="196">
        <v>0</v>
      </c>
      <c r="R572" s="197">
        <v>0</v>
      </c>
      <c r="S572" s="196">
        <v>0</v>
      </c>
      <c r="T572" s="197">
        <v>0</v>
      </c>
      <c r="U572" s="288">
        <v>0</v>
      </c>
      <c r="V572" s="282">
        <f>C572-'часть 1'!L583</f>
        <v>-607454255.45000005</v>
      </c>
      <c r="W572" s="282"/>
      <c r="X572" s="28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296"/>
    </row>
    <row r="573" spans="1:49" s="59" customFormat="1" ht="30">
      <c r="A573" s="198">
        <v>12</v>
      </c>
      <c r="B573" s="195" t="s">
        <v>419</v>
      </c>
      <c r="C573" s="196">
        <v>402530.2</v>
      </c>
      <c r="D573" s="196"/>
      <c r="E573" s="196"/>
      <c r="F573" s="196"/>
      <c r="G573" s="196"/>
      <c r="H573" s="196"/>
      <c r="I573" s="196"/>
      <c r="J573" s="196"/>
      <c r="K573" s="196">
        <v>402530.2</v>
      </c>
      <c r="L573" s="194">
        <v>0</v>
      </c>
      <c r="M573" s="196">
        <v>0</v>
      </c>
      <c r="N573" s="196">
        <v>0</v>
      </c>
      <c r="O573" s="196">
        <v>0</v>
      </c>
      <c r="P573" s="194">
        <v>0</v>
      </c>
      <c r="Q573" s="196">
        <v>0</v>
      </c>
      <c r="R573" s="197">
        <v>0</v>
      </c>
      <c r="S573" s="196">
        <v>0</v>
      </c>
      <c r="T573" s="197">
        <v>0</v>
      </c>
      <c r="U573" s="288">
        <v>0</v>
      </c>
      <c r="V573" s="282">
        <f>C573-'часть 1'!L584</f>
        <v>-335828340.43000001</v>
      </c>
      <c r="W573" s="282"/>
      <c r="X573" s="28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296"/>
    </row>
    <row r="574" spans="1:49" s="59" customFormat="1">
      <c r="A574" s="198">
        <v>13</v>
      </c>
      <c r="B574" s="195" t="s">
        <v>387</v>
      </c>
      <c r="C574" s="196">
        <v>2861497</v>
      </c>
      <c r="D574" s="196"/>
      <c r="E574" s="196"/>
      <c r="F574" s="196"/>
      <c r="G574" s="196"/>
      <c r="H574" s="196"/>
      <c r="I574" s="196"/>
      <c r="J574" s="196"/>
      <c r="K574" s="196">
        <v>0</v>
      </c>
      <c r="L574" s="194">
        <v>0</v>
      </c>
      <c r="M574" s="196">
        <v>0</v>
      </c>
      <c r="N574" s="196">
        <v>1450</v>
      </c>
      <c r="O574" s="196">
        <v>2861497</v>
      </c>
      <c r="P574" s="194">
        <v>0</v>
      </c>
      <c r="Q574" s="196">
        <v>0</v>
      </c>
      <c r="R574" s="197">
        <v>0</v>
      </c>
      <c r="S574" s="196">
        <v>0</v>
      </c>
      <c r="T574" s="197">
        <v>0</v>
      </c>
      <c r="U574" s="288">
        <v>0</v>
      </c>
      <c r="V574" s="282">
        <f>C574-'часть 1'!L585</f>
        <v>-3120719</v>
      </c>
      <c r="W574" s="282"/>
      <c r="X574" s="28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296"/>
    </row>
    <row r="575" spans="1:49" s="59" customFormat="1">
      <c r="A575" s="198">
        <v>14</v>
      </c>
      <c r="B575" s="195" t="s">
        <v>334</v>
      </c>
      <c r="C575" s="196">
        <v>1535065.47</v>
      </c>
      <c r="D575" s="196"/>
      <c r="E575" s="196"/>
      <c r="F575" s="196"/>
      <c r="G575" s="196"/>
      <c r="H575" s="196"/>
      <c r="I575" s="196"/>
      <c r="J575" s="196"/>
      <c r="K575" s="196">
        <v>0</v>
      </c>
      <c r="L575" s="194">
        <v>0</v>
      </c>
      <c r="M575" s="196">
        <v>0</v>
      </c>
      <c r="N575" s="196">
        <v>0</v>
      </c>
      <c r="O575" s="196">
        <v>0</v>
      </c>
      <c r="P575" s="194">
        <v>0</v>
      </c>
      <c r="Q575" s="196">
        <v>0</v>
      </c>
      <c r="R575" s="196">
        <v>1641</v>
      </c>
      <c r="S575" s="196">
        <v>1535065.47</v>
      </c>
      <c r="T575" s="197">
        <v>0</v>
      </c>
      <c r="U575" s="288">
        <v>0</v>
      </c>
      <c r="V575" s="282">
        <f>C575-'часть 1'!L586</f>
        <v>-7844587.5300000003</v>
      </c>
      <c r="W575" s="282"/>
      <c r="X575" s="28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296"/>
    </row>
    <row r="576" spans="1:49" s="59" customFormat="1">
      <c r="A576" s="198">
        <v>15</v>
      </c>
      <c r="B576" s="195" t="s">
        <v>330</v>
      </c>
      <c r="C576" s="196">
        <v>930534</v>
      </c>
      <c r="D576" s="196"/>
      <c r="E576" s="196"/>
      <c r="F576" s="196"/>
      <c r="G576" s="196"/>
      <c r="H576" s="196"/>
      <c r="I576" s="196"/>
      <c r="J576" s="196"/>
      <c r="K576" s="196">
        <v>930534</v>
      </c>
      <c r="L576" s="194">
        <v>0</v>
      </c>
      <c r="M576" s="196">
        <v>0</v>
      </c>
      <c r="N576" s="196">
        <v>0</v>
      </c>
      <c r="O576" s="196">
        <v>0</v>
      </c>
      <c r="P576" s="194">
        <v>0</v>
      </c>
      <c r="Q576" s="196">
        <v>0</v>
      </c>
      <c r="R576" s="200">
        <v>0</v>
      </c>
      <c r="S576" s="196">
        <v>0</v>
      </c>
      <c r="T576" s="197">
        <v>0</v>
      </c>
      <c r="U576" s="288">
        <v>0</v>
      </c>
      <c r="V576" s="282">
        <f>C576-'часть 1'!L587</f>
        <v>-2833222</v>
      </c>
      <c r="W576" s="282"/>
      <c r="X576" s="282"/>
      <c r="Y576" s="4"/>
      <c r="Z576" s="12"/>
      <c r="AA576" s="12"/>
      <c r="AB576" s="12"/>
      <c r="AC576" s="12"/>
      <c r="AD576" s="12"/>
      <c r="AE576" s="12"/>
      <c r="AF576" s="12"/>
      <c r="AG576" s="12"/>
      <c r="AH576" s="12"/>
      <c r="AI576" s="296"/>
    </row>
    <row r="577" spans="1:49" s="59" customFormat="1">
      <c r="A577" s="198">
        <v>16</v>
      </c>
      <c r="B577" s="195" t="s">
        <v>328</v>
      </c>
      <c r="C577" s="196">
        <v>662518</v>
      </c>
      <c r="D577" s="196"/>
      <c r="E577" s="196"/>
      <c r="F577" s="196"/>
      <c r="G577" s="196"/>
      <c r="H577" s="196"/>
      <c r="I577" s="196"/>
      <c r="J577" s="196"/>
      <c r="K577" s="196">
        <v>0</v>
      </c>
      <c r="L577" s="194">
        <v>0</v>
      </c>
      <c r="M577" s="196">
        <v>0</v>
      </c>
      <c r="N577" s="196">
        <v>0</v>
      </c>
      <c r="O577" s="196">
        <v>0</v>
      </c>
      <c r="P577" s="196">
        <v>682</v>
      </c>
      <c r="Q577" s="196">
        <f>C577</f>
        <v>662518</v>
      </c>
      <c r="R577" s="197">
        <v>0</v>
      </c>
      <c r="S577" s="196">
        <v>0</v>
      </c>
      <c r="T577" s="197">
        <v>0</v>
      </c>
      <c r="U577" s="288">
        <v>0</v>
      </c>
      <c r="V577" s="282">
        <f>C577-'часть 1'!L588</f>
        <v>-433294</v>
      </c>
      <c r="W577" s="282"/>
      <c r="X577" s="28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296"/>
    </row>
    <row r="578" spans="1:49" s="59" customFormat="1">
      <c r="A578" s="198">
        <v>17</v>
      </c>
      <c r="B578" s="195" t="s">
        <v>333</v>
      </c>
      <c r="C578" s="196">
        <v>2346663</v>
      </c>
      <c r="D578" s="196"/>
      <c r="E578" s="196"/>
      <c r="F578" s="196"/>
      <c r="G578" s="196"/>
      <c r="H578" s="196"/>
      <c r="I578" s="196"/>
      <c r="J578" s="196"/>
      <c r="K578" s="196">
        <v>2346663</v>
      </c>
      <c r="L578" s="194">
        <v>0</v>
      </c>
      <c r="M578" s="196">
        <v>0</v>
      </c>
      <c r="N578" s="199">
        <v>0</v>
      </c>
      <c r="O578" s="196">
        <v>0</v>
      </c>
      <c r="P578" s="194">
        <v>0</v>
      </c>
      <c r="Q578" s="196">
        <v>0</v>
      </c>
      <c r="R578" s="200">
        <v>0</v>
      </c>
      <c r="S578" s="196">
        <v>0</v>
      </c>
      <c r="T578" s="197">
        <v>0</v>
      </c>
      <c r="U578" s="288">
        <v>0</v>
      </c>
      <c r="V578" s="282">
        <f>C578-'часть 1'!L589</f>
        <v>-3272478</v>
      </c>
      <c r="W578" s="282"/>
      <c r="X578" s="282"/>
      <c r="Y578" s="12"/>
      <c r="Z578" s="12"/>
      <c r="AA578" s="12"/>
      <c r="AB578" s="12"/>
      <c r="AC578" s="12"/>
      <c r="AD578" s="12"/>
      <c r="AE578" s="15"/>
      <c r="AF578" s="12"/>
      <c r="AG578" s="12"/>
      <c r="AH578" s="12"/>
      <c r="AI578" s="296"/>
    </row>
    <row r="579" spans="1:49" s="59" customFormat="1">
      <c r="A579" s="198">
        <v>18</v>
      </c>
      <c r="B579" s="195" t="s">
        <v>331</v>
      </c>
      <c r="C579" s="196">
        <v>727019</v>
      </c>
      <c r="D579" s="196"/>
      <c r="E579" s="196"/>
      <c r="F579" s="196"/>
      <c r="G579" s="196"/>
      <c r="H579" s="196"/>
      <c r="I579" s="196"/>
      <c r="J579" s="196"/>
      <c r="K579" s="196">
        <v>727019</v>
      </c>
      <c r="L579" s="194">
        <v>0</v>
      </c>
      <c r="M579" s="196">
        <v>0</v>
      </c>
      <c r="N579" s="196">
        <v>0</v>
      </c>
      <c r="O579" s="196">
        <v>0</v>
      </c>
      <c r="P579" s="194">
        <v>0</v>
      </c>
      <c r="Q579" s="196">
        <v>0</v>
      </c>
      <c r="R579" s="200">
        <v>0</v>
      </c>
      <c r="S579" s="196">
        <v>0</v>
      </c>
      <c r="T579" s="197">
        <v>0</v>
      </c>
      <c r="U579" s="288">
        <v>0</v>
      </c>
      <c r="V579" s="282">
        <f>C579-'часть 1'!L590</f>
        <v>-3021369</v>
      </c>
      <c r="W579" s="282"/>
      <c r="X579" s="28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296"/>
    </row>
    <row r="580" spans="1:49" s="59" customFormat="1">
      <c r="A580" s="198">
        <v>19</v>
      </c>
      <c r="B580" s="195" t="s">
        <v>329</v>
      </c>
      <c r="C580" s="196">
        <v>538121</v>
      </c>
      <c r="D580" s="196"/>
      <c r="E580" s="196"/>
      <c r="F580" s="196"/>
      <c r="G580" s="196"/>
      <c r="H580" s="196"/>
      <c r="I580" s="196"/>
      <c r="J580" s="196"/>
      <c r="K580" s="196">
        <v>538121</v>
      </c>
      <c r="L580" s="194">
        <v>0</v>
      </c>
      <c r="M580" s="196">
        <v>0</v>
      </c>
      <c r="N580" s="196">
        <v>0</v>
      </c>
      <c r="O580" s="196">
        <v>0</v>
      </c>
      <c r="P580" s="194">
        <v>0</v>
      </c>
      <c r="Q580" s="196">
        <v>0</v>
      </c>
      <c r="R580" s="197">
        <v>0</v>
      </c>
      <c r="S580" s="196">
        <v>0</v>
      </c>
      <c r="T580" s="197">
        <v>0</v>
      </c>
      <c r="U580" s="288">
        <v>0</v>
      </c>
      <c r="V580" s="282">
        <f>C580-'часть 1'!L591</f>
        <v>-14619627</v>
      </c>
      <c r="W580" s="282"/>
      <c r="X580" s="282"/>
      <c r="Y580" s="4"/>
      <c r="Z580" s="12"/>
      <c r="AA580" s="12"/>
      <c r="AB580" s="12"/>
      <c r="AC580" s="12"/>
      <c r="AD580" s="12"/>
      <c r="AE580" s="12"/>
      <c r="AF580" s="12"/>
      <c r="AG580" s="12"/>
      <c r="AH580" s="12"/>
      <c r="AI580" s="296"/>
    </row>
    <row r="581" spans="1:49" s="59" customFormat="1">
      <c r="A581" s="198">
        <v>20</v>
      </c>
      <c r="B581" s="195" t="s">
        <v>332</v>
      </c>
      <c r="C581" s="196">
        <v>1756852</v>
      </c>
      <c r="D581" s="196"/>
      <c r="E581" s="196"/>
      <c r="F581" s="196"/>
      <c r="G581" s="196"/>
      <c r="H581" s="196"/>
      <c r="I581" s="196"/>
      <c r="J581" s="196"/>
      <c r="K581" s="196">
        <v>0</v>
      </c>
      <c r="L581" s="194">
        <v>0</v>
      </c>
      <c r="M581" s="196">
        <v>0</v>
      </c>
      <c r="N581" s="196">
        <v>891</v>
      </c>
      <c r="O581" s="196">
        <v>1756852</v>
      </c>
      <c r="P581" s="194">
        <v>0</v>
      </c>
      <c r="Q581" s="196">
        <v>0</v>
      </c>
      <c r="R581" s="197">
        <v>0</v>
      </c>
      <c r="S581" s="196">
        <v>0</v>
      </c>
      <c r="T581" s="197">
        <v>0</v>
      </c>
      <c r="U581" s="288">
        <v>0</v>
      </c>
      <c r="V581" s="282">
        <f>C581-'часть 1'!L592</f>
        <v>726639</v>
      </c>
      <c r="W581" s="282"/>
      <c r="X581" s="28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296"/>
    </row>
    <row r="582" spans="1:49" s="59" customFormat="1">
      <c r="A582" s="198">
        <v>21</v>
      </c>
      <c r="B582" s="195" t="s">
        <v>316</v>
      </c>
      <c r="C582" s="196">
        <v>676398.28</v>
      </c>
      <c r="D582" s="196"/>
      <c r="E582" s="196"/>
      <c r="F582" s="196"/>
      <c r="G582" s="196"/>
      <c r="H582" s="196"/>
      <c r="I582" s="196"/>
      <c r="J582" s="196"/>
      <c r="K582" s="196">
        <v>0</v>
      </c>
      <c r="L582" s="194">
        <v>0</v>
      </c>
      <c r="M582" s="196">
        <v>0</v>
      </c>
      <c r="N582" s="196">
        <v>0</v>
      </c>
      <c r="O582" s="196">
        <v>0</v>
      </c>
      <c r="P582" s="194">
        <v>0</v>
      </c>
      <c r="Q582" s="196">
        <v>0</v>
      </c>
      <c r="R582" s="196">
        <v>1444</v>
      </c>
      <c r="S582" s="196">
        <v>676398.28</v>
      </c>
      <c r="T582" s="197">
        <v>0</v>
      </c>
      <c r="U582" s="288">
        <v>0</v>
      </c>
      <c r="V582" s="282">
        <f>C582-'часть 1'!L593</f>
        <v>145933.28000000003</v>
      </c>
      <c r="W582" s="282"/>
      <c r="X582" s="28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296"/>
    </row>
    <row r="583" spans="1:49" s="59" customFormat="1">
      <c r="A583" s="198">
        <v>22</v>
      </c>
      <c r="B583" s="195" t="s">
        <v>313</v>
      </c>
      <c r="C583" s="196">
        <v>766539</v>
      </c>
      <c r="D583" s="196"/>
      <c r="E583" s="196"/>
      <c r="F583" s="196"/>
      <c r="G583" s="196"/>
      <c r="H583" s="196"/>
      <c r="I583" s="196"/>
      <c r="J583" s="196"/>
      <c r="K583" s="196">
        <v>0</v>
      </c>
      <c r="L583" s="194">
        <v>0</v>
      </c>
      <c r="M583" s="196">
        <v>0</v>
      </c>
      <c r="N583" s="196">
        <v>378.5</v>
      </c>
      <c r="O583" s="196">
        <v>766539</v>
      </c>
      <c r="P583" s="194">
        <v>0</v>
      </c>
      <c r="Q583" s="196">
        <v>0</v>
      </c>
      <c r="R583" s="197">
        <v>0</v>
      </c>
      <c r="S583" s="196">
        <v>0</v>
      </c>
      <c r="T583" s="197">
        <v>0</v>
      </c>
      <c r="U583" s="288">
        <v>0</v>
      </c>
      <c r="V583" s="282">
        <f>C583-'часть 1'!L594</f>
        <v>-1217315</v>
      </c>
      <c r="W583" s="282"/>
      <c r="X583" s="28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296"/>
      <c r="AJ583" s="89"/>
      <c r="AK583" s="89"/>
      <c r="AL583" s="89"/>
      <c r="AM583" s="89"/>
      <c r="AN583" s="89"/>
      <c r="AO583" s="89"/>
      <c r="AP583" s="89"/>
      <c r="AQ583" s="89"/>
      <c r="AR583" s="89"/>
      <c r="AS583" s="89"/>
      <c r="AT583" s="89"/>
      <c r="AU583" s="89"/>
      <c r="AV583" s="89"/>
      <c r="AW583" s="89"/>
    </row>
    <row r="584" spans="1:49" s="59" customFormat="1">
      <c r="A584" s="198">
        <v>23</v>
      </c>
      <c r="B584" s="195" t="s">
        <v>312</v>
      </c>
      <c r="C584" s="196">
        <v>1186114</v>
      </c>
      <c r="D584" s="196"/>
      <c r="E584" s="196"/>
      <c r="F584" s="196"/>
      <c r="G584" s="196"/>
      <c r="H584" s="196"/>
      <c r="I584" s="196"/>
      <c r="J584" s="196"/>
      <c r="K584" s="196">
        <v>0</v>
      </c>
      <c r="L584" s="194">
        <v>0</v>
      </c>
      <c r="M584" s="196">
        <v>0</v>
      </c>
      <c r="N584" s="196">
        <v>586.29999999999995</v>
      </c>
      <c r="O584" s="196">
        <v>1186114</v>
      </c>
      <c r="P584" s="194">
        <v>0</v>
      </c>
      <c r="Q584" s="196">
        <v>0</v>
      </c>
      <c r="R584" s="197">
        <v>0</v>
      </c>
      <c r="S584" s="196">
        <v>0</v>
      </c>
      <c r="T584" s="197">
        <v>0</v>
      </c>
      <c r="U584" s="288">
        <v>0</v>
      </c>
      <c r="V584" s="282">
        <f>C584-'часть 1'!L595</f>
        <v>-20190</v>
      </c>
      <c r="W584" s="282"/>
      <c r="X584" s="28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296"/>
    </row>
    <row r="585" spans="1:49" s="89" customFormat="1">
      <c r="A585" s="198">
        <v>24</v>
      </c>
      <c r="B585" s="195" t="s">
        <v>311</v>
      </c>
      <c r="C585" s="196">
        <v>178272.59</v>
      </c>
      <c r="D585" s="196"/>
      <c r="E585" s="196"/>
      <c r="F585" s="196"/>
      <c r="G585" s="196"/>
      <c r="H585" s="196"/>
      <c r="I585" s="196"/>
      <c r="J585" s="196"/>
      <c r="K585" s="196">
        <v>178272.59</v>
      </c>
      <c r="L585" s="194">
        <v>0</v>
      </c>
      <c r="M585" s="196">
        <v>0</v>
      </c>
      <c r="N585" s="199">
        <v>0</v>
      </c>
      <c r="O585" s="196">
        <v>0</v>
      </c>
      <c r="P585" s="194">
        <v>0</v>
      </c>
      <c r="Q585" s="196">
        <v>0</v>
      </c>
      <c r="R585" s="200">
        <v>0</v>
      </c>
      <c r="S585" s="196">
        <v>0</v>
      </c>
      <c r="T585" s="197">
        <v>0</v>
      </c>
      <c r="U585" s="288">
        <v>0</v>
      </c>
      <c r="V585" s="282">
        <f>C585-'часть 1'!L596</f>
        <v>-224257.61000000002</v>
      </c>
      <c r="W585" s="282"/>
      <c r="X585" s="28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296"/>
      <c r="AJ585" s="59"/>
      <c r="AK585" s="59"/>
      <c r="AL585" s="59"/>
      <c r="AM585" s="59"/>
      <c r="AN585" s="59"/>
      <c r="AO585" s="59"/>
      <c r="AP585" s="59"/>
      <c r="AQ585" s="59"/>
      <c r="AR585" s="59"/>
      <c r="AS585" s="59"/>
      <c r="AT585" s="59"/>
      <c r="AU585" s="59"/>
      <c r="AV585" s="59"/>
      <c r="AW585" s="59"/>
    </row>
    <row r="586" spans="1:49" s="59" customFormat="1">
      <c r="A586" s="198">
        <v>25</v>
      </c>
      <c r="B586" s="195" t="s">
        <v>315</v>
      </c>
      <c r="C586" s="196">
        <v>1087116</v>
      </c>
      <c r="D586" s="196"/>
      <c r="E586" s="196"/>
      <c r="F586" s="196"/>
      <c r="G586" s="196"/>
      <c r="H586" s="196"/>
      <c r="I586" s="196"/>
      <c r="J586" s="196"/>
      <c r="K586" s="196" t="e">
        <f>#REF!</f>
        <v>#REF!</v>
      </c>
      <c r="L586" s="194">
        <v>0</v>
      </c>
      <c r="M586" s="196">
        <v>0</v>
      </c>
      <c r="N586" s="196">
        <v>0</v>
      </c>
      <c r="O586" s="196">
        <v>0</v>
      </c>
      <c r="P586" s="194">
        <v>0</v>
      </c>
      <c r="Q586" s="196">
        <v>0</v>
      </c>
      <c r="R586" s="197">
        <v>0</v>
      </c>
      <c r="S586" s="196">
        <v>0</v>
      </c>
      <c r="T586" s="197">
        <v>0</v>
      </c>
      <c r="U586" s="288">
        <v>0</v>
      </c>
      <c r="V586" s="282">
        <f>C586-'часть 1'!L597</f>
        <v>-1774381</v>
      </c>
      <c r="W586" s="282"/>
      <c r="X586" s="28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296"/>
    </row>
    <row r="587" spans="1:49" s="59" customFormat="1">
      <c r="A587" s="198">
        <v>26</v>
      </c>
      <c r="B587" s="195" t="s">
        <v>351</v>
      </c>
      <c r="C587" s="196">
        <v>1411363</v>
      </c>
      <c r="D587" s="196"/>
      <c r="E587" s="196"/>
      <c r="F587" s="196"/>
      <c r="G587" s="196"/>
      <c r="H587" s="196"/>
      <c r="I587" s="196"/>
      <c r="J587" s="196"/>
      <c r="K587" s="196">
        <v>0</v>
      </c>
      <c r="L587" s="194">
        <v>0</v>
      </c>
      <c r="M587" s="196">
        <v>0</v>
      </c>
      <c r="N587" s="196">
        <v>702</v>
      </c>
      <c r="O587" s="196">
        <v>1411363</v>
      </c>
      <c r="P587" s="194">
        <v>0</v>
      </c>
      <c r="Q587" s="196">
        <v>0</v>
      </c>
      <c r="R587" s="197">
        <v>0</v>
      </c>
      <c r="S587" s="196">
        <v>0</v>
      </c>
      <c r="T587" s="197">
        <v>0</v>
      </c>
      <c r="U587" s="288">
        <v>0</v>
      </c>
      <c r="V587" s="282">
        <f>C587-'часть 1'!L598</f>
        <v>-123702.46999999997</v>
      </c>
      <c r="W587" s="282"/>
      <c r="X587" s="28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296"/>
    </row>
    <row r="588" spans="1:49" s="59" customFormat="1">
      <c r="A588" s="198">
        <v>27</v>
      </c>
      <c r="B588" s="195" t="s">
        <v>314</v>
      </c>
      <c r="C588" s="196">
        <v>1136666</v>
      </c>
      <c r="D588" s="196"/>
      <c r="E588" s="196"/>
      <c r="F588" s="196"/>
      <c r="G588" s="196"/>
      <c r="H588" s="196"/>
      <c r="I588" s="196"/>
      <c r="J588" s="196"/>
      <c r="K588" s="196">
        <v>0</v>
      </c>
      <c r="L588" s="194">
        <v>0</v>
      </c>
      <c r="M588" s="196">
        <v>0</v>
      </c>
      <c r="N588" s="196">
        <v>552</v>
      </c>
      <c r="O588" s="196">
        <v>1136666</v>
      </c>
      <c r="P588" s="194">
        <v>0</v>
      </c>
      <c r="Q588" s="196">
        <v>0</v>
      </c>
      <c r="R588" s="200">
        <v>0</v>
      </c>
      <c r="S588" s="196">
        <v>0</v>
      </c>
      <c r="T588" s="197">
        <v>0</v>
      </c>
      <c r="U588" s="288">
        <v>0</v>
      </c>
      <c r="V588" s="282">
        <f>C588-'часть 1'!L599</f>
        <v>206132</v>
      </c>
      <c r="W588" s="282"/>
      <c r="X588" s="28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296"/>
    </row>
    <row r="589" spans="1:49" s="59" customFormat="1">
      <c r="A589" s="198">
        <v>28</v>
      </c>
      <c r="B589" s="195" t="s">
        <v>369</v>
      </c>
      <c r="C589" s="196">
        <v>1385674</v>
      </c>
      <c r="D589" s="196"/>
      <c r="E589" s="196"/>
      <c r="F589" s="196"/>
      <c r="G589" s="196"/>
      <c r="H589" s="196"/>
      <c r="I589" s="196"/>
      <c r="J589" s="196"/>
      <c r="K589" s="196">
        <v>1385674</v>
      </c>
      <c r="L589" s="194">
        <v>0</v>
      </c>
      <c r="M589" s="196">
        <v>0</v>
      </c>
      <c r="N589" s="196">
        <v>0</v>
      </c>
      <c r="O589" s="196">
        <v>0</v>
      </c>
      <c r="P589" s="194">
        <v>0</v>
      </c>
      <c r="Q589" s="196">
        <v>0</v>
      </c>
      <c r="R589" s="197">
        <v>0</v>
      </c>
      <c r="S589" s="196">
        <v>0</v>
      </c>
      <c r="T589" s="197">
        <v>0</v>
      </c>
      <c r="U589" s="288">
        <v>0</v>
      </c>
      <c r="V589" s="282">
        <f>C589-'часть 1'!L600</f>
        <v>723156</v>
      </c>
      <c r="W589" s="282"/>
      <c r="X589" s="28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296"/>
    </row>
    <row r="590" spans="1:49" s="59" customFormat="1">
      <c r="A590" s="198">
        <v>29</v>
      </c>
      <c r="B590" s="195" t="s">
        <v>370</v>
      </c>
      <c r="C590" s="196">
        <v>4619990</v>
      </c>
      <c r="D590" s="196"/>
      <c r="E590" s="196"/>
      <c r="F590" s="196"/>
      <c r="G590" s="196"/>
      <c r="H590" s="196"/>
      <c r="I590" s="196"/>
      <c r="J590" s="196"/>
      <c r="K590" s="196">
        <v>0</v>
      </c>
      <c r="L590" s="194">
        <v>0</v>
      </c>
      <c r="M590" s="196">
        <v>0</v>
      </c>
      <c r="N590" s="196">
        <v>2319</v>
      </c>
      <c r="O590" s="196">
        <v>4619990</v>
      </c>
      <c r="P590" s="194">
        <v>0</v>
      </c>
      <c r="Q590" s="196">
        <v>0</v>
      </c>
      <c r="R590" s="200">
        <v>0</v>
      </c>
      <c r="S590" s="196">
        <v>0</v>
      </c>
      <c r="T590" s="197">
        <v>0</v>
      </c>
      <c r="U590" s="288">
        <v>0</v>
      </c>
      <c r="V590" s="282">
        <f>C590-'часть 1'!L601</f>
        <v>2273327</v>
      </c>
      <c r="W590" s="282"/>
      <c r="X590" s="28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296"/>
    </row>
    <row r="591" spans="1:49" s="59" customFormat="1">
      <c r="A591" s="198">
        <v>30</v>
      </c>
      <c r="B591" s="195" t="s">
        <v>373</v>
      </c>
      <c r="C591" s="196">
        <v>1865304</v>
      </c>
      <c r="D591" s="196"/>
      <c r="E591" s="196"/>
      <c r="F591" s="196"/>
      <c r="G591" s="196"/>
      <c r="H591" s="196"/>
      <c r="I591" s="196"/>
      <c r="J591" s="196"/>
      <c r="K591" s="196">
        <v>0</v>
      </c>
      <c r="L591" s="194">
        <v>0</v>
      </c>
      <c r="M591" s="196">
        <v>0</v>
      </c>
      <c r="N591" s="196">
        <v>924</v>
      </c>
      <c r="O591" s="196">
        <v>1865304</v>
      </c>
      <c r="P591" s="194">
        <v>0</v>
      </c>
      <c r="Q591" s="196">
        <v>0</v>
      </c>
      <c r="R591" s="197">
        <v>0</v>
      </c>
      <c r="S591" s="196">
        <v>0</v>
      </c>
      <c r="T591" s="197">
        <v>0</v>
      </c>
      <c r="U591" s="288">
        <v>0</v>
      </c>
      <c r="V591" s="282">
        <f>C591-'часть 1'!L602</f>
        <v>1138285</v>
      </c>
      <c r="W591" s="282"/>
      <c r="X591" s="28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296"/>
    </row>
    <row r="592" spans="1:49" s="59" customFormat="1">
      <c r="A592" s="198">
        <v>31</v>
      </c>
      <c r="B592" s="195" t="s">
        <v>381</v>
      </c>
      <c r="C592" s="196">
        <v>1870910</v>
      </c>
      <c r="D592" s="196"/>
      <c r="E592" s="196"/>
      <c r="F592" s="196"/>
      <c r="G592" s="196"/>
      <c r="H592" s="196"/>
      <c r="I592" s="196"/>
      <c r="J592" s="196"/>
      <c r="K592" s="196">
        <v>0</v>
      </c>
      <c r="L592" s="194">
        <v>0</v>
      </c>
      <c r="M592" s="196">
        <v>0</v>
      </c>
      <c r="N592" s="196">
        <v>946.3</v>
      </c>
      <c r="O592" s="196">
        <v>1870910</v>
      </c>
      <c r="P592" s="194">
        <v>0</v>
      </c>
      <c r="Q592" s="196">
        <v>0</v>
      </c>
      <c r="R592" s="197">
        <v>0</v>
      </c>
      <c r="S592" s="196">
        <v>0</v>
      </c>
      <c r="T592" s="197">
        <v>0</v>
      </c>
      <c r="U592" s="288">
        <v>0</v>
      </c>
      <c r="V592" s="282">
        <f>C592-'часть 1'!L603</f>
        <v>1332789</v>
      </c>
      <c r="W592" s="282"/>
      <c r="X592" s="28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296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s="59" customFormat="1">
      <c r="A593" s="198">
        <v>32</v>
      </c>
      <c r="B593" s="195" t="s">
        <v>382</v>
      </c>
      <c r="C593" s="196">
        <v>1533757</v>
      </c>
      <c r="D593" s="196"/>
      <c r="E593" s="196"/>
      <c r="F593" s="196"/>
      <c r="G593" s="196"/>
      <c r="H593" s="196"/>
      <c r="I593" s="196"/>
      <c r="J593" s="196"/>
      <c r="K593" s="196">
        <v>0</v>
      </c>
      <c r="L593" s="194">
        <v>0</v>
      </c>
      <c r="M593" s="196">
        <v>0</v>
      </c>
      <c r="N593" s="196">
        <v>772.9</v>
      </c>
      <c r="O593" s="196">
        <v>1533757</v>
      </c>
      <c r="P593" s="194">
        <v>0</v>
      </c>
      <c r="Q593" s="196">
        <v>0</v>
      </c>
      <c r="R593" s="197">
        <v>0</v>
      </c>
      <c r="S593" s="196">
        <v>0</v>
      </c>
      <c r="T593" s="197">
        <v>0</v>
      </c>
      <c r="U593" s="288">
        <v>0</v>
      </c>
      <c r="V593" s="282">
        <f>C593-'часть 1'!L604</f>
        <v>-223095</v>
      </c>
      <c r="W593" s="282"/>
      <c r="X593" s="28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296"/>
    </row>
    <row r="594" spans="1:49">
      <c r="A594" s="194">
        <v>33</v>
      </c>
      <c r="B594" s="195" t="s">
        <v>371</v>
      </c>
      <c r="C594" s="196">
        <v>939858</v>
      </c>
      <c r="D594" s="196"/>
      <c r="E594" s="196"/>
      <c r="F594" s="196"/>
      <c r="G594" s="196"/>
      <c r="H594" s="196"/>
      <c r="I594" s="196"/>
      <c r="J594" s="196"/>
      <c r="K594" s="196">
        <v>939858</v>
      </c>
      <c r="L594" s="194">
        <v>0</v>
      </c>
      <c r="M594" s="196">
        <v>0</v>
      </c>
      <c r="N594" s="196">
        <v>0</v>
      </c>
      <c r="O594" s="196">
        <v>0</v>
      </c>
      <c r="P594" s="194">
        <v>0</v>
      </c>
      <c r="Q594" s="196">
        <v>0</v>
      </c>
      <c r="R594" s="200">
        <v>0</v>
      </c>
      <c r="S594" s="196">
        <v>0</v>
      </c>
      <c r="T594" s="197">
        <v>0</v>
      </c>
      <c r="U594" s="288">
        <v>0</v>
      </c>
      <c r="V594" s="282">
        <f>C594-'часть 1'!L605</f>
        <v>263459.71999999997</v>
      </c>
      <c r="W594" s="282"/>
      <c r="X594" s="28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296"/>
      <c r="AJ594" s="89"/>
      <c r="AK594" s="89"/>
      <c r="AL594" s="89"/>
      <c r="AM594" s="89"/>
      <c r="AN594" s="89"/>
      <c r="AO594" s="89"/>
      <c r="AP594" s="89"/>
      <c r="AQ594" s="89"/>
      <c r="AR594" s="89"/>
      <c r="AS594" s="89"/>
      <c r="AT594" s="89"/>
      <c r="AU594" s="89"/>
      <c r="AV594" s="89"/>
      <c r="AW594" s="89"/>
    </row>
    <row r="595" spans="1:49" s="59" customFormat="1">
      <c r="A595" s="198">
        <v>34</v>
      </c>
      <c r="B595" s="195" t="s">
        <v>377</v>
      </c>
      <c r="C595" s="196">
        <v>2368392</v>
      </c>
      <c r="D595" s="196"/>
      <c r="E595" s="196"/>
      <c r="F595" s="196"/>
      <c r="G595" s="196"/>
      <c r="H595" s="196"/>
      <c r="I595" s="196"/>
      <c r="J595" s="196"/>
      <c r="K595" s="196">
        <v>0</v>
      </c>
      <c r="L595" s="194">
        <v>0</v>
      </c>
      <c r="M595" s="196">
        <v>0</v>
      </c>
      <c r="N595" s="196">
        <v>1200</v>
      </c>
      <c r="O595" s="199">
        <v>2368392</v>
      </c>
      <c r="P595" s="194">
        <v>0</v>
      </c>
      <c r="Q595" s="196">
        <v>0</v>
      </c>
      <c r="R595" s="197">
        <v>0</v>
      </c>
      <c r="S595" s="196">
        <v>0</v>
      </c>
      <c r="T595" s="197">
        <v>0</v>
      </c>
      <c r="U595" s="288">
        <v>0</v>
      </c>
      <c r="V595" s="282">
        <f>C595-'часть 1'!L606</f>
        <v>1601853</v>
      </c>
      <c r="W595" s="282"/>
      <c r="X595" s="28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296"/>
    </row>
    <row r="596" spans="1:49" s="89" customFormat="1">
      <c r="A596" s="198">
        <v>35</v>
      </c>
      <c r="B596" s="195" t="s">
        <v>378</v>
      </c>
      <c r="C596" s="196">
        <v>2433930.91</v>
      </c>
      <c r="D596" s="196"/>
      <c r="E596" s="196"/>
      <c r="F596" s="196"/>
      <c r="G596" s="196"/>
      <c r="H596" s="196"/>
      <c r="I596" s="196"/>
      <c r="J596" s="196"/>
      <c r="K596" s="196">
        <v>1478520.9100000001</v>
      </c>
      <c r="L596" s="194">
        <v>0</v>
      </c>
      <c r="M596" s="196">
        <v>0</v>
      </c>
      <c r="N596" s="196">
        <v>526.79999999999995</v>
      </c>
      <c r="O596" s="196">
        <v>955410</v>
      </c>
      <c r="P596" s="194">
        <v>0</v>
      </c>
      <c r="Q596" s="196">
        <v>0</v>
      </c>
      <c r="R596" s="200">
        <v>0</v>
      </c>
      <c r="S596" s="196">
        <v>0</v>
      </c>
      <c r="T596" s="197">
        <v>0</v>
      </c>
      <c r="U596" s="288">
        <v>0</v>
      </c>
      <c r="V596" s="282">
        <f>C596-'часть 1'!L607</f>
        <v>1247816.9100000001</v>
      </c>
      <c r="W596" s="282"/>
      <c r="X596" s="28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296"/>
      <c r="AJ596" s="59"/>
      <c r="AK596" s="59"/>
      <c r="AL596" s="59"/>
      <c r="AM596" s="59"/>
      <c r="AN596" s="59"/>
      <c r="AO596" s="59"/>
      <c r="AP596" s="59"/>
      <c r="AQ596" s="59"/>
      <c r="AR596" s="59"/>
      <c r="AS596" s="59"/>
      <c r="AT596" s="59"/>
      <c r="AU596" s="59"/>
      <c r="AV596" s="59"/>
      <c r="AW596" s="59"/>
    </row>
    <row r="597" spans="1:49" s="59" customFormat="1">
      <c r="A597" s="198">
        <v>36</v>
      </c>
      <c r="B597" s="195" t="s">
        <v>383</v>
      </c>
      <c r="C597" s="196">
        <v>1721850</v>
      </c>
      <c r="D597" s="196"/>
      <c r="E597" s="196"/>
      <c r="F597" s="196"/>
      <c r="G597" s="196"/>
      <c r="H597" s="196"/>
      <c r="I597" s="196"/>
      <c r="J597" s="196"/>
      <c r="K597" s="196">
        <v>0</v>
      </c>
      <c r="L597" s="194">
        <v>0</v>
      </c>
      <c r="M597" s="196">
        <v>0</v>
      </c>
      <c r="N597" s="196">
        <v>868.68</v>
      </c>
      <c r="O597" s="196">
        <v>1721850</v>
      </c>
      <c r="P597" s="194">
        <v>0</v>
      </c>
      <c r="Q597" s="196">
        <v>0</v>
      </c>
      <c r="R597" s="197">
        <v>0</v>
      </c>
      <c r="S597" s="196">
        <v>0</v>
      </c>
      <c r="T597" s="197">
        <v>0</v>
      </c>
      <c r="U597" s="288">
        <v>0</v>
      </c>
      <c r="V597" s="282">
        <f>C597-'часть 1'!L608</f>
        <v>1543577.41</v>
      </c>
      <c r="W597" s="282"/>
      <c r="X597" s="28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296"/>
    </row>
    <row r="598" spans="1:49" s="59" customFormat="1">
      <c r="A598" s="198">
        <v>37</v>
      </c>
      <c r="B598" s="195" t="s">
        <v>368</v>
      </c>
      <c r="C598" s="196">
        <v>814117</v>
      </c>
      <c r="D598" s="196"/>
      <c r="E598" s="196"/>
      <c r="F598" s="196"/>
      <c r="G598" s="196"/>
      <c r="H598" s="196"/>
      <c r="I598" s="196"/>
      <c r="J598" s="196"/>
      <c r="K598" s="196">
        <v>814117</v>
      </c>
      <c r="L598" s="194">
        <v>0</v>
      </c>
      <c r="M598" s="196">
        <v>0</v>
      </c>
      <c r="N598" s="196">
        <v>0</v>
      </c>
      <c r="O598" s="196">
        <v>0</v>
      </c>
      <c r="P598" s="194">
        <v>0</v>
      </c>
      <c r="Q598" s="196">
        <v>0</v>
      </c>
      <c r="R598" s="197">
        <v>0</v>
      </c>
      <c r="S598" s="196">
        <v>0</v>
      </c>
      <c r="T598" s="197">
        <v>0</v>
      </c>
      <c r="U598" s="288">
        <v>0</v>
      </c>
      <c r="V598" s="282">
        <f>C598-'часть 1'!L609</f>
        <v>-272999</v>
      </c>
      <c r="W598" s="282"/>
      <c r="X598" s="28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296"/>
    </row>
    <row r="599" spans="1:49" s="59" customFormat="1">
      <c r="A599" s="198">
        <v>38</v>
      </c>
      <c r="B599" s="195" t="s">
        <v>375</v>
      </c>
      <c r="C599" s="196">
        <v>3045081</v>
      </c>
      <c r="D599" s="196"/>
      <c r="E599" s="196"/>
      <c r="F599" s="196"/>
      <c r="G599" s="196"/>
      <c r="H599" s="196"/>
      <c r="I599" s="196"/>
      <c r="J599" s="196"/>
      <c r="K599" s="196">
        <v>0</v>
      </c>
      <c r="L599" s="194">
        <v>0</v>
      </c>
      <c r="M599" s="196">
        <v>0</v>
      </c>
      <c r="N599" s="196">
        <v>0</v>
      </c>
      <c r="O599" s="196">
        <v>0</v>
      </c>
      <c r="P599" s="194">
        <v>0</v>
      </c>
      <c r="Q599" s="196">
        <v>0</v>
      </c>
      <c r="R599" s="196">
        <v>2108</v>
      </c>
      <c r="S599" s="196">
        <v>3045081</v>
      </c>
      <c r="T599" s="197">
        <v>0</v>
      </c>
      <c r="U599" s="288">
        <v>0</v>
      </c>
      <c r="V599" s="282">
        <f>C599-'часть 1'!L610</f>
        <v>1633718</v>
      </c>
      <c r="W599" s="282"/>
      <c r="X599" s="28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296"/>
    </row>
    <row r="600" spans="1:49" s="59" customFormat="1">
      <c r="A600" s="198">
        <v>39</v>
      </c>
      <c r="B600" s="195" t="s">
        <v>380</v>
      </c>
      <c r="C600" s="196">
        <v>2244806</v>
      </c>
      <c r="D600" s="196"/>
      <c r="E600" s="196"/>
      <c r="F600" s="196"/>
      <c r="G600" s="196"/>
      <c r="H600" s="196"/>
      <c r="I600" s="196"/>
      <c r="J600" s="196"/>
      <c r="K600" s="196">
        <v>0</v>
      </c>
      <c r="L600" s="194">
        <v>0</v>
      </c>
      <c r="M600" s="196">
        <v>0</v>
      </c>
      <c r="N600" s="199">
        <v>1120</v>
      </c>
      <c r="O600" s="196">
        <v>2244806</v>
      </c>
      <c r="P600" s="194">
        <v>0</v>
      </c>
      <c r="Q600" s="196">
        <v>0</v>
      </c>
      <c r="R600" s="200">
        <v>0</v>
      </c>
      <c r="S600" s="196">
        <v>0</v>
      </c>
      <c r="T600" s="197">
        <v>0</v>
      </c>
      <c r="U600" s="288">
        <v>0</v>
      </c>
      <c r="V600" s="282">
        <f>C600-'часть 1'!L611</f>
        <v>1108140</v>
      </c>
      <c r="W600" s="282"/>
      <c r="X600" s="28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296"/>
    </row>
    <row r="601" spans="1:49" s="59" customFormat="1">
      <c r="A601" s="198">
        <v>40</v>
      </c>
      <c r="B601" s="195" t="s">
        <v>374</v>
      </c>
      <c r="C601" s="196">
        <v>1361273</v>
      </c>
      <c r="D601" s="196"/>
      <c r="E601" s="196"/>
      <c r="F601" s="196"/>
      <c r="G601" s="196"/>
      <c r="H601" s="196"/>
      <c r="I601" s="196"/>
      <c r="J601" s="196"/>
      <c r="K601" s="196">
        <v>347471</v>
      </c>
      <c r="L601" s="194">
        <v>0</v>
      </c>
      <c r="M601" s="196">
        <v>0</v>
      </c>
      <c r="N601" s="196">
        <v>0</v>
      </c>
      <c r="O601" s="196">
        <v>0</v>
      </c>
      <c r="P601" s="194">
        <v>0</v>
      </c>
      <c r="Q601" s="196">
        <v>0</v>
      </c>
      <c r="R601" s="196">
        <v>1105</v>
      </c>
      <c r="S601" s="196">
        <v>1013802</v>
      </c>
      <c r="T601" s="197">
        <v>0</v>
      </c>
      <c r="U601" s="288">
        <v>0</v>
      </c>
      <c r="V601" s="282">
        <f>C601-'часть 1'!L612</f>
        <v>-24401</v>
      </c>
      <c r="W601" s="282"/>
      <c r="X601" s="28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296"/>
    </row>
    <row r="602" spans="1:49" s="59" customFormat="1">
      <c r="A602" s="198">
        <v>41</v>
      </c>
      <c r="B602" s="195" t="s">
        <v>376</v>
      </c>
      <c r="C602" s="196">
        <v>2421596</v>
      </c>
      <c r="D602" s="196"/>
      <c r="E602" s="196"/>
      <c r="F602" s="196"/>
      <c r="G602" s="196"/>
      <c r="H602" s="196"/>
      <c r="I602" s="196"/>
      <c r="J602" s="196"/>
      <c r="K602" s="196">
        <v>0</v>
      </c>
      <c r="L602" s="194">
        <v>0</v>
      </c>
      <c r="M602" s="196">
        <v>0</v>
      </c>
      <c r="N602" s="196">
        <v>1230.72</v>
      </c>
      <c r="O602" s="199">
        <v>2421596</v>
      </c>
      <c r="P602" s="194">
        <v>0</v>
      </c>
      <c r="Q602" s="196">
        <v>0</v>
      </c>
      <c r="R602" s="197">
        <v>0</v>
      </c>
      <c r="S602" s="196">
        <v>0</v>
      </c>
      <c r="T602" s="197">
        <v>0</v>
      </c>
      <c r="U602" s="288">
        <v>0</v>
      </c>
      <c r="V602" s="282">
        <f>C602-'часть 1'!L613</f>
        <v>-2198394</v>
      </c>
      <c r="W602" s="282"/>
      <c r="X602" s="28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296"/>
    </row>
    <row r="603" spans="1:49" s="59" customFormat="1">
      <c r="A603" s="198">
        <v>42</v>
      </c>
      <c r="B603" s="195" t="s">
        <v>379</v>
      </c>
      <c r="C603" s="196">
        <v>2056315</v>
      </c>
      <c r="D603" s="196"/>
      <c r="E603" s="196"/>
      <c r="F603" s="196"/>
      <c r="G603" s="196"/>
      <c r="H603" s="196"/>
      <c r="I603" s="196"/>
      <c r="J603" s="196"/>
      <c r="K603" s="196">
        <v>0</v>
      </c>
      <c r="L603" s="194">
        <v>0</v>
      </c>
      <c r="M603" s="196">
        <v>0</v>
      </c>
      <c r="N603" s="196">
        <v>978</v>
      </c>
      <c r="O603" s="196">
        <v>2056315</v>
      </c>
      <c r="P603" s="194">
        <v>0</v>
      </c>
      <c r="Q603" s="196">
        <v>0</v>
      </c>
      <c r="R603" s="200">
        <v>0</v>
      </c>
      <c r="S603" s="196">
        <v>0</v>
      </c>
      <c r="T603" s="197">
        <v>0</v>
      </c>
      <c r="U603" s="288">
        <v>0</v>
      </c>
      <c r="V603" s="282">
        <f>C603-'часть 1'!L614</f>
        <v>191011</v>
      </c>
      <c r="W603" s="282"/>
      <c r="X603" s="28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296"/>
    </row>
    <row r="604" spans="1:49" s="59" customFormat="1">
      <c r="A604" s="198">
        <v>43</v>
      </c>
      <c r="B604" s="195" t="s">
        <v>372</v>
      </c>
      <c r="C604" s="196">
        <v>9473593</v>
      </c>
      <c r="D604" s="196"/>
      <c r="E604" s="196"/>
      <c r="F604" s="196"/>
      <c r="G604" s="196"/>
      <c r="H604" s="196"/>
      <c r="I604" s="196"/>
      <c r="J604" s="196"/>
      <c r="K604" s="196">
        <v>0</v>
      </c>
      <c r="L604" s="194">
        <v>5</v>
      </c>
      <c r="M604" s="196">
        <v>9473593</v>
      </c>
      <c r="N604" s="196">
        <v>0</v>
      </c>
      <c r="O604" s="196">
        <v>0</v>
      </c>
      <c r="P604" s="194">
        <v>0</v>
      </c>
      <c r="Q604" s="196">
        <v>0</v>
      </c>
      <c r="R604" s="197">
        <v>0</v>
      </c>
      <c r="S604" s="196">
        <v>0</v>
      </c>
      <c r="T604" s="197">
        <v>0</v>
      </c>
      <c r="U604" s="288">
        <v>0</v>
      </c>
      <c r="V604" s="282">
        <f>C604-'часть 1'!L615</f>
        <v>7602683</v>
      </c>
      <c r="W604" s="282"/>
      <c r="X604" s="28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296"/>
    </row>
    <row r="605" spans="1:49" s="59" customFormat="1">
      <c r="A605" s="198">
        <v>44</v>
      </c>
      <c r="B605" s="195" t="s">
        <v>344</v>
      </c>
      <c r="C605" s="196">
        <v>4441828</v>
      </c>
      <c r="D605" s="196"/>
      <c r="E605" s="196"/>
      <c r="F605" s="196"/>
      <c r="G605" s="196"/>
      <c r="H605" s="196"/>
      <c r="I605" s="196"/>
      <c r="J605" s="196"/>
      <c r="K605" s="196">
        <v>0</v>
      </c>
      <c r="L605" s="194">
        <v>0</v>
      </c>
      <c r="M605" s="196">
        <v>0</v>
      </c>
      <c r="N605" s="196">
        <v>0</v>
      </c>
      <c r="O605" s="196">
        <v>0</v>
      </c>
      <c r="P605" s="194">
        <v>0</v>
      </c>
      <c r="Q605" s="196">
        <v>0</v>
      </c>
      <c r="R605" s="196">
        <v>3081.4</v>
      </c>
      <c r="S605" s="196">
        <v>4441828</v>
      </c>
      <c r="T605" s="197">
        <v>0</v>
      </c>
      <c r="U605" s="288">
        <v>0</v>
      </c>
      <c r="V605" s="282">
        <f>C605-'часть 1'!L616</f>
        <v>2908071</v>
      </c>
      <c r="W605" s="282"/>
      <c r="X605" s="28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296"/>
    </row>
    <row r="606" spans="1:49" s="59" customFormat="1">
      <c r="A606" s="198">
        <v>45</v>
      </c>
      <c r="B606" s="195" t="s">
        <v>348</v>
      </c>
      <c r="C606" s="196">
        <v>3051089</v>
      </c>
      <c r="D606" s="196"/>
      <c r="E606" s="196"/>
      <c r="F606" s="196"/>
      <c r="G606" s="196"/>
      <c r="H606" s="196"/>
      <c r="I606" s="196"/>
      <c r="J606" s="196"/>
      <c r="K606" s="196">
        <v>0</v>
      </c>
      <c r="L606" s="194">
        <v>0</v>
      </c>
      <c r="M606" s="196">
        <v>0</v>
      </c>
      <c r="N606" s="196">
        <v>1549</v>
      </c>
      <c r="O606" s="196">
        <v>3051089</v>
      </c>
      <c r="P606" s="194">
        <v>0</v>
      </c>
      <c r="Q606" s="196">
        <v>0</v>
      </c>
      <c r="R606" s="197">
        <v>0</v>
      </c>
      <c r="S606" s="196">
        <v>0</v>
      </c>
      <c r="T606" s="197">
        <v>0</v>
      </c>
      <c r="U606" s="288">
        <v>0</v>
      </c>
      <c r="V606" s="282">
        <f>C606-'часть 1'!L617</f>
        <v>2111231</v>
      </c>
      <c r="W606" s="282"/>
      <c r="X606" s="28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296"/>
    </row>
    <row r="607" spans="1:49" s="59" customFormat="1">
      <c r="A607" s="198">
        <v>46</v>
      </c>
      <c r="B607" s="195" t="s">
        <v>386</v>
      </c>
      <c r="C607" s="196">
        <v>869749</v>
      </c>
      <c r="D607" s="196"/>
      <c r="E607" s="196"/>
      <c r="F607" s="196"/>
      <c r="G607" s="196"/>
      <c r="H607" s="196"/>
      <c r="I607" s="196"/>
      <c r="J607" s="196"/>
      <c r="K607" s="196">
        <v>0</v>
      </c>
      <c r="L607" s="194">
        <v>0</v>
      </c>
      <c r="M607" s="196">
        <v>0</v>
      </c>
      <c r="N607" s="196">
        <v>431.5</v>
      </c>
      <c r="O607" s="196">
        <f>C607</f>
        <v>869749</v>
      </c>
      <c r="P607" s="194">
        <v>0</v>
      </c>
      <c r="Q607" s="196">
        <v>0</v>
      </c>
      <c r="R607" s="197">
        <v>0</v>
      </c>
      <c r="S607" s="196">
        <v>0</v>
      </c>
      <c r="T607" s="197">
        <v>0</v>
      </c>
      <c r="U607" s="288">
        <v>0</v>
      </c>
      <c r="V607" s="282">
        <f>C607-'часть 1'!L618</f>
        <v>-1498643</v>
      </c>
      <c r="W607" s="282"/>
      <c r="X607" s="28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296"/>
    </row>
    <row r="608" spans="1:49" s="59" customFormat="1">
      <c r="A608" s="198">
        <v>47</v>
      </c>
      <c r="B608" s="195" t="s">
        <v>461</v>
      </c>
      <c r="C608" s="196">
        <v>869880</v>
      </c>
      <c r="D608" s="196"/>
      <c r="E608" s="196"/>
      <c r="F608" s="196"/>
      <c r="G608" s="196"/>
      <c r="H608" s="196"/>
      <c r="I608" s="196"/>
      <c r="J608" s="196"/>
      <c r="K608" s="196">
        <v>0</v>
      </c>
      <c r="L608" s="194">
        <v>0</v>
      </c>
      <c r="M608" s="196">
        <v>0</v>
      </c>
      <c r="N608" s="196">
        <v>431.5</v>
      </c>
      <c r="O608" s="199">
        <f>C608</f>
        <v>869880</v>
      </c>
      <c r="P608" s="194">
        <v>0</v>
      </c>
      <c r="Q608" s="196">
        <v>0</v>
      </c>
      <c r="R608" s="200">
        <v>0</v>
      </c>
      <c r="S608" s="196">
        <v>0</v>
      </c>
      <c r="T608" s="197">
        <v>0</v>
      </c>
      <c r="U608" s="288">
        <v>0</v>
      </c>
      <c r="V608" s="282">
        <f>C608-'часть 1'!L619</f>
        <v>-1564050.9100000001</v>
      </c>
      <c r="W608" s="282"/>
      <c r="X608" s="28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296"/>
    </row>
    <row r="609" spans="1:49" s="59" customFormat="1" ht="30">
      <c r="A609" s="198">
        <v>48</v>
      </c>
      <c r="B609" s="195" t="s">
        <v>462</v>
      </c>
      <c r="C609" s="196">
        <v>172302</v>
      </c>
      <c r="D609" s="196"/>
      <c r="E609" s="196"/>
      <c r="F609" s="196"/>
      <c r="G609" s="196"/>
      <c r="H609" s="196"/>
      <c r="I609" s="196"/>
      <c r="J609" s="196"/>
      <c r="K609" s="196">
        <v>172302</v>
      </c>
      <c r="L609" s="194">
        <v>0</v>
      </c>
      <c r="M609" s="196">
        <v>0</v>
      </c>
      <c r="N609" s="196">
        <v>0</v>
      </c>
      <c r="O609" s="196">
        <v>0</v>
      </c>
      <c r="P609" s="194">
        <v>0</v>
      </c>
      <c r="Q609" s="196">
        <v>0</v>
      </c>
      <c r="R609" s="197">
        <v>0</v>
      </c>
      <c r="S609" s="196">
        <v>0</v>
      </c>
      <c r="T609" s="197">
        <v>0</v>
      </c>
      <c r="U609" s="288">
        <v>0</v>
      </c>
      <c r="V609" s="282">
        <f>C609-'часть 1'!L620</f>
        <v>-1549548</v>
      </c>
      <c r="W609" s="282"/>
      <c r="X609" s="28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296"/>
      <c r="AJ609" s="89"/>
      <c r="AK609" s="89"/>
      <c r="AL609" s="89"/>
      <c r="AM609" s="89"/>
      <c r="AN609" s="89"/>
      <c r="AO609" s="89"/>
      <c r="AP609" s="89"/>
      <c r="AQ609" s="89"/>
      <c r="AR609" s="89"/>
      <c r="AS609" s="89"/>
      <c r="AT609" s="89"/>
      <c r="AU609" s="89"/>
      <c r="AV609" s="89"/>
      <c r="AW609" s="89"/>
    </row>
    <row r="610" spans="1:49" s="59" customFormat="1">
      <c r="A610" s="198">
        <v>49</v>
      </c>
      <c r="B610" s="195" t="s">
        <v>389</v>
      </c>
      <c r="C610" s="196">
        <v>3706393</v>
      </c>
      <c r="D610" s="196"/>
      <c r="E610" s="196"/>
      <c r="F610" s="196"/>
      <c r="G610" s="196"/>
      <c r="H610" s="196"/>
      <c r="I610" s="196"/>
      <c r="J610" s="196"/>
      <c r="K610" s="196" t="e">
        <f>#REF!</f>
        <v>#REF!</v>
      </c>
      <c r="L610" s="194">
        <v>0</v>
      </c>
      <c r="M610" s="196">
        <v>0</v>
      </c>
      <c r="N610" s="196">
        <v>0</v>
      </c>
      <c r="O610" s="196">
        <v>0</v>
      </c>
      <c r="P610" s="194">
        <v>0</v>
      </c>
      <c r="Q610" s="196">
        <v>0</v>
      </c>
      <c r="R610" s="197">
        <v>0</v>
      </c>
      <c r="S610" s="196">
        <v>0</v>
      </c>
      <c r="T610" s="197">
        <v>0</v>
      </c>
      <c r="U610" s="288">
        <v>0</v>
      </c>
      <c r="V610" s="282">
        <f>C610-'часть 1'!L621</f>
        <v>2892276</v>
      </c>
      <c r="W610" s="282"/>
      <c r="X610" s="28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296"/>
    </row>
    <row r="611" spans="1:49" s="59" customFormat="1">
      <c r="A611" s="198">
        <v>50</v>
      </c>
      <c r="B611" s="195" t="s">
        <v>317</v>
      </c>
      <c r="C611" s="196">
        <v>698585</v>
      </c>
      <c r="D611" s="196"/>
      <c r="E611" s="196"/>
      <c r="F611" s="196"/>
      <c r="G611" s="196"/>
      <c r="H611" s="196"/>
      <c r="I611" s="196"/>
      <c r="J611" s="196"/>
      <c r="K611" s="196">
        <v>698585</v>
      </c>
      <c r="L611" s="194">
        <v>0</v>
      </c>
      <c r="M611" s="196">
        <v>0</v>
      </c>
      <c r="N611" s="199">
        <v>0</v>
      </c>
      <c r="O611" s="196">
        <v>0</v>
      </c>
      <c r="P611" s="194">
        <v>0</v>
      </c>
      <c r="Q611" s="196">
        <v>0</v>
      </c>
      <c r="R611" s="200">
        <v>0</v>
      </c>
      <c r="S611" s="196">
        <v>0</v>
      </c>
      <c r="T611" s="197">
        <v>0</v>
      </c>
      <c r="U611" s="288">
        <v>0</v>
      </c>
      <c r="V611" s="282">
        <f>C611-'часть 1'!L622</f>
        <v>-2346496</v>
      </c>
      <c r="W611" s="282"/>
      <c r="X611" s="28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296"/>
    </row>
    <row r="612" spans="1:49" s="59" customFormat="1">
      <c r="A612" s="198">
        <v>51</v>
      </c>
      <c r="B612" s="195" t="s">
        <v>384</v>
      </c>
      <c r="C612" s="196">
        <v>951740</v>
      </c>
      <c r="D612" s="196"/>
      <c r="E612" s="196"/>
      <c r="F612" s="196"/>
      <c r="G612" s="196"/>
      <c r="H612" s="196"/>
      <c r="I612" s="196"/>
      <c r="J612" s="196"/>
      <c r="K612" s="196">
        <v>0</v>
      </c>
      <c r="L612" s="194">
        <v>0</v>
      </c>
      <c r="M612" s="196">
        <v>0</v>
      </c>
      <c r="N612" s="196">
        <v>471.1</v>
      </c>
      <c r="O612" s="196">
        <v>951740</v>
      </c>
      <c r="P612" s="194">
        <v>0</v>
      </c>
      <c r="Q612" s="196">
        <v>0</v>
      </c>
      <c r="R612" s="197">
        <v>0</v>
      </c>
      <c r="S612" s="196">
        <v>0</v>
      </c>
      <c r="T612" s="197">
        <v>0</v>
      </c>
      <c r="U612" s="288">
        <v>0</v>
      </c>
      <c r="V612" s="282">
        <f>C612-'часть 1'!L623</f>
        <v>-1293066</v>
      </c>
      <c r="W612" s="282"/>
      <c r="X612" s="28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296"/>
    </row>
    <row r="613" spans="1:49">
      <c r="A613" s="198">
        <v>52</v>
      </c>
      <c r="B613" s="195" t="s">
        <v>247</v>
      </c>
      <c r="C613" s="196">
        <v>2056139</v>
      </c>
      <c r="D613" s="196"/>
      <c r="E613" s="196"/>
      <c r="F613" s="196"/>
      <c r="G613" s="196"/>
      <c r="H613" s="196"/>
      <c r="I613" s="196"/>
      <c r="J613" s="196"/>
      <c r="K613" s="196">
        <v>0</v>
      </c>
      <c r="L613" s="194">
        <v>0</v>
      </c>
      <c r="M613" s="196">
        <v>0</v>
      </c>
      <c r="N613" s="196">
        <v>1020</v>
      </c>
      <c r="O613" s="196">
        <v>2056139</v>
      </c>
      <c r="P613" s="194">
        <v>0</v>
      </c>
      <c r="Q613" s="196">
        <v>0</v>
      </c>
      <c r="R613" s="200">
        <v>0</v>
      </c>
      <c r="S613" s="196">
        <v>0</v>
      </c>
      <c r="T613" s="197">
        <v>0</v>
      </c>
      <c r="U613" s="288">
        <v>0</v>
      </c>
      <c r="V613" s="282">
        <f>C613-'часть 1'!L624</f>
        <v>694866</v>
      </c>
      <c r="W613" s="282"/>
      <c r="X613" s="28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296"/>
    </row>
    <row r="614" spans="1:49">
      <c r="A614" s="198">
        <v>53</v>
      </c>
      <c r="B614" s="195" t="s">
        <v>274</v>
      </c>
      <c r="C614" s="196">
        <v>1321356</v>
      </c>
      <c r="D614" s="196"/>
      <c r="E614" s="196"/>
      <c r="F614" s="196"/>
      <c r="G614" s="196"/>
      <c r="H614" s="196"/>
      <c r="I614" s="196"/>
      <c r="J614" s="196"/>
      <c r="K614" s="196">
        <v>0</v>
      </c>
      <c r="L614" s="194">
        <v>0</v>
      </c>
      <c r="M614" s="196">
        <v>0</v>
      </c>
      <c r="N614" s="196">
        <v>662</v>
      </c>
      <c r="O614" s="199">
        <v>1321356</v>
      </c>
      <c r="P614" s="194">
        <v>0</v>
      </c>
      <c r="Q614" s="196">
        <v>0</v>
      </c>
      <c r="R614" s="197">
        <v>0</v>
      </c>
      <c r="S614" s="196">
        <v>0</v>
      </c>
      <c r="T614" s="197">
        <v>0</v>
      </c>
      <c r="U614" s="288">
        <v>0</v>
      </c>
      <c r="V614" s="282">
        <f>C614-'часть 1'!L625</f>
        <v>-1100240</v>
      </c>
      <c r="W614" s="282"/>
      <c r="X614" s="28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296"/>
    </row>
    <row r="615" spans="1:49" ht="30">
      <c r="A615" s="198">
        <v>54</v>
      </c>
      <c r="B615" s="195" t="s">
        <v>338</v>
      </c>
      <c r="C615" s="196">
        <v>1679278</v>
      </c>
      <c r="D615" s="196"/>
      <c r="E615" s="196"/>
      <c r="F615" s="196"/>
      <c r="G615" s="196"/>
      <c r="H615" s="196"/>
      <c r="I615" s="196"/>
      <c r="J615" s="196"/>
      <c r="K615" s="196">
        <v>355519</v>
      </c>
      <c r="L615" s="194">
        <v>0</v>
      </c>
      <c r="M615" s="196">
        <v>0</v>
      </c>
      <c r="N615" s="196">
        <v>663.3</v>
      </c>
      <c r="O615" s="196">
        <v>1323759</v>
      </c>
      <c r="P615" s="194">
        <v>0</v>
      </c>
      <c r="Q615" s="196">
        <v>0</v>
      </c>
      <c r="R615" s="197">
        <v>0</v>
      </c>
      <c r="S615" s="196">
        <v>0</v>
      </c>
      <c r="T615" s="197">
        <v>0</v>
      </c>
      <c r="U615" s="288">
        <v>0</v>
      </c>
      <c r="V615" s="282">
        <f>C615-'часть 1'!L626</f>
        <v>-377037</v>
      </c>
      <c r="W615" s="282"/>
      <c r="X615" s="282"/>
      <c r="Y615" s="12"/>
      <c r="Z615" s="12"/>
      <c r="AA615" s="12"/>
      <c r="AB615" s="12"/>
      <c r="AC615" s="12"/>
      <c r="AD615" s="12"/>
      <c r="AE615" s="12"/>
      <c r="AF615" s="12"/>
      <c r="AG615" s="4"/>
      <c r="AH615" s="12"/>
      <c r="AI615" s="296"/>
    </row>
    <row r="616" spans="1:49" s="11" customFormat="1">
      <c r="A616" s="198">
        <v>55</v>
      </c>
      <c r="B616" s="195" t="s">
        <v>272</v>
      </c>
      <c r="C616" s="196">
        <v>1100896</v>
      </c>
      <c r="D616" s="196"/>
      <c r="E616" s="196"/>
      <c r="F616" s="196"/>
      <c r="G616" s="196"/>
      <c r="H616" s="196"/>
      <c r="I616" s="196"/>
      <c r="J616" s="196"/>
      <c r="K616" s="196">
        <v>0</v>
      </c>
      <c r="L616" s="194">
        <v>0</v>
      </c>
      <c r="M616" s="196">
        <v>0</v>
      </c>
      <c r="N616" s="196">
        <v>549</v>
      </c>
      <c r="O616" s="199">
        <v>1100896</v>
      </c>
      <c r="P616" s="194">
        <v>0</v>
      </c>
      <c r="Q616" s="196">
        <v>0</v>
      </c>
      <c r="R616" s="197">
        <v>0</v>
      </c>
      <c r="S616" s="196">
        <v>0</v>
      </c>
      <c r="T616" s="197">
        <v>0</v>
      </c>
      <c r="U616" s="288">
        <v>0</v>
      </c>
      <c r="V616" s="282">
        <f>C616-'часть 1'!L627</f>
        <v>-8372697</v>
      </c>
      <c r="W616" s="282"/>
      <c r="X616" s="28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296"/>
    </row>
    <row r="617" spans="1:49" ht="30">
      <c r="A617" s="198">
        <v>56</v>
      </c>
      <c r="B617" s="195" t="s">
        <v>337</v>
      </c>
      <c r="C617" s="196">
        <v>1729707</v>
      </c>
      <c r="D617" s="196"/>
      <c r="E617" s="196"/>
      <c r="F617" s="196"/>
      <c r="G617" s="196"/>
      <c r="H617" s="196"/>
      <c r="I617" s="196"/>
      <c r="J617" s="196"/>
      <c r="K617" s="196">
        <v>630140</v>
      </c>
      <c r="L617" s="194">
        <v>0</v>
      </c>
      <c r="M617" s="196">
        <v>0</v>
      </c>
      <c r="N617" s="196">
        <v>0</v>
      </c>
      <c r="O617" s="196">
        <v>0</v>
      </c>
      <c r="P617" s="194">
        <v>0</v>
      </c>
      <c r="Q617" s="196">
        <v>0</v>
      </c>
      <c r="R617" s="196">
        <v>760.3</v>
      </c>
      <c r="S617" s="196">
        <v>1099567</v>
      </c>
      <c r="T617" s="197">
        <v>0</v>
      </c>
      <c r="U617" s="288">
        <v>0</v>
      </c>
      <c r="V617" s="282">
        <f>C617-'часть 1'!L628</f>
        <v>-2712121</v>
      </c>
      <c r="W617" s="282"/>
      <c r="X617" s="28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296"/>
    </row>
    <row r="618" spans="1:49" s="59" customFormat="1">
      <c r="A618" s="198">
        <v>57</v>
      </c>
      <c r="B618" s="195" t="s">
        <v>257</v>
      </c>
      <c r="C618" s="196">
        <v>451222.57</v>
      </c>
      <c r="D618" s="196"/>
      <c r="E618" s="196"/>
      <c r="F618" s="196"/>
      <c r="G618" s="196"/>
      <c r="H618" s="196"/>
      <c r="I618" s="196"/>
      <c r="J618" s="196"/>
      <c r="K618" s="196">
        <v>451222.57</v>
      </c>
      <c r="L618" s="194">
        <v>0</v>
      </c>
      <c r="M618" s="196">
        <v>0</v>
      </c>
      <c r="N618" s="196">
        <v>0</v>
      </c>
      <c r="O618" s="196">
        <v>0</v>
      </c>
      <c r="P618" s="194">
        <v>0</v>
      </c>
      <c r="Q618" s="196">
        <v>0</v>
      </c>
      <c r="R618" s="197">
        <v>0</v>
      </c>
      <c r="S618" s="196">
        <v>0</v>
      </c>
      <c r="T618" s="197">
        <v>0</v>
      </c>
      <c r="U618" s="288">
        <v>0</v>
      </c>
      <c r="V618" s="282">
        <f>C618-'часть 1'!L629</f>
        <v>-2599866.4300000002</v>
      </c>
      <c r="W618" s="282"/>
      <c r="X618" s="282"/>
      <c r="Y618" s="12"/>
      <c r="Z618" s="12"/>
      <c r="AA618" s="4"/>
      <c r="AB618" s="12"/>
      <c r="AC618" s="12"/>
      <c r="AD618" s="12"/>
      <c r="AE618" s="12"/>
      <c r="AF618" s="12"/>
      <c r="AG618" s="12"/>
      <c r="AH618" s="12"/>
      <c r="AI618" s="296"/>
    </row>
    <row r="619" spans="1:49" ht="30">
      <c r="A619" s="198">
        <v>58</v>
      </c>
      <c r="B619" s="195" t="s">
        <v>307</v>
      </c>
      <c r="C619" s="196">
        <v>703675.57</v>
      </c>
      <c r="D619" s="196"/>
      <c r="E619" s="196"/>
      <c r="F619" s="196"/>
      <c r="G619" s="196"/>
      <c r="H619" s="196"/>
      <c r="I619" s="196"/>
      <c r="J619" s="196"/>
      <c r="K619" s="196">
        <v>0</v>
      </c>
      <c r="L619" s="194">
        <v>0</v>
      </c>
      <c r="M619" s="196">
        <v>0</v>
      </c>
      <c r="N619" s="196">
        <v>378</v>
      </c>
      <c r="O619" s="196">
        <v>703675.57</v>
      </c>
      <c r="P619" s="194">
        <v>0</v>
      </c>
      <c r="Q619" s="196">
        <v>0</v>
      </c>
      <c r="R619" s="197">
        <v>0</v>
      </c>
      <c r="S619" s="196">
        <v>0</v>
      </c>
      <c r="T619" s="197">
        <v>0</v>
      </c>
      <c r="U619" s="288">
        <v>0</v>
      </c>
      <c r="V619" s="282">
        <f>C619-'часть 1'!L630</f>
        <v>-166073.43000000005</v>
      </c>
      <c r="W619" s="282"/>
      <c r="X619" s="28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296"/>
    </row>
    <row r="620" spans="1:49">
      <c r="A620" s="198">
        <v>59</v>
      </c>
      <c r="B620" s="195" t="s">
        <v>268</v>
      </c>
      <c r="C620" s="196">
        <v>1053533.22</v>
      </c>
      <c r="D620" s="196"/>
      <c r="E620" s="196"/>
      <c r="F620" s="196"/>
      <c r="G620" s="196"/>
      <c r="H620" s="196"/>
      <c r="I620" s="196"/>
      <c r="J620" s="196"/>
      <c r="K620" s="196">
        <v>1053533.22</v>
      </c>
      <c r="L620" s="194">
        <v>0</v>
      </c>
      <c r="M620" s="196">
        <v>0</v>
      </c>
      <c r="N620" s="196">
        <v>0</v>
      </c>
      <c r="O620" s="196">
        <v>0</v>
      </c>
      <c r="P620" s="194">
        <v>0</v>
      </c>
      <c r="Q620" s="196">
        <v>0</v>
      </c>
      <c r="R620" s="197">
        <v>0</v>
      </c>
      <c r="S620" s="196">
        <v>0</v>
      </c>
      <c r="T620" s="197">
        <v>0</v>
      </c>
      <c r="U620" s="288">
        <v>0</v>
      </c>
      <c r="V620" s="282">
        <f>C620-'часть 1'!L631</f>
        <v>183653.21999999997</v>
      </c>
      <c r="W620" s="282"/>
      <c r="X620" s="28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296"/>
      <c r="AJ620" s="11"/>
      <c r="AK620" s="11"/>
      <c r="AL620" s="11"/>
    </row>
    <row r="621" spans="1:49">
      <c r="A621" s="198">
        <v>60</v>
      </c>
      <c r="B621" s="195" t="s">
        <v>246</v>
      </c>
      <c r="C621" s="196">
        <v>1253738</v>
      </c>
      <c r="D621" s="196"/>
      <c r="E621" s="196"/>
      <c r="F621" s="196"/>
      <c r="G621" s="196"/>
      <c r="H621" s="196"/>
      <c r="I621" s="196"/>
      <c r="J621" s="196"/>
      <c r="K621" s="196">
        <v>0</v>
      </c>
      <c r="L621" s="194">
        <v>0</v>
      </c>
      <c r="M621" s="196">
        <v>0</v>
      </c>
      <c r="N621" s="196">
        <v>622</v>
      </c>
      <c r="O621" s="196">
        <v>1253738</v>
      </c>
      <c r="P621" s="194">
        <v>0</v>
      </c>
      <c r="Q621" s="196">
        <v>0</v>
      </c>
      <c r="R621" s="200">
        <v>0</v>
      </c>
      <c r="S621" s="196">
        <v>0</v>
      </c>
      <c r="T621" s="197">
        <v>0</v>
      </c>
      <c r="U621" s="288">
        <v>0</v>
      </c>
      <c r="V621" s="282">
        <f>C621-'часть 1'!L632</f>
        <v>1081436</v>
      </c>
      <c r="W621" s="282"/>
      <c r="X621" s="28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296"/>
    </row>
    <row r="622" spans="1:49" s="11" customFormat="1">
      <c r="A622" s="198">
        <v>61</v>
      </c>
      <c r="B622" s="195" t="s">
        <v>470</v>
      </c>
      <c r="C622" s="196">
        <v>1870046</v>
      </c>
      <c r="D622" s="196"/>
      <c r="E622" s="196"/>
      <c r="F622" s="196"/>
      <c r="G622" s="196"/>
      <c r="H622" s="196"/>
      <c r="I622" s="196"/>
      <c r="J622" s="196"/>
      <c r="K622" s="196">
        <v>0</v>
      </c>
      <c r="L622" s="194">
        <v>1</v>
      </c>
      <c r="M622" s="196">
        <v>1870046</v>
      </c>
      <c r="N622" s="196">
        <v>0</v>
      </c>
      <c r="O622" s="196">
        <v>0</v>
      </c>
      <c r="P622" s="194">
        <v>0</v>
      </c>
      <c r="Q622" s="196">
        <v>0</v>
      </c>
      <c r="R622" s="197">
        <v>0</v>
      </c>
      <c r="S622" s="196">
        <v>0</v>
      </c>
      <c r="T622" s="197">
        <v>0</v>
      </c>
      <c r="U622" s="288">
        <v>0</v>
      </c>
      <c r="V622" s="282">
        <f>C622-'часть 1'!L633</f>
        <v>-1836347</v>
      </c>
      <c r="W622" s="282"/>
      <c r="X622" s="28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296"/>
      <c r="AJ622" s="1"/>
      <c r="AK622" s="1"/>
      <c r="AL622" s="1"/>
    </row>
    <row r="623" spans="1:49">
      <c r="A623" s="198">
        <v>62</v>
      </c>
      <c r="B623" s="195" t="s">
        <v>350</v>
      </c>
      <c r="C623" s="196">
        <v>3720676</v>
      </c>
      <c r="D623" s="196"/>
      <c r="E623" s="196"/>
      <c r="F623" s="196"/>
      <c r="G623" s="196"/>
      <c r="H623" s="196"/>
      <c r="I623" s="196"/>
      <c r="J623" s="196"/>
      <c r="K623" s="196">
        <v>0</v>
      </c>
      <c r="L623" s="194">
        <v>2</v>
      </c>
      <c r="M623" s="196">
        <v>3720676</v>
      </c>
      <c r="N623" s="196">
        <v>0</v>
      </c>
      <c r="O623" s="196">
        <v>0</v>
      </c>
      <c r="P623" s="194">
        <v>0</v>
      </c>
      <c r="Q623" s="196">
        <v>0</v>
      </c>
      <c r="R623" s="197">
        <v>0</v>
      </c>
      <c r="S623" s="196">
        <v>0</v>
      </c>
      <c r="T623" s="197">
        <v>0</v>
      </c>
      <c r="U623" s="288">
        <v>0</v>
      </c>
      <c r="V623" s="282">
        <f>C623-'часть 1'!L634</f>
        <v>3022091</v>
      </c>
      <c r="W623" s="282"/>
      <c r="X623" s="28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296"/>
    </row>
    <row r="624" spans="1:49">
      <c r="A624" s="198">
        <v>63</v>
      </c>
      <c r="B624" s="195" t="s">
        <v>251</v>
      </c>
      <c r="C624" s="196">
        <v>3687908</v>
      </c>
      <c r="D624" s="196"/>
      <c r="E624" s="196"/>
      <c r="F624" s="196"/>
      <c r="G624" s="196"/>
      <c r="H624" s="196"/>
      <c r="I624" s="196"/>
      <c r="J624" s="196"/>
      <c r="K624" s="196">
        <v>3687908</v>
      </c>
      <c r="L624" s="194">
        <v>0</v>
      </c>
      <c r="M624" s="196">
        <v>0</v>
      </c>
      <c r="N624" s="196">
        <v>0</v>
      </c>
      <c r="O624" s="196">
        <v>0</v>
      </c>
      <c r="P624" s="194">
        <v>0</v>
      </c>
      <c r="Q624" s="196">
        <v>0</v>
      </c>
      <c r="R624" s="200">
        <v>0</v>
      </c>
      <c r="S624" s="196">
        <v>0</v>
      </c>
      <c r="T624" s="197">
        <v>0</v>
      </c>
      <c r="U624" s="288">
        <v>0</v>
      </c>
      <c r="V624" s="282">
        <f>C624-'часть 1'!L635</f>
        <v>2736168</v>
      </c>
      <c r="W624" s="282"/>
      <c r="X624" s="282"/>
      <c r="Y624" s="12"/>
      <c r="Z624" s="12"/>
      <c r="AA624" s="12"/>
      <c r="AB624" s="12"/>
      <c r="AC624" s="12"/>
      <c r="AD624" s="12"/>
      <c r="AE624" s="64"/>
      <c r="AF624" s="12"/>
      <c r="AG624" s="12"/>
      <c r="AH624" s="12"/>
      <c r="AI624" s="296"/>
    </row>
    <row r="625" spans="1:35">
      <c r="A625" s="198">
        <v>64</v>
      </c>
      <c r="B625" s="195" t="s">
        <v>226</v>
      </c>
      <c r="C625" s="196">
        <v>1760967.35</v>
      </c>
      <c r="D625" s="196"/>
      <c r="E625" s="196"/>
      <c r="F625" s="196"/>
      <c r="G625" s="196"/>
      <c r="H625" s="196"/>
      <c r="I625" s="196"/>
      <c r="J625" s="196"/>
      <c r="K625" s="196">
        <v>0</v>
      </c>
      <c r="L625" s="194">
        <v>0</v>
      </c>
      <c r="M625" s="196">
        <v>0</v>
      </c>
      <c r="N625" s="196">
        <v>881</v>
      </c>
      <c r="O625" s="196">
        <v>1760967.35</v>
      </c>
      <c r="P625" s="194">
        <v>0</v>
      </c>
      <c r="Q625" s="196">
        <v>0</v>
      </c>
      <c r="R625" s="200">
        <v>0</v>
      </c>
      <c r="S625" s="196">
        <v>0</v>
      </c>
      <c r="T625" s="197">
        <v>0</v>
      </c>
      <c r="U625" s="288">
        <v>0</v>
      </c>
      <c r="V625" s="282">
        <f>C625-'часть 1'!L636</f>
        <v>-295171.64999999991</v>
      </c>
      <c r="W625" s="282"/>
      <c r="X625" s="28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296"/>
    </row>
    <row r="626" spans="1:35">
      <c r="A626" s="198">
        <v>65</v>
      </c>
      <c r="B626" s="195" t="s">
        <v>271</v>
      </c>
      <c r="C626" s="196">
        <v>881947</v>
      </c>
      <c r="D626" s="196"/>
      <c r="E626" s="196"/>
      <c r="F626" s="196"/>
      <c r="G626" s="196"/>
      <c r="H626" s="196"/>
      <c r="I626" s="196"/>
      <c r="J626" s="196"/>
      <c r="K626" s="196">
        <v>881947</v>
      </c>
      <c r="L626" s="194">
        <v>0</v>
      </c>
      <c r="M626" s="196">
        <v>0</v>
      </c>
      <c r="N626" s="196">
        <v>0</v>
      </c>
      <c r="O626" s="196">
        <v>0</v>
      </c>
      <c r="P626" s="194">
        <v>0</v>
      </c>
      <c r="Q626" s="196">
        <v>0</v>
      </c>
      <c r="R626" s="197">
        <v>0</v>
      </c>
      <c r="S626" s="196">
        <v>0</v>
      </c>
      <c r="T626" s="197">
        <v>0</v>
      </c>
      <c r="U626" s="288">
        <v>0</v>
      </c>
      <c r="V626" s="282">
        <f>C626-'часть 1'!L637</f>
        <v>-439409</v>
      </c>
      <c r="W626" s="282"/>
      <c r="X626" s="282"/>
      <c r="Y626" s="4"/>
      <c r="Z626" s="12"/>
      <c r="AA626" s="12"/>
      <c r="AB626" s="12"/>
      <c r="AC626" s="12"/>
      <c r="AD626" s="12"/>
      <c r="AE626" s="12"/>
      <c r="AF626" s="12"/>
      <c r="AG626" s="12"/>
      <c r="AH626" s="12"/>
      <c r="AI626" s="296"/>
    </row>
    <row r="627" spans="1:35">
      <c r="A627" s="198">
        <v>66</v>
      </c>
      <c r="B627" s="195" t="s">
        <v>287</v>
      </c>
      <c r="C627" s="196">
        <v>517739</v>
      </c>
      <c r="D627" s="196"/>
      <c r="E627" s="196"/>
      <c r="F627" s="196"/>
      <c r="G627" s="196"/>
      <c r="H627" s="196"/>
      <c r="I627" s="196"/>
      <c r="J627" s="196"/>
      <c r="K627" s="196">
        <v>0</v>
      </c>
      <c r="L627" s="194">
        <v>0</v>
      </c>
      <c r="M627" s="196">
        <v>0</v>
      </c>
      <c r="N627" s="196">
        <v>252</v>
      </c>
      <c r="O627" s="199">
        <v>517739</v>
      </c>
      <c r="P627" s="194">
        <v>0</v>
      </c>
      <c r="Q627" s="196">
        <v>0</v>
      </c>
      <c r="R627" s="197">
        <v>0</v>
      </c>
      <c r="S627" s="196">
        <v>0</v>
      </c>
      <c r="T627" s="197">
        <v>0</v>
      </c>
      <c r="U627" s="288">
        <v>0</v>
      </c>
      <c r="V627" s="282">
        <f>C627-'часть 1'!L638</f>
        <v>-1161539</v>
      </c>
      <c r="W627" s="282"/>
      <c r="X627" s="28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296"/>
    </row>
    <row r="628" spans="1:35">
      <c r="A628" s="198">
        <v>67</v>
      </c>
      <c r="B628" s="195" t="s">
        <v>289</v>
      </c>
      <c r="C628" s="196">
        <v>1728895</v>
      </c>
      <c r="D628" s="196"/>
      <c r="E628" s="196"/>
      <c r="F628" s="196"/>
      <c r="G628" s="196"/>
      <c r="H628" s="196"/>
      <c r="I628" s="196"/>
      <c r="J628" s="196"/>
      <c r="K628" s="196">
        <v>0</v>
      </c>
      <c r="L628" s="194">
        <v>0</v>
      </c>
      <c r="M628" s="196">
        <v>0</v>
      </c>
      <c r="N628" s="196">
        <v>873.06</v>
      </c>
      <c r="O628" s="196">
        <v>1728895</v>
      </c>
      <c r="P628" s="201">
        <v>0</v>
      </c>
      <c r="Q628" s="196">
        <v>0</v>
      </c>
      <c r="R628" s="200">
        <v>0</v>
      </c>
      <c r="S628" s="196">
        <v>0</v>
      </c>
      <c r="T628" s="197">
        <v>0</v>
      </c>
      <c r="U628" s="288">
        <v>0</v>
      </c>
      <c r="V628" s="282">
        <f>C628-'часть 1'!L639</f>
        <v>627999</v>
      </c>
      <c r="W628" s="282"/>
      <c r="X628" s="28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296"/>
    </row>
    <row r="629" spans="1:35">
      <c r="A629" s="198">
        <v>68</v>
      </c>
      <c r="B629" s="195" t="s">
        <v>259</v>
      </c>
      <c r="C629" s="196">
        <v>682529</v>
      </c>
      <c r="D629" s="196"/>
      <c r="E629" s="196"/>
      <c r="F629" s="196"/>
      <c r="G629" s="196"/>
      <c r="H629" s="196"/>
      <c r="I629" s="196"/>
      <c r="J629" s="196"/>
      <c r="K629" s="196">
        <v>0</v>
      </c>
      <c r="L629" s="194">
        <v>0</v>
      </c>
      <c r="M629" s="196">
        <v>0</v>
      </c>
      <c r="N629" s="196">
        <v>335.6</v>
      </c>
      <c r="O629" s="196">
        <v>682529</v>
      </c>
      <c r="P629" s="194">
        <v>0</v>
      </c>
      <c r="Q629" s="196">
        <v>0</v>
      </c>
      <c r="R629" s="197">
        <v>0</v>
      </c>
      <c r="S629" s="196">
        <v>0</v>
      </c>
      <c r="T629" s="197">
        <v>0</v>
      </c>
      <c r="U629" s="288">
        <v>0</v>
      </c>
      <c r="V629" s="282">
        <f>C629-'часть 1'!L640</f>
        <v>-1047178</v>
      </c>
      <c r="W629" s="282"/>
      <c r="X629" s="28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296"/>
    </row>
    <row r="630" spans="1:35">
      <c r="A630" s="198">
        <v>69</v>
      </c>
      <c r="B630" s="195" t="s">
        <v>291</v>
      </c>
      <c r="C630" s="196">
        <v>582157</v>
      </c>
      <c r="D630" s="196"/>
      <c r="E630" s="196"/>
      <c r="F630" s="196"/>
      <c r="G630" s="196"/>
      <c r="H630" s="196"/>
      <c r="I630" s="196"/>
      <c r="J630" s="196"/>
      <c r="K630" s="196">
        <v>0</v>
      </c>
      <c r="L630" s="194">
        <v>0</v>
      </c>
      <c r="M630" s="196">
        <v>0</v>
      </c>
      <c r="N630" s="196">
        <v>285</v>
      </c>
      <c r="O630" s="196">
        <v>582157</v>
      </c>
      <c r="P630" s="194">
        <v>0</v>
      </c>
      <c r="Q630" s="196">
        <v>0</v>
      </c>
      <c r="R630" s="200">
        <v>0</v>
      </c>
      <c r="S630" s="196">
        <v>0</v>
      </c>
      <c r="T630" s="197">
        <v>0</v>
      </c>
      <c r="U630" s="288">
        <v>0</v>
      </c>
      <c r="V630" s="282">
        <f>C630-'часть 1'!L641</f>
        <v>130934.43</v>
      </c>
      <c r="W630" s="282"/>
      <c r="X630" s="28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296"/>
    </row>
    <row r="631" spans="1:35">
      <c r="A631" s="198">
        <v>70</v>
      </c>
      <c r="B631" s="195" t="s">
        <v>224</v>
      </c>
      <c r="C631" s="196">
        <v>701704</v>
      </c>
      <c r="D631" s="196"/>
      <c r="E631" s="196"/>
      <c r="F631" s="196"/>
      <c r="G631" s="196"/>
      <c r="H631" s="196"/>
      <c r="I631" s="196"/>
      <c r="J631" s="196"/>
      <c r="K631" s="196">
        <v>701704</v>
      </c>
      <c r="L631" s="194">
        <v>0</v>
      </c>
      <c r="M631" s="196">
        <v>0</v>
      </c>
      <c r="N631" s="199">
        <v>0</v>
      </c>
      <c r="O631" s="196">
        <v>0</v>
      </c>
      <c r="P631" s="194">
        <v>0</v>
      </c>
      <c r="Q631" s="196">
        <v>0</v>
      </c>
      <c r="R631" s="200">
        <v>0</v>
      </c>
      <c r="S631" s="196">
        <v>0</v>
      </c>
      <c r="T631" s="197">
        <v>0</v>
      </c>
      <c r="U631" s="288">
        <v>0</v>
      </c>
      <c r="V631" s="282">
        <f>C631-'часть 1'!L642</f>
        <v>-1971.5699999999488</v>
      </c>
      <c r="W631" s="282"/>
      <c r="X631" s="282"/>
      <c r="Y631" s="4"/>
      <c r="Z631" s="12"/>
      <c r="AA631" s="12"/>
      <c r="AB631" s="12"/>
      <c r="AC631" s="12"/>
      <c r="AD631" s="12"/>
      <c r="AE631" s="12"/>
      <c r="AF631" s="12"/>
      <c r="AG631" s="12"/>
      <c r="AH631" s="12"/>
      <c r="AI631" s="296"/>
    </row>
    <row r="632" spans="1:35">
      <c r="A632" s="198">
        <v>71</v>
      </c>
      <c r="B632" s="195" t="s">
        <v>261</v>
      </c>
      <c r="C632" s="196">
        <v>1969149</v>
      </c>
      <c r="D632" s="196"/>
      <c r="E632" s="196"/>
      <c r="F632" s="196"/>
      <c r="G632" s="196"/>
      <c r="H632" s="196"/>
      <c r="I632" s="196"/>
      <c r="J632" s="196"/>
      <c r="K632" s="196">
        <v>0</v>
      </c>
      <c r="L632" s="194">
        <v>0</v>
      </c>
      <c r="M632" s="196">
        <v>0</v>
      </c>
      <c r="N632" s="196">
        <v>995.8</v>
      </c>
      <c r="O632" s="196">
        <v>1969149</v>
      </c>
      <c r="P632" s="194">
        <v>0</v>
      </c>
      <c r="Q632" s="196">
        <v>0</v>
      </c>
      <c r="R632" s="197">
        <v>0</v>
      </c>
      <c r="S632" s="196">
        <v>0</v>
      </c>
      <c r="T632" s="197">
        <v>0</v>
      </c>
      <c r="U632" s="288">
        <v>0</v>
      </c>
      <c r="V632" s="282">
        <f>C632-'часть 1'!L643</f>
        <v>915615.78</v>
      </c>
      <c r="W632" s="282"/>
      <c r="X632" s="28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296"/>
    </row>
    <row r="633" spans="1:35">
      <c r="A633" s="198">
        <v>72</v>
      </c>
      <c r="B633" s="195" t="s">
        <v>239</v>
      </c>
      <c r="C633" s="196">
        <v>1023088</v>
      </c>
      <c r="D633" s="196"/>
      <c r="E633" s="196"/>
      <c r="F633" s="196"/>
      <c r="G633" s="196"/>
      <c r="H633" s="196"/>
      <c r="I633" s="196"/>
      <c r="J633" s="196"/>
      <c r="K633" s="196">
        <v>0</v>
      </c>
      <c r="L633" s="194">
        <v>0</v>
      </c>
      <c r="M633" s="196">
        <v>0</v>
      </c>
      <c r="N633" s="196">
        <v>0</v>
      </c>
      <c r="O633" s="196">
        <v>0</v>
      </c>
      <c r="P633" s="194">
        <v>0</v>
      </c>
      <c r="Q633" s="196">
        <v>0</v>
      </c>
      <c r="R633" s="196">
        <v>694</v>
      </c>
      <c r="S633" s="199">
        <v>1023088</v>
      </c>
      <c r="T633" s="197">
        <v>0</v>
      </c>
      <c r="U633" s="288">
        <v>0</v>
      </c>
      <c r="V633" s="282">
        <f>C633-'часть 1'!L644</f>
        <v>-230650</v>
      </c>
      <c r="W633" s="282"/>
      <c r="X633" s="28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296"/>
    </row>
    <row r="634" spans="1:35">
      <c r="A634" s="198">
        <v>73</v>
      </c>
      <c r="B634" s="195" t="s">
        <v>336</v>
      </c>
      <c r="C634" s="196">
        <v>3334570</v>
      </c>
      <c r="D634" s="196"/>
      <c r="E634" s="196"/>
      <c r="F634" s="196"/>
      <c r="G634" s="196"/>
      <c r="H634" s="196"/>
      <c r="I634" s="196"/>
      <c r="J634" s="196"/>
      <c r="K634" s="196" t="e">
        <f>#REF!</f>
        <v>#REF!</v>
      </c>
      <c r="L634" s="194">
        <v>0</v>
      </c>
      <c r="M634" s="196">
        <v>0</v>
      </c>
      <c r="N634" s="199">
        <v>0</v>
      </c>
      <c r="O634" s="196">
        <v>0</v>
      </c>
      <c r="P634" s="194">
        <v>0</v>
      </c>
      <c r="Q634" s="196">
        <v>0</v>
      </c>
      <c r="R634" s="197">
        <v>0</v>
      </c>
      <c r="S634" s="196">
        <v>0</v>
      </c>
      <c r="T634" s="197">
        <v>0</v>
      </c>
      <c r="U634" s="288">
        <v>0</v>
      </c>
      <c r="V634" s="282">
        <f>C634-'часть 1'!L645</f>
        <v>1464524</v>
      </c>
      <c r="W634" s="282"/>
      <c r="X634" s="282"/>
      <c r="Y634" s="12"/>
      <c r="Z634" s="12"/>
      <c r="AA634" s="12"/>
      <c r="AB634" s="12"/>
      <c r="AC634" s="12"/>
      <c r="AD634" s="12"/>
      <c r="AE634" s="15"/>
      <c r="AF634" s="12"/>
      <c r="AG634" s="12"/>
      <c r="AH634" s="12"/>
      <c r="AI634" s="296"/>
    </row>
    <row r="635" spans="1:35">
      <c r="A635" s="198">
        <v>74</v>
      </c>
      <c r="B635" s="195" t="s">
        <v>306</v>
      </c>
      <c r="C635" s="196">
        <v>1127374.33</v>
      </c>
      <c r="D635" s="196"/>
      <c r="E635" s="196"/>
      <c r="F635" s="196"/>
      <c r="G635" s="196"/>
      <c r="H635" s="196"/>
      <c r="I635" s="196"/>
      <c r="J635" s="196"/>
      <c r="K635" s="196">
        <v>1127374.33</v>
      </c>
      <c r="L635" s="194">
        <v>0</v>
      </c>
      <c r="M635" s="196">
        <v>0</v>
      </c>
      <c r="N635" s="196">
        <v>0</v>
      </c>
      <c r="O635" s="196">
        <v>0</v>
      </c>
      <c r="P635" s="194">
        <v>0</v>
      </c>
      <c r="Q635" s="196">
        <v>0</v>
      </c>
      <c r="R635" s="197">
        <v>0</v>
      </c>
      <c r="S635" s="196">
        <v>0</v>
      </c>
      <c r="T635" s="197">
        <v>0</v>
      </c>
      <c r="U635" s="288">
        <v>0</v>
      </c>
      <c r="V635" s="282">
        <f>C635-'часть 1'!L646</f>
        <v>-2593301.67</v>
      </c>
      <c r="W635" s="282"/>
      <c r="X635" s="28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296"/>
    </row>
    <row r="636" spans="1:35">
      <c r="A636" s="198">
        <v>75</v>
      </c>
      <c r="B636" s="195" t="s">
        <v>234</v>
      </c>
      <c r="C636" s="196">
        <v>1161456</v>
      </c>
      <c r="D636" s="196"/>
      <c r="E636" s="196"/>
      <c r="F636" s="196"/>
      <c r="G636" s="196"/>
      <c r="H636" s="196"/>
      <c r="I636" s="196"/>
      <c r="J636" s="196"/>
      <c r="K636" s="196">
        <v>1161456</v>
      </c>
      <c r="L636" s="194">
        <v>0</v>
      </c>
      <c r="M636" s="196">
        <v>0</v>
      </c>
      <c r="N636" s="196">
        <v>0</v>
      </c>
      <c r="O636" s="196">
        <v>0</v>
      </c>
      <c r="P636" s="194">
        <v>0</v>
      </c>
      <c r="Q636" s="196">
        <v>0</v>
      </c>
      <c r="R636" s="197">
        <v>0</v>
      </c>
      <c r="S636" s="196">
        <v>0</v>
      </c>
      <c r="T636" s="197">
        <v>0</v>
      </c>
      <c r="U636" s="288">
        <v>0</v>
      </c>
      <c r="V636" s="282">
        <f>C636-'часть 1'!L647</f>
        <v>-2526452</v>
      </c>
      <c r="W636" s="282"/>
      <c r="X636" s="28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296"/>
    </row>
    <row r="637" spans="1:35">
      <c r="A637" s="198">
        <v>76</v>
      </c>
      <c r="B637" s="195" t="s">
        <v>277</v>
      </c>
      <c r="C637" s="196">
        <v>1197250.23</v>
      </c>
      <c r="D637" s="196"/>
      <c r="E637" s="196"/>
      <c r="F637" s="196"/>
      <c r="G637" s="196"/>
      <c r="H637" s="196"/>
      <c r="I637" s="196"/>
      <c r="J637" s="196"/>
      <c r="K637" s="196">
        <v>1197250.23</v>
      </c>
      <c r="L637" s="194">
        <v>0</v>
      </c>
      <c r="M637" s="196">
        <v>0</v>
      </c>
      <c r="N637" s="199">
        <v>0</v>
      </c>
      <c r="O637" s="196">
        <v>0</v>
      </c>
      <c r="P637" s="194">
        <v>0</v>
      </c>
      <c r="Q637" s="196">
        <v>0</v>
      </c>
      <c r="R637" s="197">
        <v>0</v>
      </c>
      <c r="S637" s="196">
        <v>0</v>
      </c>
      <c r="T637" s="197">
        <v>0</v>
      </c>
      <c r="U637" s="288">
        <v>0</v>
      </c>
      <c r="V637" s="282">
        <f>C637-'часть 1'!L648</f>
        <v>-563717.12000000011</v>
      </c>
      <c r="W637" s="282"/>
      <c r="X637" s="28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296"/>
    </row>
    <row r="638" spans="1:35">
      <c r="A638" s="198">
        <v>77</v>
      </c>
      <c r="B638" s="195" t="s">
        <v>303</v>
      </c>
      <c r="C638" s="196">
        <v>2784233</v>
      </c>
      <c r="D638" s="196"/>
      <c r="E638" s="196"/>
      <c r="F638" s="196"/>
      <c r="G638" s="196"/>
      <c r="H638" s="196"/>
      <c r="I638" s="196"/>
      <c r="J638" s="196"/>
      <c r="K638" s="196">
        <v>0</v>
      </c>
      <c r="L638" s="194">
        <v>0</v>
      </c>
      <c r="M638" s="196">
        <v>0</v>
      </c>
      <c r="N638" s="196">
        <v>1391</v>
      </c>
      <c r="O638" s="196">
        <v>2784233</v>
      </c>
      <c r="P638" s="194">
        <v>0</v>
      </c>
      <c r="Q638" s="196">
        <v>0</v>
      </c>
      <c r="R638" s="197">
        <v>0</v>
      </c>
      <c r="S638" s="196">
        <v>0</v>
      </c>
      <c r="T638" s="197">
        <v>0</v>
      </c>
      <c r="U638" s="288">
        <v>0</v>
      </c>
      <c r="V638" s="282">
        <f>C638-'часть 1'!L649</f>
        <v>1902286</v>
      </c>
      <c r="W638" s="282"/>
      <c r="X638" s="28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296"/>
    </row>
    <row r="639" spans="1:35">
      <c r="A639" s="198">
        <v>78</v>
      </c>
      <c r="B639" s="195" t="s">
        <v>293</v>
      </c>
      <c r="C639" s="196">
        <v>2369961</v>
      </c>
      <c r="D639" s="196"/>
      <c r="E639" s="196"/>
      <c r="F639" s="196"/>
      <c r="G639" s="196"/>
      <c r="H639" s="196"/>
      <c r="I639" s="196"/>
      <c r="J639" s="196"/>
      <c r="K639" s="196">
        <v>2369961</v>
      </c>
      <c r="L639" s="194">
        <v>0</v>
      </c>
      <c r="M639" s="196">
        <v>0</v>
      </c>
      <c r="N639" s="196">
        <v>0</v>
      </c>
      <c r="O639" s="196">
        <v>0</v>
      </c>
      <c r="P639" s="194">
        <v>0</v>
      </c>
      <c r="Q639" s="196">
        <v>0</v>
      </c>
      <c r="R639" s="200">
        <v>0</v>
      </c>
      <c r="S639" s="196">
        <v>0</v>
      </c>
      <c r="T639" s="197">
        <v>0</v>
      </c>
      <c r="U639" s="288">
        <v>0</v>
      </c>
      <c r="V639" s="282">
        <f>C639-'часть 1'!L650</f>
        <v>1852222</v>
      </c>
      <c r="W639" s="282"/>
      <c r="X639" s="28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296"/>
    </row>
    <row r="640" spans="1:35">
      <c r="A640" s="198">
        <v>79</v>
      </c>
      <c r="B640" s="195" t="s">
        <v>463</v>
      </c>
      <c r="C640" s="196">
        <v>672819</v>
      </c>
      <c r="D640" s="196"/>
      <c r="E640" s="196"/>
      <c r="F640" s="196"/>
      <c r="G640" s="196"/>
      <c r="H640" s="196"/>
      <c r="I640" s="196"/>
      <c r="J640" s="196"/>
      <c r="K640" s="196">
        <v>0</v>
      </c>
      <c r="L640" s="194">
        <v>0</v>
      </c>
      <c r="M640" s="196">
        <v>0</v>
      </c>
      <c r="N640" s="196">
        <v>331.4</v>
      </c>
      <c r="O640" s="196">
        <v>672819</v>
      </c>
      <c r="P640" s="194">
        <v>0</v>
      </c>
      <c r="Q640" s="196">
        <v>0</v>
      </c>
      <c r="R640" s="200">
        <v>0</v>
      </c>
      <c r="S640" s="196">
        <v>0</v>
      </c>
      <c r="T640" s="197">
        <v>0</v>
      </c>
      <c r="U640" s="288">
        <v>0</v>
      </c>
      <c r="V640" s="282">
        <f>C640-'часть 1'!L651</f>
        <v>-1056076</v>
      </c>
      <c r="W640" s="282"/>
      <c r="X640" s="28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296"/>
    </row>
    <row r="641" spans="1:35">
      <c r="A641" s="198">
        <v>80</v>
      </c>
      <c r="B641" s="195" t="s">
        <v>340</v>
      </c>
      <c r="C641" s="196">
        <v>1651491</v>
      </c>
      <c r="D641" s="196"/>
      <c r="E641" s="196"/>
      <c r="F641" s="196"/>
      <c r="G641" s="196"/>
      <c r="H641" s="196"/>
      <c r="I641" s="196"/>
      <c r="J641" s="196"/>
      <c r="K641" s="196">
        <v>1651491</v>
      </c>
      <c r="L641" s="194">
        <v>0</v>
      </c>
      <c r="M641" s="196">
        <v>0</v>
      </c>
      <c r="N641" s="196">
        <v>0</v>
      </c>
      <c r="O641" s="196">
        <v>0</v>
      </c>
      <c r="P641" s="194">
        <v>0</v>
      </c>
      <c r="Q641" s="196">
        <v>0</v>
      </c>
      <c r="R641" s="197">
        <v>0</v>
      </c>
      <c r="S641" s="196">
        <v>0</v>
      </c>
      <c r="T641" s="197">
        <v>0</v>
      </c>
      <c r="U641" s="288">
        <v>0</v>
      </c>
      <c r="V641" s="282">
        <f>C641-'часть 1'!L652</f>
        <v>968962</v>
      </c>
      <c r="W641" s="282"/>
      <c r="X641" s="28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296"/>
    </row>
    <row r="642" spans="1:35">
      <c r="A642" s="198">
        <v>81</v>
      </c>
      <c r="B642" s="195" t="s">
        <v>254</v>
      </c>
      <c r="C642" s="196">
        <v>1432926</v>
      </c>
      <c r="D642" s="196"/>
      <c r="E642" s="196"/>
      <c r="F642" s="196"/>
      <c r="G642" s="196"/>
      <c r="H642" s="196"/>
      <c r="I642" s="196"/>
      <c r="J642" s="196"/>
      <c r="K642" s="196">
        <v>0</v>
      </c>
      <c r="L642" s="194">
        <v>0</v>
      </c>
      <c r="M642" s="196">
        <v>0</v>
      </c>
      <c r="N642" s="196">
        <v>710.73</v>
      </c>
      <c r="O642" s="196">
        <v>1432926</v>
      </c>
      <c r="P642" s="194">
        <v>0</v>
      </c>
      <c r="Q642" s="196">
        <v>0</v>
      </c>
      <c r="R642" s="200">
        <v>0</v>
      </c>
      <c r="S642" s="196">
        <v>0</v>
      </c>
      <c r="T642" s="197">
        <v>0</v>
      </c>
      <c r="U642" s="288">
        <v>0</v>
      </c>
      <c r="V642" s="282">
        <f>C642-'часть 1'!L653</f>
        <v>850769</v>
      </c>
      <c r="W642" s="282"/>
      <c r="X642" s="28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296"/>
    </row>
    <row r="643" spans="1:35">
      <c r="A643" s="198">
        <v>82</v>
      </c>
      <c r="B643" s="195" t="s">
        <v>343</v>
      </c>
      <c r="C643" s="196">
        <v>1137886</v>
      </c>
      <c r="D643" s="196"/>
      <c r="E643" s="196"/>
      <c r="F643" s="196"/>
      <c r="G643" s="196"/>
      <c r="H643" s="196"/>
      <c r="I643" s="196"/>
      <c r="J643" s="196"/>
      <c r="K643" s="196">
        <v>0</v>
      </c>
      <c r="L643" s="194">
        <v>0</v>
      </c>
      <c r="M643" s="196">
        <v>0</v>
      </c>
      <c r="N643" s="196">
        <v>0</v>
      </c>
      <c r="O643" s="196">
        <v>0</v>
      </c>
      <c r="P643" s="194">
        <v>0</v>
      </c>
      <c r="Q643" s="196">
        <v>0</v>
      </c>
      <c r="R643" s="199">
        <v>785.5</v>
      </c>
      <c r="S643" s="196">
        <v>1137886</v>
      </c>
      <c r="T643" s="197">
        <v>0</v>
      </c>
      <c r="U643" s="288">
        <v>0</v>
      </c>
      <c r="V643" s="282">
        <f>C643-'часть 1'!L654</f>
        <v>436182</v>
      </c>
      <c r="W643" s="282"/>
      <c r="X643" s="28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296"/>
    </row>
    <row r="644" spans="1:35">
      <c r="A644" s="198">
        <v>83</v>
      </c>
      <c r="B644" s="195" t="s">
        <v>305</v>
      </c>
      <c r="C644" s="196">
        <v>1814838</v>
      </c>
      <c r="D644" s="196"/>
      <c r="E644" s="196"/>
      <c r="F644" s="196"/>
      <c r="G644" s="196"/>
      <c r="H644" s="196"/>
      <c r="I644" s="196"/>
      <c r="J644" s="196"/>
      <c r="K644" s="196">
        <v>0</v>
      </c>
      <c r="L644" s="194">
        <v>0</v>
      </c>
      <c r="M644" s="196">
        <v>0</v>
      </c>
      <c r="N644" s="196">
        <v>917</v>
      </c>
      <c r="O644" s="196">
        <v>1814838</v>
      </c>
      <c r="P644" s="194">
        <v>0</v>
      </c>
      <c r="Q644" s="196">
        <v>0</v>
      </c>
      <c r="R644" s="197">
        <v>0</v>
      </c>
      <c r="S644" s="196">
        <v>0</v>
      </c>
      <c r="T644" s="197">
        <v>0</v>
      </c>
      <c r="U644" s="288">
        <v>0</v>
      </c>
      <c r="V644" s="282">
        <f>C644-'часть 1'!L655</f>
        <v>-154311</v>
      </c>
      <c r="W644" s="282"/>
      <c r="X644" s="28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296"/>
    </row>
    <row r="645" spans="1:35">
      <c r="A645" s="198">
        <v>84</v>
      </c>
      <c r="B645" s="195" t="s">
        <v>345</v>
      </c>
      <c r="C645" s="196">
        <v>1544359.54</v>
      </c>
      <c r="D645" s="196"/>
      <c r="E645" s="196"/>
      <c r="F645" s="196"/>
      <c r="G645" s="196"/>
      <c r="H645" s="196"/>
      <c r="I645" s="196"/>
      <c r="J645" s="196"/>
      <c r="K645" s="196">
        <v>1544359.54</v>
      </c>
      <c r="L645" s="194">
        <v>0</v>
      </c>
      <c r="M645" s="196">
        <v>0</v>
      </c>
      <c r="N645" s="196">
        <v>0</v>
      </c>
      <c r="O645" s="196">
        <v>0</v>
      </c>
      <c r="P645" s="194">
        <v>0</v>
      </c>
      <c r="Q645" s="196">
        <v>0</v>
      </c>
      <c r="R645" s="197">
        <v>0</v>
      </c>
      <c r="S645" s="196">
        <v>0</v>
      </c>
      <c r="T645" s="197">
        <v>0</v>
      </c>
      <c r="U645" s="288">
        <v>0</v>
      </c>
      <c r="V645" s="282">
        <f>C645-'часть 1'!L656</f>
        <v>521271.54000000004</v>
      </c>
      <c r="W645" s="282"/>
      <c r="X645" s="28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297"/>
    </row>
    <row r="646" spans="1:35" ht="30">
      <c r="A646" s="198">
        <v>85</v>
      </c>
      <c r="B646" s="195" t="s">
        <v>454</v>
      </c>
      <c r="C646" s="196">
        <v>1787034</v>
      </c>
      <c r="D646" s="196"/>
      <c r="E646" s="196"/>
      <c r="F646" s="196"/>
      <c r="G646" s="196"/>
      <c r="H646" s="196"/>
      <c r="I646" s="196"/>
      <c r="J646" s="196"/>
      <c r="K646" s="196">
        <v>0</v>
      </c>
      <c r="L646" s="194">
        <v>1</v>
      </c>
      <c r="M646" s="196">
        <v>1787034</v>
      </c>
      <c r="N646" s="196">
        <v>0</v>
      </c>
      <c r="O646" s="196">
        <v>0</v>
      </c>
      <c r="P646" s="194">
        <v>0</v>
      </c>
      <c r="Q646" s="196">
        <v>0</v>
      </c>
      <c r="R646" s="200">
        <v>0</v>
      </c>
      <c r="S646" s="196">
        <v>0</v>
      </c>
      <c r="T646" s="197">
        <v>0</v>
      </c>
      <c r="U646" s="288">
        <v>0</v>
      </c>
      <c r="V646" s="282">
        <f>C646-'часть 1'!L657</f>
        <v>-1547536</v>
      </c>
      <c r="W646" s="282"/>
      <c r="X646" s="28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296"/>
    </row>
    <row r="647" spans="1:35" ht="30">
      <c r="A647" s="198">
        <v>86</v>
      </c>
      <c r="B647" s="195" t="s">
        <v>455</v>
      </c>
      <c r="C647" s="196">
        <v>437998.57</v>
      </c>
      <c r="D647" s="196"/>
      <c r="E647" s="196"/>
      <c r="F647" s="196"/>
      <c r="G647" s="196"/>
      <c r="H647" s="196"/>
      <c r="I647" s="196"/>
      <c r="J647" s="196"/>
      <c r="K647" s="196">
        <v>437998.57</v>
      </c>
      <c r="L647" s="194">
        <v>0</v>
      </c>
      <c r="M647" s="196">
        <v>0</v>
      </c>
      <c r="N647" s="199">
        <v>0</v>
      </c>
      <c r="O647" s="196">
        <v>0</v>
      </c>
      <c r="P647" s="194">
        <v>0</v>
      </c>
      <c r="Q647" s="196">
        <v>0</v>
      </c>
      <c r="R647" s="200">
        <v>0</v>
      </c>
      <c r="S647" s="196">
        <v>0</v>
      </c>
      <c r="T647" s="197">
        <v>0</v>
      </c>
      <c r="U647" s="288">
        <v>0</v>
      </c>
      <c r="V647" s="282">
        <f>C647-'часть 1'!L658</f>
        <v>-689375.76</v>
      </c>
      <c r="W647" s="282"/>
      <c r="X647" s="28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296"/>
    </row>
    <row r="648" spans="1:35" ht="30">
      <c r="A648" s="198">
        <v>87</v>
      </c>
      <c r="B648" s="195" t="s">
        <v>456</v>
      </c>
      <c r="C648" s="196">
        <v>1116228</v>
      </c>
      <c r="D648" s="196"/>
      <c r="E648" s="196"/>
      <c r="F648" s="196"/>
      <c r="G648" s="196"/>
      <c r="H648" s="196"/>
      <c r="I648" s="196"/>
      <c r="J648" s="196"/>
      <c r="K648" s="196">
        <v>0</v>
      </c>
      <c r="L648" s="194">
        <v>0</v>
      </c>
      <c r="M648" s="196">
        <v>0</v>
      </c>
      <c r="N648" s="196">
        <v>734</v>
      </c>
      <c r="O648" s="196">
        <v>1116228</v>
      </c>
      <c r="P648" s="194">
        <v>0</v>
      </c>
      <c r="Q648" s="196">
        <v>0</v>
      </c>
      <c r="R648" s="200">
        <v>0</v>
      </c>
      <c r="S648" s="196">
        <v>0</v>
      </c>
      <c r="T648" s="197">
        <v>0</v>
      </c>
      <c r="U648" s="288">
        <v>0</v>
      </c>
      <c r="V648" s="282">
        <f>C648-'часть 1'!L659</f>
        <v>-45228</v>
      </c>
      <c r="W648" s="282"/>
      <c r="X648" s="28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296"/>
    </row>
    <row r="649" spans="1:35" ht="30">
      <c r="A649" s="198">
        <v>88</v>
      </c>
      <c r="B649" s="195" t="s">
        <v>457</v>
      </c>
      <c r="C649" s="196">
        <v>1313728</v>
      </c>
      <c r="D649" s="196"/>
      <c r="E649" s="196"/>
      <c r="F649" s="196"/>
      <c r="G649" s="196"/>
      <c r="H649" s="196"/>
      <c r="I649" s="196"/>
      <c r="J649" s="196"/>
      <c r="K649" s="196">
        <v>0</v>
      </c>
      <c r="L649" s="194">
        <v>0</v>
      </c>
      <c r="M649" s="196">
        <v>0</v>
      </c>
      <c r="N649" s="199">
        <v>660.7</v>
      </c>
      <c r="O649" s="196">
        <v>1313728</v>
      </c>
      <c r="P649" s="194">
        <v>0</v>
      </c>
      <c r="Q649" s="196">
        <v>0</v>
      </c>
      <c r="R649" s="197">
        <v>0</v>
      </c>
      <c r="S649" s="196">
        <v>0</v>
      </c>
      <c r="T649" s="197">
        <v>0</v>
      </c>
      <c r="U649" s="288">
        <v>0</v>
      </c>
      <c r="V649" s="282">
        <f>C649-'часть 1'!L660</f>
        <v>116477.77000000002</v>
      </c>
      <c r="W649" s="282"/>
      <c r="X649" s="28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296"/>
    </row>
    <row r="650" spans="1:35">
      <c r="A650" s="198">
        <v>89</v>
      </c>
      <c r="B650" s="195" t="s">
        <v>241</v>
      </c>
      <c r="C650" s="196">
        <v>359651</v>
      </c>
      <c r="D650" s="196"/>
      <c r="E650" s="196"/>
      <c r="F650" s="196"/>
      <c r="G650" s="196"/>
      <c r="H650" s="196"/>
      <c r="I650" s="196"/>
      <c r="J650" s="196"/>
      <c r="K650" s="196">
        <v>359651</v>
      </c>
      <c r="L650" s="194">
        <v>0</v>
      </c>
      <c r="M650" s="196">
        <v>0</v>
      </c>
      <c r="N650" s="196">
        <v>0</v>
      </c>
      <c r="O650" s="196">
        <v>0</v>
      </c>
      <c r="P650" s="194">
        <v>0</v>
      </c>
      <c r="Q650" s="196">
        <v>0</v>
      </c>
      <c r="R650" s="197">
        <v>0</v>
      </c>
      <c r="S650" s="196">
        <v>0</v>
      </c>
      <c r="T650" s="197">
        <v>0</v>
      </c>
      <c r="U650" s="288">
        <v>0</v>
      </c>
      <c r="V650" s="282">
        <f>C650-'часть 1'!L661</f>
        <v>-2424582</v>
      </c>
      <c r="W650" s="282"/>
      <c r="X650" s="282"/>
      <c r="Y650" s="12"/>
      <c r="Z650" s="12"/>
      <c r="AA650" s="12"/>
      <c r="AB650" s="12"/>
      <c r="AC650" s="4"/>
      <c r="AD650" s="12"/>
      <c r="AE650" s="12"/>
      <c r="AF650" s="12"/>
      <c r="AG650" s="12"/>
      <c r="AH650" s="12"/>
      <c r="AI650" s="296"/>
    </row>
    <row r="651" spans="1:35">
      <c r="A651" s="198">
        <v>90</v>
      </c>
      <c r="B651" s="195" t="s">
        <v>233</v>
      </c>
      <c r="C651" s="196">
        <v>906779</v>
      </c>
      <c r="D651" s="196"/>
      <c r="E651" s="196"/>
      <c r="F651" s="196"/>
      <c r="G651" s="196"/>
      <c r="H651" s="196"/>
      <c r="I651" s="196"/>
      <c r="J651" s="196"/>
      <c r="K651" s="196">
        <v>906779</v>
      </c>
      <c r="L651" s="194">
        <v>0</v>
      </c>
      <c r="M651" s="196">
        <v>0</v>
      </c>
      <c r="N651" s="196">
        <v>0</v>
      </c>
      <c r="O651" s="196">
        <v>0</v>
      </c>
      <c r="P651" s="194">
        <v>0</v>
      </c>
      <c r="Q651" s="196">
        <v>0</v>
      </c>
      <c r="R651" s="197">
        <v>0</v>
      </c>
      <c r="S651" s="196">
        <v>0</v>
      </c>
      <c r="T651" s="197">
        <v>0</v>
      </c>
      <c r="U651" s="288">
        <v>0</v>
      </c>
      <c r="V651" s="282">
        <f>C651-'часть 1'!L662</f>
        <v>-1463182</v>
      </c>
      <c r="W651" s="282"/>
      <c r="X651" s="28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296"/>
    </row>
    <row r="652" spans="1:35">
      <c r="A652" s="198">
        <v>91</v>
      </c>
      <c r="B652" s="195" t="s">
        <v>278</v>
      </c>
      <c r="C652" s="196">
        <v>886559</v>
      </c>
      <c r="D652" s="196"/>
      <c r="E652" s="196"/>
      <c r="F652" s="196"/>
      <c r="G652" s="196"/>
      <c r="H652" s="196"/>
      <c r="I652" s="196"/>
      <c r="J652" s="196"/>
      <c r="K652" s="196">
        <v>0</v>
      </c>
      <c r="L652" s="194">
        <v>0</v>
      </c>
      <c r="M652" s="196">
        <v>0</v>
      </c>
      <c r="N652" s="196">
        <v>440</v>
      </c>
      <c r="O652" s="199">
        <v>886559</v>
      </c>
      <c r="P652" s="194">
        <v>0</v>
      </c>
      <c r="Q652" s="196">
        <v>0</v>
      </c>
      <c r="R652" s="197">
        <v>0</v>
      </c>
      <c r="S652" s="196">
        <v>0</v>
      </c>
      <c r="T652" s="197">
        <v>0</v>
      </c>
      <c r="U652" s="288">
        <v>0</v>
      </c>
      <c r="V652" s="282">
        <f>C652-'часть 1'!L663</f>
        <v>213740</v>
      </c>
      <c r="W652" s="282"/>
      <c r="X652" s="28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296"/>
    </row>
    <row r="653" spans="1:35">
      <c r="A653" s="198">
        <v>92</v>
      </c>
      <c r="B653" s="195" t="s">
        <v>347</v>
      </c>
      <c r="C653" s="196">
        <v>642210</v>
      </c>
      <c r="D653" s="196"/>
      <c r="E653" s="196"/>
      <c r="F653" s="196"/>
      <c r="G653" s="196"/>
      <c r="H653" s="196"/>
      <c r="I653" s="196"/>
      <c r="J653" s="196"/>
      <c r="K653" s="196">
        <v>0</v>
      </c>
      <c r="L653" s="194">
        <v>0</v>
      </c>
      <c r="M653" s="196">
        <v>0</v>
      </c>
      <c r="N653" s="196">
        <v>0</v>
      </c>
      <c r="O653" s="196">
        <v>0</v>
      </c>
      <c r="P653" s="194">
        <v>0</v>
      </c>
      <c r="Q653" s="196">
        <v>0</v>
      </c>
      <c r="R653" s="196">
        <v>440</v>
      </c>
      <c r="S653" s="196">
        <v>642210</v>
      </c>
      <c r="T653" s="197">
        <v>0</v>
      </c>
      <c r="U653" s="288">
        <v>0</v>
      </c>
      <c r="V653" s="282">
        <f>C653-'часть 1'!L664</f>
        <v>-1009281</v>
      </c>
      <c r="W653" s="282"/>
      <c r="X653" s="28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296"/>
    </row>
    <row r="654" spans="1:35">
      <c r="A654" s="198">
        <v>93</v>
      </c>
      <c r="B654" s="195" t="s">
        <v>266</v>
      </c>
      <c r="C654" s="196">
        <v>1952489</v>
      </c>
      <c r="D654" s="196"/>
      <c r="E654" s="196"/>
      <c r="F654" s="196"/>
      <c r="G654" s="196"/>
      <c r="H654" s="196"/>
      <c r="I654" s="196"/>
      <c r="J654" s="196"/>
      <c r="K654" s="196">
        <v>0</v>
      </c>
      <c r="L654" s="194">
        <v>0</v>
      </c>
      <c r="M654" s="196">
        <v>0</v>
      </c>
      <c r="N654" s="196">
        <v>965</v>
      </c>
      <c r="O654" s="196">
        <v>1952489</v>
      </c>
      <c r="P654" s="194">
        <v>0</v>
      </c>
      <c r="Q654" s="196">
        <v>0</v>
      </c>
      <c r="R654" s="200">
        <v>0</v>
      </c>
      <c r="S654" s="196">
        <v>0</v>
      </c>
      <c r="T654" s="197">
        <v>0</v>
      </c>
      <c r="U654" s="288">
        <v>0</v>
      </c>
      <c r="V654" s="282">
        <f>C654-'часть 1'!L665</f>
        <v>519563</v>
      </c>
      <c r="W654" s="282"/>
      <c r="X654" s="28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296"/>
    </row>
    <row r="655" spans="1:35">
      <c r="A655" s="198">
        <v>94</v>
      </c>
      <c r="B655" s="195" t="s">
        <v>310</v>
      </c>
      <c r="C655" s="196">
        <v>15157748</v>
      </c>
      <c r="D655" s="196"/>
      <c r="E655" s="196"/>
      <c r="F655" s="196"/>
      <c r="G655" s="196"/>
      <c r="H655" s="196"/>
      <c r="I655" s="196"/>
      <c r="J655" s="196"/>
      <c r="K655" s="196">
        <v>0</v>
      </c>
      <c r="L655" s="194">
        <v>8</v>
      </c>
      <c r="M655" s="196">
        <v>15157748</v>
      </c>
      <c r="N655" s="196">
        <v>0</v>
      </c>
      <c r="O655" s="196">
        <v>0</v>
      </c>
      <c r="P655" s="194">
        <v>0</v>
      </c>
      <c r="Q655" s="196">
        <v>0</v>
      </c>
      <c r="R655" s="197">
        <v>0</v>
      </c>
      <c r="S655" s="196">
        <v>0</v>
      </c>
      <c r="T655" s="197">
        <v>0</v>
      </c>
      <c r="U655" s="288">
        <v>0</v>
      </c>
      <c r="V655" s="282">
        <f>C655-'часть 1'!L666</f>
        <v>14019862</v>
      </c>
      <c r="W655" s="282"/>
      <c r="X655" s="28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296"/>
    </row>
    <row r="656" spans="1:35">
      <c r="A656" s="198">
        <v>95</v>
      </c>
      <c r="B656" s="195" t="s">
        <v>281</v>
      </c>
      <c r="C656" s="196">
        <v>2542298.37</v>
      </c>
      <c r="D656" s="196"/>
      <c r="E656" s="196"/>
      <c r="F656" s="196"/>
      <c r="G656" s="196"/>
      <c r="H656" s="196"/>
      <c r="I656" s="196"/>
      <c r="J656" s="196"/>
      <c r="K656" s="196">
        <v>0</v>
      </c>
      <c r="L656" s="194">
        <v>0</v>
      </c>
      <c r="M656" s="196">
        <v>0</v>
      </c>
      <c r="N656" s="196">
        <v>1350</v>
      </c>
      <c r="O656" s="196">
        <v>2542298.37</v>
      </c>
      <c r="P656" s="194">
        <v>0</v>
      </c>
      <c r="Q656" s="196">
        <v>0</v>
      </c>
      <c r="R656" s="197">
        <v>0</v>
      </c>
      <c r="S656" s="196">
        <v>0</v>
      </c>
      <c r="T656" s="197">
        <v>0</v>
      </c>
      <c r="U656" s="288">
        <v>0</v>
      </c>
      <c r="V656" s="282">
        <f>C656-'часть 1'!L667</f>
        <v>727460.37000000011</v>
      </c>
      <c r="W656" s="282"/>
      <c r="X656" s="28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296"/>
    </row>
    <row r="657" spans="1:35">
      <c r="A657" s="198">
        <v>96</v>
      </c>
      <c r="B657" s="195" t="s">
        <v>248</v>
      </c>
      <c r="C657" s="196">
        <v>1114586</v>
      </c>
      <c r="D657" s="196"/>
      <c r="E657" s="196"/>
      <c r="F657" s="196"/>
      <c r="G657" s="196"/>
      <c r="H657" s="196"/>
      <c r="I657" s="196"/>
      <c r="J657" s="196"/>
      <c r="K657" s="196">
        <v>0</v>
      </c>
      <c r="L657" s="194">
        <v>0</v>
      </c>
      <c r="M657" s="196">
        <v>0</v>
      </c>
      <c r="N657" s="196">
        <v>550</v>
      </c>
      <c r="O657" s="196">
        <v>1114586</v>
      </c>
      <c r="P657" s="194">
        <v>0</v>
      </c>
      <c r="Q657" s="196">
        <v>0</v>
      </c>
      <c r="R657" s="200">
        <v>0</v>
      </c>
      <c r="S657" s="196">
        <v>0</v>
      </c>
      <c r="T657" s="197">
        <v>0</v>
      </c>
      <c r="U657" s="288">
        <v>0</v>
      </c>
      <c r="V657" s="282">
        <f>C657-'часть 1'!L668</f>
        <v>-429773.54000000004</v>
      </c>
      <c r="W657" s="282"/>
      <c r="X657" s="28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296"/>
    </row>
    <row r="658" spans="1:35">
      <c r="A658" s="198">
        <v>97</v>
      </c>
      <c r="B658" s="195" t="s">
        <v>301</v>
      </c>
      <c r="C658" s="196">
        <v>5623853</v>
      </c>
      <c r="D658" s="196"/>
      <c r="E658" s="196"/>
      <c r="F658" s="196"/>
      <c r="G658" s="196"/>
      <c r="H658" s="196"/>
      <c r="I658" s="196"/>
      <c r="J658" s="196"/>
      <c r="K658" s="196">
        <v>0</v>
      </c>
      <c r="L658" s="194">
        <v>3</v>
      </c>
      <c r="M658" s="202">
        <v>5623853</v>
      </c>
      <c r="N658" s="196">
        <v>0</v>
      </c>
      <c r="O658" s="196">
        <v>0</v>
      </c>
      <c r="P658" s="194">
        <v>0</v>
      </c>
      <c r="Q658" s="196">
        <v>0</v>
      </c>
      <c r="R658" s="200">
        <v>0</v>
      </c>
      <c r="S658" s="196">
        <v>0</v>
      </c>
      <c r="T658" s="197">
        <v>0</v>
      </c>
      <c r="U658" s="288">
        <v>0</v>
      </c>
      <c r="V658" s="282">
        <f>C658-'часть 1'!L669</f>
        <v>3836819</v>
      </c>
      <c r="W658" s="282"/>
      <c r="X658" s="28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296"/>
    </row>
    <row r="659" spans="1:35">
      <c r="A659" s="198">
        <v>98</v>
      </c>
      <c r="B659" s="195" t="s">
        <v>244</v>
      </c>
      <c r="C659" s="196">
        <v>2721106</v>
      </c>
      <c r="D659" s="196"/>
      <c r="E659" s="196"/>
      <c r="F659" s="196"/>
      <c r="G659" s="196"/>
      <c r="H659" s="196"/>
      <c r="I659" s="196"/>
      <c r="J659" s="196"/>
      <c r="K659" s="196">
        <v>0</v>
      </c>
      <c r="L659" s="194">
        <v>0</v>
      </c>
      <c r="M659" s="196">
        <v>0</v>
      </c>
      <c r="N659" s="196">
        <v>1371</v>
      </c>
      <c r="O659" s="196">
        <v>2721106</v>
      </c>
      <c r="P659" s="194">
        <v>0</v>
      </c>
      <c r="Q659" s="196">
        <v>0</v>
      </c>
      <c r="R659" s="197">
        <v>0</v>
      </c>
      <c r="S659" s="196">
        <v>0</v>
      </c>
      <c r="T659" s="197">
        <v>0</v>
      </c>
      <c r="U659" s="288">
        <v>0</v>
      </c>
      <c r="V659" s="282">
        <f>C659-'часть 1'!L670</f>
        <v>2283107.4300000002</v>
      </c>
      <c r="W659" s="282"/>
      <c r="X659" s="28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296"/>
    </row>
    <row r="660" spans="1:35">
      <c r="A660" s="198">
        <v>99</v>
      </c>
      <c r="B660" s="195" t="s">
        <v>288</v>
      </c>
      <c r="C660" s="196">
        <v>9789326.5500000007</v>
      </c>
      <c r="D660" s="196"/>
      <c r="E660" s="196"/>
      <c r="F660" s="196"/>
      <c r="G660" s="196"/>
      <c r="H660" s="196"/>
      <c r="I660" s="196"/>
      <c r="J660" s="196"/>
      <c r="K660" s="196">
        <v>6592990.5599999996</v>
      </c>
      <c r="L660" s="194">
        <v>0</v>
      </c>
      <c r="M660" s="196">
        <v>0</v>
      </c>
      <c r="N660" s="196">
        <v>2090</v>
      </c>
      <c r="O660" s="196">
        <v>3196335.99</v>
      </c>
      <c r="P660" s="194">
        <v>0</v>
      </c>
      <c r="Q660" s="196">
        <v>0</v>
      </c>
      <c r="R660" s="197">
        <v>0</v>
      </c>
      <c r="S660" s="196">
        <v>0</v>
      </c>
      <c r="T660" s="197">
        <v>0</v>
      </c>
      <c r="U660" s="288">
        <v>0</v>
      </c>
      <c r="V660" s="282">
        <f>C660-'часть 1'!L671</f>
        <v>8673098.5500000007</v>
      </c>
      <c r="W660" s="282"/>
      <c r="X660" s="28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296"/>
    </row>
    <row r="661" spans="1:35">
      <c r="A661" s="198">
        <v>100</v>
      </c>
      <c r="B661" s="195" t="s">
        <v>249</v>
      </c>
      <c r="C661" s="196">
        <v>1615074</v>
      </c>
      <c r="D661" s="196"/>
      <c r="E661" s="196"/>
      <c r="F661" s="196"/>
      <c r="G661" s="196"/>
      <c r="H661" s="196"/>
      <c r="I661" s="196"/>
      <c r="J661" s="196"/>
      <c r="K661" s="196" t="e">
        <f>#REF!</f>
        <v>#REF!</v>
      </c>
      <c r="L661" s="194">
        <v>0</v>
      </c>
      <c r="M661" s="196">
        <v>0</v>
      </c>
      <c r="N661" s="196">
        <v>0</v>
      </c>
      <c r="O661" s="196">
        <v>0</v>
      </c>
      <c r="P661" s="194">
        <v>0</v>
      </c>
      <c r="Q661" s="196">
        <v>0</v>
      </c>
      <c r="R661" s="200">
        <v>0</v>
      </c>
      <c r="S661" s="196">
        <v>0</v>
      </c>
      <c r="T661" s="197">
        <v>0</v>
      </c>
      <c r="U661" s="288">
        <v>0</v>
      </c>
      <c r="V661" s="282">
        <f>C661-'часть 1'!L672</f>
        <v>301346</v>
      </c>
      <c r="W661" s="282"/>
      <c r="X661" s="28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296"/>
    </row>
    <row r="662" spans="1:35">
      <c r="A662" s="198">
        <v>101</v>
      </c>
      <c r="B662" s="195" t="s">
        <v>265</v>
      </c>
      <c r="C662" s="196">
        <v>824390</v>
      </c>
      <c r="D662" s="196"/>
      <c r="E662" s="196"/>
      <c r="F662" s="196"/>
      <c r="G662" s="196"/>
      <c r="H662" s="196"/>
      <c r="I662" s="196"/>
      <c r="J662" s="196"/>
      <c r="K662" s="196">
        <v>824390</v>
      </c>
      <c r="L662" s="194">
        <v>0</v>
      </c>
      <c r="M662" s="196">
        <v>0</v>
      </c>
      <c r="N662" s="196">
        <v>0</v>
      </c>
      <c r="O662" s="196">
        <v>0</v>
      </c>
      <c r="P662" s="194">
        <v>0</v>
      </c>
      <c r="Q662" s="196">
        <v>0</v>
      </c>
      <c r="R662" s="197">
        <v>0</v>
      </c>
      <c r="S662" s="196">
        <v>0</v>
      </c>
      <c r="T662" s="197">
        <v>0</v>
      </c>
      <c r="U662" s="288">
        <v>0</v>
      </c>
      <c r="V662" s="282">
        <f>C662-'часть 1'!L673</f>
        <v>464739</v>
      </c>
      <c r="W662" s="282"/>
      <c r="X662" s="282"/>
      <c r="Y662" s="12"/>
      <c r="Z662" s="12"/>
      <c r="AA662" s="4"/>
      <c r="AB662" s="12"/>
      <c r="AC662" s="12"/>
      <c r="AD662" s="12"/>
      <c r="AE662" s="12"/>
      <c r="AF662" s="12"/>
      <c r="AG662" s="12"/>
      <c r="AH662" s="12"/>
      <c r="AI662" s="296"/>
    </row>
    <row r="663" spans="1:35">
      <c r="A663" s="198">
        <v>102</v>
      </c>
      <c r="B663" s="195" t="s">
        <v>292</v>
      </c>
      <c r="C663" s="196">
        <v>2661189</v>
      </c>
      <c r="D663" s="196"/>
      <c r="E663" s="196"/>
      <c r="F663" s="196"/>
      <c r="G663" s="196"/>
      <c r="H663" s="196"/>
      <c r="I663" s="196"/>
      <c r="J663" s="196"/>
      <c r="K663" s="196">
        <v>0</v>
      </c>
      <c r="L663" s="194">
        <v>0</v>
      </c>
      <c r="M663" s="196">
        <v>0</v>
      </c>
      <c r="N663" s="196">
        <v>1338.7</v>
      </c>
      <c r="O663" s="196">
        <v>2661189</v>
      </c>
      <c r="P663" s="194">
        <v>0</v>
      </c>
      <c r="Q663" s="196">
        <v>0</v>
      </c>
      <c r="R663" s="200">
        <v>0</v>
      </c>
      <c r="S663" s="196">
        <v>0</v>
      </c>
      <c r="T663" s="197">
        <v>0</v>
      </c>
      <c r="U663" s="288">
        <v>0</v>
      </c>
      <c r="V663" s="282">
        <f>C663-'часть 1'!L674</f>
        <v>1754410</v>
      </c>
      <c r="W663" s="282"/>
      <c r="X663" s="28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296"/>
    </row>
    <row r="664" spans="1:35">
      <c r="A664" s="198">
        <v>103</v>
      </c>
      <c r="B664" s="195" t="s">
        <v>276</v>
      </c>
      <c r="C664" s="196">
        <v>278220</v>
      </c>
      <c r="D664" s="196"/>
      <c r="E664" s="196"/>
      <c r="F664" s="196"/>
      <c r="G664" s="196"/>
      <c r="H664" s="196"/>
      <c r="I664" s="196"/>
      <c r="J664" s="196"/>
      <c r="K664" s="196">
        <v>278220</v>
      </c>
      <c r="L664" s="194">
        <v>0</v>
      </c>
      <c r="M664" s="196">
        <v>0</v>
      </c>
      <c r="N664" s="196">
        <v>0</v>
      </c>
      <c r="O664" s="196">
        <v>0</v>
      </c>
      <c r="P664" s="194">
        <v>0</v>
      </c>
      <c r="Q664" s="196">
        <v>0</v>
      </c>
      <c r="R664" s="197">
        <v>0</v>
      </c>
      <c r="S664" s="196">
        <v>0</v>
      </c>
      <c r="T664" s="197">
        <v>0</v>
      </c>
      <c r="U664" s="288">
        <v>0</v>
      </c>
      <c r="V664" s="282">
        <f>C664-'часть 1'!L675</f>
        <v>-608339</v>
      </c>
      <c r="W664" s="282"/>
      <c r="X664" s="28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296"/>
    </row>
    <row r="665" spans="1:35">
      <c r="A665" s="198">
        <v>104</v>
      </c>
      <c r="B665" s="195" t="s">
        <v>229</v>
      </c>
      <c r="C665" s="196">
        <v>2511472</v>
      </c>
      <c r="D665" s="196"/>
      <c r="E665" s="196"/>
      <c r="F665" s="196"/>
      <c r="G665" s="196"/>
      <c r="H665" s="196"/>
      <c r="I665" s="196"/>
      <c r="J665" s="196"/>
      <c r="K665" s="196">
        <v>2511472</v>
      </c>
      <c r="L665" s="194">
        <v>0</v>
      </c>
      <c r="M665" s="196">
        <v>0</v>
      </c>
      <c r="N665" s="196">
        <v>0</v>
      </c>
      <c r="O665" s="196">
        <v>0</v>
      </c>
      <c r="P665" s="194">
        <v>0</v>
      </c>
      <c r="Q665" s="196">
        <v>0</v>
      </c>
      <c r="R665" s="197">
        <v>0</v>
      </c>
      <c r="S665" s="196">
        <v>0</v>
      </c>
      <c r="T665" s="197">
        <v>0</v>
      </c>
      <c r="U665" s="288">
        <v>0</v>
      </c>
      <c r="V665" s="282">
        <f>C665-'часть 1'!L676</f>
        <v>1869262</v>
      </c>
      <c r="W665" s="282"/>
      <c r="X665" s="28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296"/>
    </row>
    <row r="666" spans="1:35" ht="30">
      <c r="A666" s="198">
        <v>105</v>
      </c>
      <c r="B666" s="195" t="s">
        <v>309</v>
      </c>
      <c r="C666" s="196">
        <v>871988</v>
      </c>
      <c r="D666" s="196"/>
      <c r="E666" s="196"/>
      <c r="F666" s="196"/>
      <c r="G666" s="196"/>
      <c r="H666" s="196"/>
      <c r="I666" s="196"/>
      <c r="J666" s="196"/>
      <c r="K666" s="196">
        <v>0</v>
      </c>
      <c r="L666" s="194">
        <v>0</v>
      </c>
      <c r="M666" s="196">
        <v>0</v>
      </c>
      <c r="N666" s="196">
        <v>438.23</v>
      </c>
      <c r="O666" s="196">
        <v>871988</v>
      </c>
      <c r="P666" s="194">
        <v>0</v>
      </c>
      <c r="Q666" s="196">
        <v>0</v>
      </c>
      <c r="R666" s="197">
        <v>0</v>
      </c>
      <c r="S666" s="196">
        <v>0</v>
      </c>
      <c r="T666" s="197">
        <v>0</v>
      </c>
      <c r="U666" s="288">
        <v>0</v>
      </c>
      <c r="V666" s="282">
        <f>C666-'часть 1'!L677</f>
        <v>-1080501</v>
      </c>
      <c r="W666" s="282"/>
      <c r="X666" s="28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296"/>
    </row>
    <row r="667" spans="1:35" ht="30">
      <c r="A667" s="198">
        <v>106</v>
      </c>
      <c r="B667" s="195" t="s">
        <v>308</v>
      </c>
      <c r="C667" s="196">
        <v>2113335</v>
      </c>
      <c r="D667" s="196"/>
      <c r="E667" s="196"/>
      <c r="F667" s="196"/>
      <c r="G667" s="196"/>
      <c r="H667" s="196"/>
      <c r="I667" s="196"/>
      <c r="J667" s="196"/>
      <c r="K667" s="196" t="e">
        <f>#REF!</f>
        <v>#REF!</v>
      </c>
      <c r="L667" s="194">
        <v>0</v>
      </c>
      <c r="M667" s="196">
        <v>0</v>
      </c>
      <c r="N667" s="196">
        <v>0</v>
      </c>
      <c r="O667" s="196">
        <v>0</v>
      </c>
      <c r="P667" s="194">
        <v>0</v>
      </c>
      <c r="Q667" s="196">
        <v>0</v>
      </c>
      <c r="R667" s="197">
        <v>0</v>
      </c>
      <c r="S667" s="196">
        <v>0</v>
      </c>
      <c r="T667" s="197">
        <v>0</v>
      </c>
      <c r="U667" s="288">
        <v>0</v>
      </c>
      <c r="V667" s="282">
        <f>C667-'часть 1'!L678</f>
        <v>-13044413</v>
      </c>
      <c r="W667" s="282"/>
      <c r="X667" s="28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296"/>
    </row>
    <row r="668" spans="1:35">
      <c r="A668" s="198">
        <v>107</v>
      </c>
      <c r="B668" s="195" t="s">
        <v>296</v>
      </c>
      <c r="C668" s="196">
        <v>996585</v>
      </c>
      <c r="D668" s="196"/>
      <c r="E668" s="196"/>
      <c r="F668" s="196"/>
      <c r="G668" s="196"/>
      <c r="H668" s="196"/>
      <c r="I668" s="196"/>
      <c r="J668" s="196"/>
      <c r="K668" s="196">
        <v>0</v>
      </c>
      <c r="L668" s="194">
        <v>0</v>
      </c>
      <c r="M668" s="196">
        <v>0</v>
      </c>
      <c r="N668" s="196">
        <v>496.2</v>
      </c>
      <c r="O668" s="196">
        <v>996585</v>
      </c>
      <c r="P668" s="194">
        <v>0</v>
      </c>
      <c r="Q668" s="196">
        <v>0</v>
      </c>
      <c r="R668" s="197">
        <v>0</v>
      </c>
      <c r="S668" s="196">
        <v>0</v>
      </c>
      <c r="T668" s="197">
        <v>0</v>
      </c>
      <c r="U668" s="288">
        <v>0</v>
      </c>
      <c r="V668" s="282">
        <f>C668-'часть 1'!L679</f>
        <v>-1545713.37</v>
      </c>
      <c r="W668" s="282"/>
      <c r="X668" s="28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296"/>
    </row>
    <row r="669" spans="1:35">
      <c r="A669" s="198">
        <v>108</v>
      </c>
      <c r="B669" s="195" t="s">
        <v>240</v>
      </c>
      <c r="C669" s="196">
        <v>637739</v>
      </c>
      <c r="D669" s="196"/>
      <c r="E669" s="196"/>
      <c r="F669" s="196"/>
      <c r="G669" s="196"/>
      <c r="H669" s="196"/>
      <c r="I669" s="196"/>
      <c r="J669" s="196"/>
      <c r="K669" s="196">
        <v>637739</v>
      </c>
      <c r="L669" s="194">
        <v>0</v>
      </c>
      <c r="M669" s="196">
        <v>0</v>
      </c>
      <c r="N669" s="196">
        <v>0</v>
      </c>
      <c r="O669" s="196">
        <v>0</v>
      </c>
      <c r="P669" s="194">
        <v>0</v>
      </c>
      <c r="Q669" s="196">
        <v>0</v>
      </c>
      <c r="R669" s="197">
        <v>0</v>
      </c>
      <c r="S669" s="196">
        <v>0</v>
      </c>
      <c r="T669" s="197">
        <v>0</v>
      </c>
      <c r="U669" s="288">
        <v>0</v>
      </c>
      <c r="V669" s="282">
        <f>C669-'часть 1'!L680</f>
        <v>-476847</v>
      </c>
      <c r="W669" s="282"/>
      <c r="X669" s="28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296"/>
    </row>
    <row r="670" spans="1:35">
      <c r="A670" s="198">
        <v>109</v>
      </c>
      <c r="B670" s="195" t="s">
        <v>243</v>
      </c>
      <c r="C670" s="196">
        <v>1357217</v>
      </c>
      <c r="D670" s="196"/>
      <c r="E670" s="196"/>
      <c r="F670" s="196"/>
      <c r="G670" s="196"/>
      <c r="H670" s="196"/>
      <c r="I670" s="196"/>
      <c r="J670" s="196"/>
      <c r="K670" s="196">
        <v>0</v>
      </c>
      <c r="L670" s="194">
        <v>0</v>
      </c>
      <c r="M670" s="196">
        <v>0</v>
      </c>
      <c r="N670" s="196">
        <v>675</v>
      </c>
      <c r="O670" s="196">
        <v>1357217</v>
      </c>
      <c r="P670" s="194">
        <v>0</v>
      </c>
      <c r="Q670" s="196">
        <v>0</v>
      </c>
      <c r="R670" s="197">
        <v>0</v>
      </c>
      <c r="S670" s="196">
        <v>0</v>
      </c>
      <c r="T670" s="197">
        <v>0</v>
      </c>
      <c r="U670" s="288">
        <v>0</v>
      </c>
      <c r="V670" s="282">
        <f>C670-'часть 1'!L681</f>
        <v>-4266636</v>
      </c>
      <c r="W670" s="282"/>
      <c r="X670" s="28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296"/>
    </row>
    <row r="671" spans="1:35">
      <c r="A671" s="198">
        <v>110</v>
      </c>
      <c r="B671" s="195" t="s">
        <v>269</v>
      </c>
      <c r="C671" s="196">
        <v>836226</v>
      </c>
      <c r="D671" s="196"/>
      <c r="E671" s="196"/>
      <c r="F671" s="196"/>
      <c r="G671" s="196"/>
      <c r="H671" s="196"/>
      <c r="I671" s="196"/>
      <c r="J671" s="196"/>
      <c r="K671" s="196">
        <v>0</v>
      </c>
      <c r="L671" s="194">
        <v>0</v>
      </c>
      <c r="M671" s="196">
        <v>0</v>
      </c>
      <c r="N671" s="196">
        <v>414.1</v>
      </c>
      <c r="O671" s="199">
        <v>836226</v>
      </c>
      <c r="P671" s="194">
        <v>0</v>
      </c>
      <c r="Q671" s="196">
        <v>0</v>
      </c>
      <c r="R671" s="197">
        <v>0</v>
      </c>
      <c r="S671" s="196">
        <v>0</v>
      </c>
      <c r="T671" s="197">
        <v>0</v>
      </c>
      <c r="U671" s="288">
        <v>0</v>
      </c>
      <c r="V671" s="282">
        <f>C671-'часть 1'!L682</f>
        <v>-1884880</v>
      </c>
      <c r="W671" s="282"/>
      <c r="X671" s="28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296"/>
    </row>
    <row r="672" spans="1:35">
      <c r="A672" s="198">
        <v>111</v>
      </c>
      <c r="B672" s="195" t="s">
        <v>299</v>
      </c>
      <c r="C672" s="196">
        <v>640078</v>
      </c>
      <c r="D672" s="196"/>
      <c r="E672" s="196"/>
      <c r="F672" s="196"/>
      <c r="G672" s="196"/>
      <c r="H672" s="196"/>
      <c r="I672" s="196"/>
      <c r="J672" s="196"/>
      <c r="K672" s="196">
        <v>640078</v>
      </c>
      <c r="L672" s="194">
        <v>0</v>
      </c>
      <c r="M672" s="196">
        <v>0</v>
      </c>
      <c r="N672" s="196">
        <v>0</v>
      </c>
      <c r="O672" s="196">
        <v>0</v>
      </c>
      <c r="P672" s="194">
        <v>0</v>
      </c>
      <c r="Q672" s="196">
        <v>0</v>
      </c>
      <c r="R672" s="197">
        <v>0</v>
      </c>
      <c r="S672" s="196">
        <v>0</v>
      </c>
      <c r="T672" s="197">
        <v>0</v>
      </c>
      <c r="U672" s="288">
        <v>0</v>
      </c>
      <c r="V672" s="282">
        <f>C672-'часть 1'!L683</f>
        <v>-9149248.5500000007</v>
      </c>
      <c r="W672" s="282"/>
      <c r="X672" s="28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296"/>
    </row>
    <row r="673" spans="1:35">
      <c r="A673" s="198">
        <v>112</v>
      </c>
      <c r="B673" s="195" t="s">
        <v>236</v>
      </c>
      <c r="C673" s="196">
        <v>202649</v>
      </c>
      <c r="D673" s="196"/>
      <c r="E673" s="196"/>
      <c r="F673" s="196"/>
      <c r="G673" s="196"/>
      <c r="H673" s="196"/>
      <c r="I673" s="196"/>
      <c r="J673" s="196"/>
      <c r="K673" s="196" t="e">
        <f>#REF!</f>
        <v>#REF!</v>
      </c>
      <c r="L673" s="194">
        <v>0</v>
      </c>
      <c r="M673" s="196">
        <v>0</v>
      </c>
      <c r="N673" s="196">
        <v>0</v>
      </c>
      <c r="O673" s="196">
        <v>0</v>
      </c>
      <c r="P673" s="194">
        <v>0</v>
      </c>
      <c r="Q673" s="196">
        <v>0</v>
      </c>
      <c r="R673" s="200">
        <v>0</v>
      </c>
      <c r="S673" s="196">
        <v>0</v>
      </c>
      <c r="T673" s="197">
        <v>0</v>
      </c>
      <c r="U673" s="288">
        <v>0</v>
      </c>
      <c r="V673" s="282">
        <f>C673-'часть 1'!L684</f>
        <v>-1412425</v>
      </c>
      <c r="W673" s="282"/>
      <c r="X673" s="28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296"/>
    </row>
    <row r="674" spans="1:35">
      <c r="A674" s="198">
        <v>113</v>
      </c>
      <c r="B674" s="195" t="s">
        <v>285</v>
      </c>
      <c r="C674" s="196">
        <v>7892437</v>
      </c>
      <c r="D674" s="196"/>
      <c r="E674" s="196"/>
      <c r="F674" s="196"/>
      <c r="G674" s="196"/>
      <c r="H674" s="196"/>
      <c r="I674" s="196"/>
      <c r="J674" s="196"/>
      <c r="K674" s="196">
        <v>7892437</v>
      </c>
      <c r="L674" s="194">
        <v>0</v>
      </c>
      <c r="M674" s="196">
        <v>0</v>
      </c>
      <c r="N674" s="196">
        <v>0</v>
      </c>
      <c r="O674" s="196">
        <v>0</v>
      </c>
      <c r="P674" s="194">
        <v>0</v>
      </c>
      <c r="Q674" s="196">
        <v>0</v>
      </c>
      <c r="R674" s="197">
        <v>0</v>
      </c>
      <c r="S674" s="196">
        <v>0</v>
      </c>
      <c r="T674" s="197">
        <v>0</v>
      </c>
      <c r="U674" s="288">
        <v>0</v>
      </c>
      <c r="V674" s="282">
        <f>C674-'часть 1'!L685</f>
        <v>7068047</v>
      </c>
      <c r="W674" s="282"/>
      <c r="X674" s="28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296"/>
    </row>
    <row r="675" spans="1:35">
      <c r="A675" s="198">
        <v>114</v>
      </c>
      <c r="B675" s="195" t="s">
        <v>237</v>
      </c>
      <c r="C675" s="196">
        <v>523389</v>
      </c>
      <c r="D675" s="196"/>
      <c r="E675" s="196"/>
      <c r="F675" s="196"/>
      <c r="G675" s="196"/>
      <c r="H675" s="196"/>
      <c r="I675" s="196"/>
      <c r="J675" s="196"/>
      <c r="K675" s="196">
        <v>0</v>
      </c>
      <c r="L675" s="194">
        <v>0</v>
      </c>
      <c r="M675" s="196">
        <v>0</v>
      </c>
      <c r="N675" s="196">
        <v>255</v>
      </c>
      <c r="O675" s="196">
        <v>523389</v>
      </c>
      <c r="P675" s="194">
        <v>0</v>
      </c>
      <c r="Q675" s="196">
        <v>0</v>
      </c>
      <c r="R675" s="200">
        <v>0</v>
      </c>
      <c r="S675" s="196">
        <v>0</v>
      </c>
      <c r="T675" s="197">
        <v>0</v>
      </c>
      <c r="U675" s="288">
        <v>0</v>
      </c>
      <c r="V675" s="282">
        <f>C675-'часть 1'!L686</f>
        <v>-2137800</v>
      </c>
      <c r="W675" s="282"/>
      <c r="X675" s="28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296"/>
    </row>
    <row r="676" spans="1:35">
      <c r="A676" s="198">
        <v>115</v>
      </c>
      <c r="B676" s="195" t="s">
        <v>264</v>
      </c>
      <c r="C676" s="196">
        <v>1038920</v>
      </c>
      <c r="D676" s="196"/>
      <c r="E676" s="196"/>
      <c r="F676" s="196"/>
      <c r="G676" s="196"/>
      <c r="H676" s="196"/>
      <c r="I676" s="196"/>
      <c r="J676" s="196"/>
      <c r="K676" s="196">
        <v>1038920</v>
      </c>
      <c r="L676" s="194">
        <v>0</v>
      </c>
      <c r="M676" s="196">
        <v>0</v>
      </c>
      <c r="N676" s="196">
        <v>0</v>
      </c>
      <c r="O676" s="196">
        <v>0</v>
      </c>
      <c r="P676" s="194">
        <v>0</v>
      </c>
      <c r="Q676" s="196">
        <v>0</v>
      </c>
      <c r="R676" s="197">
        <v>0</v>
      </c>
      <c r="S676" s="196">
        <v>0</v>
      </c>
      <c r="T676" s="197">
        <v>0</v>
      </c>
      <c r="U676" s="288">
        <v>0</v>
      </c>
      <c r="V676" s="282">
        <f>C676-'часть 1'!L687</f>
        <v>760700</v>
      </c>
      <c r="W676" s="282"/>
      <c r="X676" s="282"/>
      <c r="Y676" s="12"/>
      <c r="Z676" s="12"/>
      <c r="AA676" s="12"/>
      <c r="AB676" s="12"/>
      <c r="AC676" s="4"/>
      <c r="AD676" s="12"/>
      <c r="AE676" s="12"/>
      <c r="AF676" s="12"/>
      <c r="AG676" s="12"/>
      <c r="AH676" s="12"/>
      <c r="AI676" s="296"/>
    </row>
    <row r="677" spans="1:35">
      <c r="A677" s="194">
        <v>116</v>
      </c>
      <c r="B677" s="195" t="s">
        <v>258</v>
      </c>
      <c r="C677" s="196">
        <v>1742553</v>
      </c>
      <c r="D677" s="196"/>
      <c r="E677" s="196"/>
      <c r="F677" s="196"/>
      <c r="G677" s="196"/>
      <c r="H677" s="196"/>
      <c r="I677" s="196"/>
      <c r="J677" s="196"/>
      <c r="K677" s="196">
        <v>0</v>
      </c>
      <c r="L677" s="194">
        <v>0</v>
      </c>
      <c r="M677" s="196">
        <v>0</v>
      </c>
      <c r="N677" s="196">
        <v>874.22</v>
      </c>
      <c r="O677" s="199">
        <v>1742553</v>
      </c>
      <c r="P677" s="194">
        <v>0</v>
      </c>
      <c r="Q677" s="196">
        <v>0</v>
      </c>
      <c r="R677" s="197">
        <v>0</v>
      </c>
      <c r="S677" s="196">
        <v>0</v>
      </c>
      <c r="T677" s="197">
        <v>0</v>
      </c>
      <c r="U677" s="288">
        <v>0</v>
      </c>
      <c r="V677" s="282">
        <f>C677-'часть 1'!L688</f>
        <v>-768919</v>
      </c>
      <c r="W677" s="282"/>
      <c r="X677" s="28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296"/>
    </row>
    <row r="678" spans="1:35">
      <c r="A678" s="194">
        <v>117</v>
      </c>
      <c r="B678" s="195" t="s">
        <v>250</v>
      </c>
      <c r="C678" s="196">
        <v>2124581</v>
      </c>
      <c r="D678" s="196"/>
      <c r="E678" s="196"/>
      <c r="F678" s="196"/>
      <c r="G678" s="196"/>
      <c r="H678" s="196"/>
      <c r="I678" s="196"/>
      <c r="J678" s="196"/>
      <c r="K678" s="196">
        <v>0</v>
      </c>
      <c r="L678" s="194">
        <v>0</v>
      </c>
      <c r="M678" s="196">
        <v>0</v>
      </c>
      <c r="N678" s="196">
        <v>1070</v>
      </c>
      <c r="O678" s="199">
        <v>2124581</v>
      </c>
      <c r="P678" s="194">
        <v>0</v>
      </c>
      <c r="Q678" s="196">
        <v>0</v>
      </c>
      <c r="R678" s="200">
        <v>0</v>
      </c>
      <c r="S678" s="196">
        <v>0</v>
      </c>
      <c r="T678" s="197">
        <v>0</v>
      </c>
      <c r="U678" s="288">
        <v>0</v>
      </c>
      <c r="V678" s="282">
        <f>C678-'часть 1'!L689</f>
        <v>1252593</v>
      </c>
      <c r="W678" s="282"/>
      <c r="X678" s="28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296"/>
    </row>
    <row r="679" spans="1:35">
      <c r="A679" s="194">
        <v>118</v>
      </c>
      <c r="B679" s="195" t="s">
        <v>282</v>
      </c>
      <c r="C679" s="196">
        <v>2347478</v>
      </c>
      <c r="D679" s="196"/>
      <c r="E679" s="196"/>
      <c r="F679" s="196"/>
      <c r="G679" s="196"/>
      <c r="H679" s="196"/>
      <c r="I679" s="196"/>
      <c r="J679" s="196"/>
      <c r="K679" s="196">
        <v>0</v>
      </c>
      <c r="L679" s="194">
        <v>0</v>
      </c>
      <c r="M679" s="196">
        <v>0</v>
      </c>
      <c r="N679" s="196">
        <v>1185.07</v>
      </c>
      <c r="O679" s="196">
        <v>2347478</v>
      </c>
      <c r="P679" s="194">
        <v>0</v>
      </c>
      <c r="Q679" s="196">
        <v>0</v>
      </c>
      <c r="R679" s="197">
        <v>0</v>
      </c>
      <c r="S679" s="196">
        <v>0</v>
      </c>
      <c r="T679" s="197">
        <v>0</v>
      </c>
      <c r="U679" s="288">
        <v>0</v>
      </c>
      <c r="V679" s="282">
        <f>C679-'часть 1'!L690</f>
        <v>234143</v>
      </c>
      <c r="W679" s="282"/>
      <c r="X679" s="28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296"/>
    </row>
    <row r="680" spans="1:35">
      <c r="A680" s="194">
        <v>119</v>
      </c>
      <c r="B680" s="195" t="s">
        <v>267</v>
      </c>
      <c r="C680" s="196">
        <v>2468472</v>
      </c>
      <c r="D680" s="196"/>
      <c r="E680" s="196"/>
      <c r="F680" s="196"/>
      <c r="G680" s="196"/>
      <c r="H680" s="196"/>
      <c r="I680" s="196"/>
      <c r="J680" s="196"/>
      <c r="K680" s="196">
        <v>0</v>
      </c>
      <c r="L680" s="194">
        <v>0</v>
      </c>
      <c r="M680" s="196">
        <v>0</v>
      </c>
      <c r="N680" s="199">
        <v>1246.5</v>
      </c>
      <c r="O680" s="196">
        <v>2468472</v>
      </c>
      <c r="P680" s="194">
        <v>0</v>
      </c>
      <c r="Q680" s="196">
        <v>0</v>
      </c>
      <c r="R680" s="197">
        <v>0</v>
      </c>
      <c r="S680" s="196">
        <v>0</v>
      </c>
      <c r="T680" s="197">
        <v>0</v>
      </c>
      <c r="U680" s="288">
        <v>0</v>
      </c>
      <c r="V680" s="282">
        <f>C680-'часть 1'!L691</f>
        <v>1471887</v>
      </c>
      <c r="W680" s="282"/>
      <c r="X680" s="28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296"/>
    </row>
    <row r="681" spans="1:35">
      <c r="A681" s="194">
        <v>120</v>
      </c>
      <c r="B681" s="195" t="s">
        <v>284</v>
      </c>
      <c r="C681" s="196">
        <v>1612780</v>
      </c>
      <c r="D681" s="196"/>
      <c r="E681" s="196"/>
      <c r="F681" s="196"/>
      <c r="G681" s="196"/>
      <c r="H681" s="196"/>
      <c r="I681" s="196"/>
      <c r="J681" s="196"/>
      <c r="K681" s="196">
        <v>0</v>
      </c>
      <c r="L681" s="194">
        <v>0</v>
      </c>
      <c r="M681" s="196">
        <v>0</v>
      </c>
      <c r="N681" s="196">
        <v>810.5</v>
      </c>
      <c r="O681" s="196">
        <v>1612780</v>
      </c>
      <c r="P681" s="194">
        <v>0</v>
      </c>
      <c r="Q681" s="196">
        <v>0</v>
      </c>
      <c r="R681" s="197">
        <v>0</v>
      </c>
      <c r="S681" s="196">
        <v>0</v>
      </c>
      <c r="T681" s="197">
        <v>0</v>
      </c>
      <c r="U681" s="288">
        <v>0</v>
      </c>
      <c r="V681" s="282">
        <f>C681-'часть 1'!L692</f>
        <v>975041</v>
      </c>
      <c r="W681" s="282"/>
      <c r="X681" s="28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296"/>
    </row>
    <row r="682" spans="1:35">
      <c r="A682" s="194">
        <v>121</v>
      </c>
      <c r="B682" s="195" t="s">
        <v>256</v>
      </c>
      <c r="C682" s="196">
        <v>2580419</v>
      </c>
      <c r="D682" s="196"/>
      <c r="E682" s="196"/>
      <c r="F682" s="196"/>
      <c r="G682" s="196"/>
      <c r="H682" s="196"/>
      <c r="I682" s="196"/>
      <c r="J682" s="196"/>
      <c r="K682" s="196">
        <v>0</v>
      </c>
      <c r="L682" s="194">
        <v>0</v>
      </c>
      <c r="M682" s="196">
        <v>0</v>
      </c>
      <c r="N682" s="196">
        <v>786.3</v>
      </c>
      <c r="O682" s="196">
        <v>1565675</v>
      </c>
      <c r="P682" s="194">
        <v>0</v>
      </c>
      <c r="Q682" s="196">
        <v>0</v>
      </c>
      <c r="R682" s="196">
        <v>700</v>
      </c>
      <c r="S682" s="196">
        <v>1014744</v>
      </c>
      <c r="T682" s="197">
        <v>0</v>
      </c>
      <c r="U682" s="288">
        <v>0</v>
      </c>
      <c r="V682" s="282">
        <f>C682-'часть 1'!L693</f>
        <v>1223202</v>
      </c>
      <c r="W682" s="282"/>
      <c r="X682" s="28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296"/>
    </row>
    <row r="683" spans="1:35">
      <c r="A683" s="194">
        <v>122</v>
      </c>
      <c r="B683" s="195" t="s">
        <v>335</v>
      </c>
      <c r="C683" s="196">
        <v>1681645</v>
      </c>
      <c r="D683" s="196"/>
      <c r="E683" s="196"/>
      <c r="F683" s="196"/>
      <c r="G683" s="196"/>
      <c r="H683" s="196"/>
      <c r="I683" s="196"/>
      <c r="J683" s="196"/>
      <c r="K683" s="196">
        <v>0</v>
      </c>
      <c r="L683" s="194">
        <v>0</v>
      </c>
      <c r="M683" s="196">
        <v>0</v>
      </c>
      <c r="N683" s="196">
        <v>848.59</v>
      </c>
      <c r="O683" s="196">
        <v>1681645</v>
      </c>
      <c r="P683" s="194">
        <v>0</v>
      </c>
      <c r="Q683" s="196">
        <v>0</v>
      </c>
      <c r="R683" s="200">
        <v>0</v>
      </c>
      <c r="S683" s="196">
        <v>0</v>
      </c>
      <c r="T683" s="197">
        <v>0</v>
      </c>
      <c r="U683" s="288">
        <v>0</v>
      </c>
      <c r="V683" s="282">
        <f>C683-'часть 1'!L694</f>
        <v>845419</v>
      </c>
      <c r="W683" s="282"/>
      <c r="X683" s="28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296"/>
    </row>
    <row r="684" spans="1:35">
      <c r="A684" s="194">
        <v>123</v>
      </c>
      <c r="B684" s="195" t="s">
        <v>255</v>
      </c>
      <c r="C684" s="196">
        <v>1318880</v>
      </c>
      <c r="D684" s="196"/>
      <c r="E684" s="196"/>
      <c r="F684" s="196"/>
      <c r="G684" s="196"/>
      <c r="H684" s="196"/>
      <c r="I684" s="196"/>
      <c r="J684" s="196"/>
      <c r="K684" s="196">
        <v>0</v>
      </c>
      <c r="L684" s="194">
        <v>0</v>
      </c>
      <c r="M684" s="196">
        <v>0</v>
      </c>
      <c r="N684" s="196">
        <v>660</v>
      </c>
      <c r="O684" s="196">
        <v>1318880</v>
      </c>
      <c r="P684" s="194">
        <v>0</v>
      </c>
      <c r="Q684" s="196">
        <v>0</v>
      </c>
      <c r="R684" s="200">
        <v>0</v>
      </c>
      <c r="S684" s="196">
        <v>0</v>
      </c>
      <c r="T684" s="197">
        <v>0</v>
      </c>
      <c r="U684" s="288">
        <v>0</v>
      </c>
      <c r="V684" s="282">
        <f>C684-'часть 1'!L695</f>
        <v>678802</v>
      </c>
      <c r="W684" s="282"/>
      <c r="X684" s="28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296"/>
    </row>
    <row r="685" spans="1:35">
      <c r="A685" s="194">
        <v>124</v>
      </c>
      <c r="B685" s="195" t="s">
        <v>245</v>
      </c>
      <c r="C685" s="196">
        <v>1566345</v>
      </c>
      <c r="D685" s="196"/>
      <c r="E685" s="196"/>
      <c r="F685" s="196"/>
      <c r="G685" s="196"/>
      <c r="H685" s="196"/>
      <c r="I685" s="196"/>
      <c r="J685" s="196"/>
      <c r="K685" s="196">
        <v>0</v>
      </c>
      <c r="L685" s="194">
        <v>0</v>
      </c>
      <c r="M685" s="196">
        <v>0</v>
      </c>
      <c r="N685" s="196">
        <v>422</v>
      </c>
      <c r="O685" s="196">
        <v>850468</v>
      </c>
      <c r="P685" s="194">
        <v>0</v>
      </c>
      <c r="Q685" s="196">
        <v>0</v>
      </c>
      <c r="R685" s="196">
        <v>492</v>
      </c>
      <c r="S685" s="196">
        <v>715877</v>
      </c>
      <c r="T685" s="197">
        <v>0</v>
      </c>
      <c r="U685" s="288">
        <v>0</v>
      </c>
      <c r="V685" s="282">
        <f>C685-'часть 1'!L696</f>
        <v>1363696</v>
      </c>
      <c r="W685" s="282"/>
      <c r="X685" s="28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296"/>
    </row>
    <row r="686" spans="1:35" ht="30">
      <c r="A686" s="194">
        <v>125</v>
      </c>
      <c r="B686" s="195" t="s">
        <v>451</v>
      </c>
      <c r="C686" s="196">
        <v>1910088</v>
      </c>
      <c r="D686" s="196"/>
      <c r="E686" s="196"/>
      <c r="F686" s="196"/>
      <c r="G686" s="196"/>
      <c r="H686" s="196"/>
      <c r="I686" s="196"/>
      <c r="J686" s="196"/>
      <c r="K686" s="196">
        <v>1910088</v>
      </c>
      <c r="L686" s="194">
        <v>0</v>
      </c>
      <c r="M686" s="196">
        <v>0</v>
      </c>
      <c r="N686" s="196">
        <v>0</v>
      </c>
      <c r="O686" s="196">
        <v>0</v>
      </c>
      <c r="P686" s="194">
        <v>0</v>
      </c>
      <c r="Q686" s="196">
        <v>0</v>
      </c>
      <c r="R686" s="200">
        <v>0</v>
      </c>
      <c r="S686" s="196">
        <v>0</v>
      </c>
      <c r="T686" s="197">
        <v>0</v>
      </c>
      <c r="U686" s="288">
        <v>0</v>
      </c>
      <c r="V686" s="282">
        <f>C686-'часть 1'!L697</f>
        <v>-5982349</v>
      </c>
      <c r="W686" s="282"/>
      <c r="X686" s="28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296"/>
    </row>
    <row r="687" spans="1:35">
      <c r="A687" s="194">
        <v>126</v>
      </c>
      <c r="B687" s="195" t="s">
        <v>280</v>
      </c>
      <c r="C687" s="196">
        <v>2694957</v>
      </c>
      <c r="D687" s="196"/>
      <c r="E687" s="196"/>
      <c r="F687" s="196"/>
      <c r="G687" s="196"/>
      <c r="H687" s="196"/>
      <c r="I687" s="196"/>
      <c r="J687" s="196"/>
      <c r="K687" s="196">
        <v>710638</v>
      </c>
      <c r="L687" s="194">
        <v>0</v>
      </c>
      <c r="M687" s="196">
        <v>0</v>
      </c>
      <c r="N687" s="196">
        <v>0</v>
      </c>
      <c r="O687" s="196">
        <v>0</v>
      </c>
      <c r="P687" s="194">
        <v>0</v>
      </c>
      <c r="Q687" s="196">
        <v>0</v>
      </c>
      <c r="R687" s="196">
        <v>1359.5</v>
      </c>
      <c r="S687" s="196">
        <v>1984319</v>
      </c>
      <c r="T687" s="197">
        <v>0</v>
      </c>
      <c r="U687" s="288">
        <v>0</v>
      </c>
      <c r="V687" s="282">
        <f>C687-'часть 1'!L698</f>
        <v>2171568</v>
      </c>
      <c r="W687" s="282"/>
      <c r="X687" s="28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296"/>
    </row>
    <row r="688" spans="1:35">
      <c r="A688" s="194">
        <v>127</v>
      </c>
      <c r="B688" s="195" t="s">
        <v>367</v>
      </c>
      <c r="C688" s="196">
        <v>580578</v>
      </c>
      <c r="D688" s="196"/>
      <c r="E688" s="196"/>
      <c r="F688" s="196"/>
      <c r="G688" s="196"/>
      <c r="H688" s="196"/>
      <c r="I688" s="196"/>
      <c r="J688" s="196"/>
      <c r="K688" s="196">
        <v>0</v>
      </c>
      <c r="L688" s="194">
        <v>0</v>
      </c>
      <c r="M688" s="196">
        <v>0</v>
      </c>
      <c r="N688" s="196">
        <v>293.5</v>
      </c>
      <c r="O688" s="196">
        <v>580578</v>
      </c>
      <c r="P688" s="194">
        <v>0</v>
      </c>
      <c r="Q688" s="196">
        <v>0</v>
      </c>
      <c r="R688" s="197">
        <v>0</v>
      </c>
      <c r="S688" s="196">
        <v>0</v>
      </c>
      <c r="T688" s="197">
        <v>0</v>
      </c>
      <c r="U688" s="288">
        <v>0</v>
      </c>
      <c r="V688" s="282">
        <f>C688-'часть 1'!L699</f>
        <v>-458342</v>
      </c>
      <c r="W688" s="282"/>
      <c r="X688" s="28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296"/>
    </row>
    <row r="689" spans="1:35">
      <c r="A689" s="194">
        <v>128</v>
      </c>
      <c r="B689" s="195" t="s">
        <v>464</v>
      </c>
      <c r="C689" s="196">
        <v>615357</v>
      </c>
      <c r="D689" s="196"/>
      <c r="E689" s="196"/>
      <c r="F689" s="196"/>
      <c r="G689" s="196"/>
      <c r="H689" s="196"/>
      <c r="I689" s="196"/>
      <c r="J689" s="196"/>
      <c r="K689" s="196">
        <v>0</v>
      </c>
      <c r="L689" s="194">
        <v>0</v>
      </c>
      <c r="M689" s="196">
        <v>0</v>
      </c>
      <c r="N689" s="196">
        <v>301</v>
      </c>
      <c r="O689" s="196">
        <v>615357</v>
      </c>
      <c r="P689" s="194">
        <v>0</v>
      </c>
      <c r="Q689" s="196">
        <v>0</v>
      </c>
      <c r="R689" s="197">
        <v>0</v>
      </c>
      <c r="S689" s="196">
        <v>0</v>
      </c>
      <c r="T689" s="197">
        <v>0</v>
      </c>
      <c r="U689" s="288">
        <v>0</v>
      </c>
      <c r="V689" s="282">
        <f>C689-'часть 1'!L700</f>
        <v>-1127196</v>
      </c>
      <c r="W689" s="282"/>
      <c r="X689" s="28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296"/>
    </row>
    <row r="690" spans="1:35">
      <c r="A690" s="194">
        <v>129</v>
      </c>
      <c r="B690" s="195" t="s">
        <v>385</v>
      </c>
      <c r="C690" s="196">
        <v>269948.13</v>
      </c>
      <c r="D690" s="196"/>
      <c r="E690" s="196"/>
      <c r="F690" s="196"/>
      <c r="G690" s="196"/>
      <c r="H690" s="196"/>
      <c r="I690" s="196"/>
      <c r="J690" s="196"/>
      <c r="K690" s="196">
        <v>269948.13</v>
      </c>
      <c r="L690" s="194">
        <v>0</v>
      </c>
      <c r="M690" s="196">
        <v>0</v>
      </c>
      <c r="N690" s="196">
        <v>0</v>
      </c>
      <c r="O690" s="196">
        <v>0</v>
      </c>
      <c r="P690" s="194">
        <v>0</v>
      </c>
      <c r="Q690" s="196">
        <v>0</v>
      </c>
      <c r="R690" s="197">
        <v>0</v>
      </c>
      <c r="S690" s="196">
        <v>0</v>
      </c>
      <c r="T690" s="197">
        <v>0</v>
      </c>
      <c r="U690" s="288">
        <v>0</v>
      </c>
      <c r="V690" s="282">
        <f>C690-'часть 1'!L701</f>
        <v>-1854632.87</v>
      </c>
      <c r="W690" s="282"/>
      <c r="X690" s="28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296"/>
    </row>
    <row r="691" spans="1:35">
      <c r="A691" s="194">
        <v>130</v>
      </c>
      <c r="B691" s="195" t="s">
        <v>238</v>
      </c>
      <c r="C691" s="196">
        <v>807980</v>
      </c>
      <c r="D691" s="196"/>
      <c r="E691" s="196"/>
      <c r="F691" s="196"/>
      <c r="G691" s="196"/>
      <c r="H691" s="196"/>
      <c r="I691" s="196"/>
      <c r="J691" s="196"/>
      <c r="K691" s="196">
        <v>0</v>
      </c>
      <c r="L691" s="194">
        <v>0</v>
      </c>
      <c r="M691" s="196">
        <v>0</v>
      </c>
      <c r="N691" s="196">
        <v>400</v>
      </c>
      <c r="O691" s="196">
        <v>807980</v>
      </c>
      <c r="P691" s="194">
        <v>0</v>
      </c>
      <c r="Q691" s="196">
        <v>0</v>
      </c>
      <c r="R691" s="200">
        <v>0</v>
      </c>
      <c r="S691" s="196">
        <v>0</v>
      </c>
      <c r="T691" s="197">
        <v>0</v>
      </c>
      <c r="U691" s="288">
        <v>0</v>
      </c>
      <c r="V691" s="282">
        <f>C691-'часть 1'!L702</f>
        <v>-1539498</v>
      </c>
      <c r="W691" s="282"/>
      <c r="X691" s="28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296"/>
    </row>
    <row r="692" spans="1:35">
      <c r="A692" s="194">
        <v>131</v>
      </c>
      <c r="B692" s="195" t="s">
        <v>273</v>
      </c>
      <c r="C692" s="196">
        <v>661525</v>
      </c>
      <c r="D692" s="196"/>
      <c r="E692" s="196"/>
      <c r="F692" s="196"/>
      <c r="G692" s="196"/>
      <c r="H692" s="196"/>
      <c r="I692" s="196"/>
      <c r="J692" s="196"/>
      <c r="K692" s="196">
        <v>0</v>
      </c>
      <c r="L692" s="194">
        <v>0</v>
      </c>
      <c r="M692" s="196">
        <v>0</v>
      </c>
      <c r="N692" s="196">
        <v>325</v>
      </c>
      <c r="O692" s="199">
        <v>661525</v>
      </c>
      <c r="P692" s="194">
        <v>0</v>
      </c>
      <c r="Q692" s="196">
        <v>0</v>
      </c>
      <c r="R692" s="197">
        <v>0</v>
      </c>
      <c r="S692" s="196">
        <v>0</v>
      </c>
      <c r="T692" s="197">
        <v>0</v>
      </c>
      <c r="U692" s="288">
        <v>0</v>
      </c>
      <c r="V692" s="282">
        <f>C692-'часть 1'!L703</f>
        <v>-1806947</v>
      </c>
      <c r="W692" s="282"/>
      <c r="X692" s="28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296"/>
    </row>
    <row r="693" spans="1:35">
      <c r="A693" s="198">
        <v>132</v>
      </c>
      <c r="B693" s="195" t="s">
        <v>297</v>
      </c>
      <c r="C693" s="196">
        <v>3719885</v>
      </c>
      <c r="D693" s="196"/>
      <c r="E693" s="196"/>
      <c r="F693" s="196"/>
      <c r="G693" s="196"/>
      <c r="H693" s="196"/>
      <c r="I693" s="196"/>
      <c r="J693" s="196"/>
      <c r="K693" s="196">
        <v>0</v>
      </c>
      <c r="L693" s="194">
        <v>2</v>
      </c>
      <c r="M693" s="196">
        <v>3719885</v>
      </c>
      <c r="N693" s="196">
        <v>0</v>
      </c>
      <c r="O693" s="196">
        <v>0</v>
      </c>
      <c r="P693" s="194">
        <v>0</v>
      </c>
      <c r="Q693" s="196">
        <v>0</v>
      </c>
      <c r="R693" s="197">
        <v>0</v>
      </c>
      <c r="S693" s="196">
        <v>0</v>
      </c>
      <c r="T693" s="197">
        <v>0</v>
      </c>
      <c r="U693" s="288">
        <v>0</v>
      </c>
      <c r="V693" s="282">
        <f>C693-'часть 1'!L704</f>
        <v>2107105</v>
      </c>
      <c r="W693" s="282"/>
      <c r="X693" s="28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296"/>
    </row>
    <row r="694" spans="1:35">
      <c r="A694" s="198">
        <v>133</v>
      </c>
      <c r="B694" s="195" t="s">
        <v>263</v>
      </c>
      <c r="C694" s="196">
        <v>1726391</v>
      </c>
      <c r="D694" s="196"/>
      <c r="E694" s="196"/>
      <c r="F694" s="196"/>
      <c r="G694" s="196"/>
      <c r="H694" s="196"/>
      <c r="I694" s="196"/>
      <c r="J694" s="196"/>
      <c r="K694" s="196">
        <v>0</v>
      </c>
      <c r="L694" s="194">
        <v>0</v>
      </c>
      <c r="M694" s="196">
        <v>0</v>
      </c>
      <c r="N694" s="196">
        <v>866.8</v>
      </c>
      <c r="O694" s="196">
        <v>1726391</v>
      </c>
      <c r="P694" s="194">
        <v>0</v>
      </c>
      <c r="Q694" s="196">
        <v>0</v>
      </c>
      <c r="R694" s="197">
        <v>0</v>
      </c>
      <c r="S694" s="196">
        <v>0</v>
      </c>
      <c r="T694" s="197">
        <v>0</v>
      </c>
      <c r="U694" s="288">
        <v>0</v>
      </c>
      <c r="V694" s="282">
        <f>C694-'часть 1'!L705</f>
        <v>-854028</v>
      </c>
      <c r="W694" s="282"/>
      <c r="X694" s="28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296"/>
    </row>
    <row r="695" spans="1:35">
      <c r="A695" s="198">
        <v>134</v>
      </c>
      <c r="B695" s="195" t="s">
        <v>235</v>
      </c>
      <c r="C695" s="196">
        <v>1521754</v>
      </c>
      <c r="D695" s="196"/>
      <c r="E695" s="196"/>
      <c r="F695" s="196"/>
      <c r="G695" s="196"/>
      <c r="H695" s="196"/>
      <c r="I695" s="196"/>
      <c r="J695" s="196"/>
      <c r="K695" s="196">
        <v>0</v>
      </c>
      <c r="L695" s="194">
        <v>0</v>
      </c>
      <c r="M695" s="196">
        <v>0</v>
      </c>
      <c r="N695" s="196">
        <v>430</v>
      </c>
      <c r="O695" s="196">
        <v>866735</v>
      </c>
      <c r="P695" s="194">
        <v>0</v>
      </c>
      <c r="Q695" s="196">
        <v>0</v>
      </c>
      <c r="R695" s="196">
        <v>449</v>
      </c>
      <c r="S695" s="196">
        <v>655019</v>
      </c>
      <c r="T695" s="197">
        <v>0</v>
      </c>
      <c r="U695" s="288">
        <v>0</v>
      </c>
      <c r="V695" s="282">
        <f>C695-'часть 1'!L706</f>
        <v>-159891</v>
      </c>
      <c r="W695" s="282"/>
      <c r="X695" s="28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296"/>
    </row>
    <row r="696" spans="1:35">
      <c r="A696" s="198">
        <v>135</v>
      </c>
      <c r="B696" s="195" t="s">
        <v>227</v>
      </c>
      <c r="C696" s="196">
        <v>671505</v>
      </c>
      <c r="D696" s="196"/>
      <c r="E696" s="196"/>
      <c r="F696" s="196"/>
      <c r="G696" s="196"/>
      <c r="H696" s="196"/>
      <c r="I696" s="196"/>
      <c r="J696" s="196"/>
      <c r="K696" s="196" t="e">
        <f>#REF!</f>
        <v>#REF!</v>
      </c>
      <c r="L696" s="194">
        <v>0</v>
      </c>
      <c r="M696" s="196">
        <v>0</v>
      </c>
      <c r="N696" s="196">
        <v>0</v>
      </c>
      <c r="O696" s="196">
        <v>0</v>
      </c>
      <c r="P696" s="194">
        <v>0</v>
      </c>
      <c r="Q696" s="196">
        <v>0</v>
      </c>
      <c r="R696" s="196">
        <v>404.5</v>
      </c>
      <c r="S696" s="196">
        <v>591227</v>
      </c>
      <c r="T696" s="197">
        <v>0</v>
      </c>
      <c r="U696" s="288">
        <v>0</v>
      </c>
      <c r="V696" s="282">
        <f>C696-'часть 1'!L707</f>
        <v>-647375</v>
      </c>
      <c r="W696" s="282"/>
      <c r="X696" s="282"/>
      <c r="Y696" s="12"/>
      <c r="Z696" s="274"/>
      <c r="AA696" s="12"/>
      <c r="AB696" s="12"/>
      <c r="AC696" s="12"/>
      <c r="AD696" s="12"/>
      <c r="AE696" s="12"/>
      <c r="AF696" s="12"/>
      <c r="AG696" s="12"/>
      <c r="AH696" s="12"/>
      <c r="AI696" s="296"/>
    </row>
    <row r="697" spans="1:35">
      <c r="A697" s="198">
        <v>136</v>
      </c>
      <c r="B697" s="195" t="s">
        <v>339</v>
      </c>
      <c r="C697" s="196">
        <v>1081718</v>
      </c>
      <c r="D697" s="196"/>
      <c r="E697" s="196"/>
      <c r="F697" s="196"/>
      <c r="G697" s="196"/>
      <c r="H697" s="196"/>
      <c r="I697" s="196"/>
      <c r="J697" s="196"/>
      <c r="K697" s="196">
        <v>0</v>
      </c>
      <c r="L697" s="194">
        <v>0</v>
      </c>
      <c r="M697" s="196">
        <v>0</v>
      </c>
      <c r="N697" s="196">
        <v>531.70000000000005</v>
      </c>
      <c r="O697" s="196">
        <v>1081718</v>
      </c>
      <c r="P697" s="194">
        <v>0</v>
      </c>
      <c r="Q697" s="196">
        <v>0</v>
      </c>
      <c r="R697" s="197">
        <v>0</v>
      </c>
      <c r="S697" s="196">
        <v>0</v>
      </c>
      <c r="T697" s="197">
        <v>0</v>
      </c>
      <c r="U697" s="288">
        <v>0</v>
      </c>
      <c r="V697" s="282">
        <f>C697-'часть 1'!L708</f>
        <v>-484627</v>
      </c>
      <c r="W697" s="282"/>
      <c r="X697" s="28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296"/>
    </row>
    <row r="698" spans="1:35">
      <c r="A698" s="198">
        <v>137</v>
      </c>
      <c r="B698" s="195" t="s">
        <v>231</v>
      </c>
      <c r="C698" s="196">
        <v>206635</v>
      </c>
      <c r="D698" s="196"/>
      <c r="E698" s="196"/>
      <c r="F698" s="196"/>
      <c r="G698" s="196"/>
      <c r="H698" s="196"/>
      <c r="I698" s="196"/>
      <c r="J698" s="196"/>
      <c r="K698" s="196">
        <v>206635</v>
      </c>
      <c r="L698" s="194">
        <v>0</v>
      </c>
      <c r="M698" s="196">
        <v>0</v>
      </c>
      <c r="N698" s="196">
        <v>0</v>
      </c>
      <c r="O698" s="196">
        <v>0</v>
      </c>
      <c r="P698" s="194">
        <v>0</v>
      </c>
      <c r="Q698" s="196">
        <v>0</v>
      </c>
      <c r="R698" s="197">
        <v>0</v>
      </c>
      <c r="S698" s="196">
        <v>0</v>
      </c>
      <c r="T698" s="197">
        <v>0</v>
      </c>
      <c r="U698" s="288">
        <v>0</v>
      </c>
      <c r="V698" s="282">
        <f>C698-'часть 1'!L709</f>
        <v>-1703453</v>
      </c>
      <c r="W698" s="282"/>
      <c r="X698" s="28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296"/>
    </row>
    <row r="699" spans="1:35">
      <c r="A699" s="198">
        <v>138</v>
      </c>
      <c r="B699" s="195" t="s">
        <v>300</v>
      </c>
      <c r="C699" s="196">
        <v>1044081.04</v>
      </c>
      <c r="D699" s="196"/>
      <c r="E699" s="196"/>
      <c r="F699" s="196"/>
      <c r="G699" s="196"/>
      <c r="H699" s="196"/>
      <c r="I699" s="196"/>
      <c r="J699" s="196"/>
      <c r="K699" s="196">
        <v>0</v>
      </c>
      <c r="L699" s="194">
        <v>0</v>
      </c>
      <c r="M699" s="196">
        <v>0</v>
      </c>
      <c r="N699" s="196">
        <v>516.5</v>
      </c>
      <c r="O699" s="196">
        <v>1044081.04</v>
      </c>
      <c r="P699" s="194">
        <v>0</v>
      </c>
      <c r="Q699" s="196">
        <v>0</v>
      </c>
      <c r="R699" s="200">
        <v>0</v>
      </c>
      <c r="S699" s="196">
        <v>0</v>
      </c>
      <c r="T699" s="197">
        <v>0</v>
      </c>
      <c r="U699" s="288">
        <v>0</v>
      </c>
      <c r="V699" s="282">
        <f>C699-'часть 1'!L710</f>
        <v>-1650875.96</v>
      </c>
      <c r="W699" s="282"/>
      <c r="X699" s="28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296"/>
    </row>
    <row r="700" spans="1:35">
      <c r="A700" s="198">
        <v>139</v>
      </c>
      <c r="B700" s="195" t="s">
        <v>283</v>
      </c>
      <c r="C700" s="196">
        <v>1340000</v>
      </c>
      <c r="D700" s="196"/>
      <c r="E700" s="196"/>
      <c r="F700" s="196"/>
      <c r="G700" s="196"/>
      <c r="H700" s="196"/>
      <c r="I700" s="196"/>
      <c r="J700" s="196"/>
      <c r="K700" s="196">
        <v>1340000</v>
      </c>
      <c r="L700" s="194">
        <v>0</v>
      </c>
      <c r="M700" s="196">
        <v>0</v>
      </c>
      <c r="N700" s="196">
        <v>0</v>
      </c>
      <c r="O700" s="196">
        <v>0</v>
      </c>
      <c r="P700" s="194">
        <v>0</v>
      </c>
      <c r="Q700" s="196">
        <v>0</v>
      </c>
      <c r="R700" s="197">
        <v>0</v>
      </c>
      <c r="S700" s="196">
        <v>0</v>
      </c>
      <c r="T700" s="197">
        <v>0</v>
      </c>
      <c r="U700" s="288">
        <v>0</v>
      </c>
      <c r="V700" s="282">
        <f>C700-'часть 1'!L711</f>
        <v>759422</v>
      </c>
      <c r="W700" s="282"/>
      <c r="X700" s="28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296"/>
    </row>
    <row r="701" spans="1:35">
      <c r="A701" s="198">
        <v>140</v>
      </c>
      <c r="B701" s="195" t="s">
        <v>450</v>
      </c>
      <c r="C701" s="196">
        <v>2294529</v>
      </c>
      <c r="D701" s="196"/>
      <c r="E701" s="196"/>
      <c r="F701" s="196"/>
      <c r="G701" s="196"/>
      <c r="H701" s="196"/>
      <c r="I701" s="196"/>
      <c r="J701" s="196"/>
      <c r="K701" s="196">
        <v>0</v>
      </c>
      <c r="L701" s="194">
        <v>0</v>
      </c>
      <c r="M701" s="196">
        <v>0</v>
      </c>
      <c r="N701" s="196">
        <v>1162</v>
      </c>
      <c r="O701" s="196">
        <v>2294529</v>
      </c>
      <c r="P701" s="194">
        <v>0</v>
      </c>
      <c r="Q701" s="196">
        <v>0</v>
      </c>
      <c r="R701" s="197">
        <v>0</v>
      </c>
      <c r="S701" s="196">
        <v>0</v>
      </c>
      <c r="T701" s="197">
        <v>0</v>
      </c>
      <c r="U701" s="288">
        <v>0</v>
      </c>
      <c r="V701" s="282">
        <f>C701-'часть 1'!L712</f>
        <v>1679172</v>
      </c>
      <c r="W701" s="282"/>
      <c r="X701" s="28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296"/>
    </row>
    <row r="702" spans="1:35">
      <c r="A702" s="198">
        <v>141</v>
      </c>
      <c r="B702" s="195" t="s">
        <v>230</v>
      </c>
      <c r="C702" s="196">
        <v>2615616.2000000002</v>
      </c>
      <c r="D702" s="196"/>
      <c r="E702" s="196"/>
      <c r="F702" s="196"/>
      <c r="G702" s="196"/>
      <c r="H702" s="196"/>
      <c r="I702" s="196"/>
      <c r="J702" s="196"/>
      <c r="K702" s="196">
        <v>0</v>
      </c>
      <c r="L702" s="194">
        <v>0</v>
      </c>
      <c r="M702" s="196">
        <v>0</v>
      </c>
      <c r="N702" s="196">
        <v>0</v>
      </c>
      <c r="O702" s="196">
        <v>0</v>
      </c>
      <c r="P702" s="194">
        <v>0</v>
      </c>
      <c r="Q702" s="196">
        <v>0</v>
      </c>
      <c r="R702" s="196">
        <v>2540</v>
      </c>
      <c r="S702" s="196">
        <v>2615616.2000000002</v>
      </c>
      <c r="T702" s="197">
        <v>0</v>
      </c>
      <c r="U702" s="288">
        <v>0</v>
      </c>
      <c r="V702" s="282">
        <f>C702-'часть 1'!L713</f>
        <v>2345668.0700000003</v>
      </c>
      <c r="W702" s="282"/>
      <c r="X702" s="28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296"/>
    </row>
    <row r="703" spans="1:35">
      <c r="A703" s="198">
        <v>142</v>
      </c>
      <c r="B703" s="195" t="s">
        <v>295</v>
      </c>
      <c r="C703" s="196">
        <v>1561539</v>
      </c>
      <c r="D703" s="196"/>
      <c r="E703" s="196"/>
      <c r="F703" s="196"/>
      <c r="G703" s="196"/>
      <c r="H703" s="196"/>
      <c r="I703" s="196"/>
      <c r="J703" s="196"/>
      <c r="K703" s="196">
        <v>0</v>
      </c>
      <c r="L703" s="194">
        <v>0</v>
      </c>
      <c r="M703" s="196">
        <v>0</v>
      </c>
      <c r="N703" s="196">
        <v>787.85</v>
      </c>
      <c r="O703" s="196">
        <v>1561539</v>
      </c>
      <c r="P703" s="201">
        <v>0</v>
      </c>
      <c r="Q703" s="196">
        <v>0</v>
      </c>
      <c r="R703" s="200">
        <v>0</v>
      </c>
      <c r="S703" s="196">
        <v>0</v>
      </c>
      <c r="T703" s="197">
        <v>0</v>
      </c>
      <c r="U703" s="288">
        <v>0</v>
      </c>
      <c r="V703" s="282">
        <f>C703-'часть 1'!L714</f>
        <v>753559</v>
      </c>
      <c r="W703" s="282"/>
      <c r="X703" s="28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296"/>
    </row>
    <row r="704" spans="1:35">
      <c r="A704" s="198">
        <v>143</v>
      </c>
      <c r="B704" s="195" t="s">
        <v>294</v>
      </c>
      <c r="C704" s="196">
        <v>1421187</v>
      </c>
      <c r="D704" s="196"/>
      <c r="E704" s="196"/>
      <c r="F704" s="196"/>
      <c r="G704" s="196"/>
      <c r="H704" s="196"/>
      <c r="I704" s="196"/>
      <c r="J704" s="196"/>
      <c r="K704" s="196">
        <v>0</v>
      </c>
      <c r="L704" s="194">
        <v>0</v>
      </c>
      <c r="M704" s="196">
        <v>0</v>
      </c>
      <c r="N704" s="196">
        <v>687</v>
      </c>
      <c r="O704" s="199">
        <v>1421187</v>
      </c>
      <c r="P704" s="194">
        <v>0</v>
      </c>
      <c r="Q704" s="196">
        <v>0</v>
      </c>
      <c r="R704" s="200">
        <v>0</v>
      </c>
      <c r="S704" s="196">
        <v>0</v>
      </c>
      <c r="T704" s="197">
        <v>0</v>
      </c>
      <c r="U704" s="288">
        <v>0</v>
      </c>
      <c r="V704" s="282">
        <f>C704-'часть 1'!L715</f>
        <v>759662</v>
      </c>
      <c r="W704" s="282"/>
      <c r="X704" s="28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296"/>
    </row>
    <row r="705" spans="1:35">
      <c r="A705" s="198">
        <v>144</v>
      </c>
      <c r="B705" s="195" t="s">
        <v>270</v>
      </c>
      <c r="C705" s="196">
        <v>2469740</v>
      </c>
      <c r="D705" s="196"/>
      <c r="E705" s="196"/>
      <c r="F705" s="196"/>
      <c r="G705" s="196"/>
      <c r="H705" s="196"/>
      <c r="I705" s="196"/>
      <c r="J705" s="196"/>
      <c r="K705" s="196">
        <v>757154</v>
      </c>
      <c r="L705" s="194">
        <v>0</v>
      </c>
      <c r="M705" s="196">
        <v>0</v>
      </c>
      <c r="N705" s="196">
        <v>868.1</v>
      </c>
      <c r="O705" s="196">
        <v>1712586</v>
      </c>
      <c r="P705" s="194">
        <v>0</v>
      </c>
      <c r="Q705" s="196">
        <v>0</v>
      </c>
      <c r="R705" s="197">
        <v>0</v>
      </c>
      <c r="S705" s="196">
        <v>0</v>
      </c>
      <c r="T705" s="197">
        <v>0</v>
      </c>
      <c r="U705" s="288">
        <v>0</v>
      </c>
      <c r="V705" s="282">
        <f>C705-'часть 1'!L716</f>
        <v>-1250145</v>
      </c>
      <c r="W705" s="282"/>
      <c r="X705" s="28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296"/>
    </row>
    <row r="706" spans="1:35">
      <c r="A706" s="198">
        <v>145</v>
      </c>
      <c r="B706" s="195" t="s">
        <v>252</v>
      </c>
      <c r="C706" s="196">
        <v>1104857</v>
      </c>
      <c r="D706" s="196"/>
      <c r="E706" s="196"/>
      <c r="F706" s="196"/>
      <c r="G706" s="196"/>
      <c r="H706" s="196"/>
      <c r="I706" s="196"/>
      <c r="J706" s="196"/>
      <c r="K706" s="196">
        <v>0</v>
      </c>
      <c r="L706" s="194">
        <v>0</v>
      </c>
      <c r="M706" s="196">
        <v>0</v>
      </c>
      <c r="N706" s="196">
        <v>545.6</v>
      </c>
      <c r="O706" s="196">
        <v>1104857</v>
      </c>
      <c r="P706" s="194">
        <v>0</v>
      </c>
      <c r="Q706" s="196">
        <v>0</v>
      </c>
      <c r="R706" s="200">
        <v>0</v>
      </c>
      <c r="S706" s="196">
        <v>0</v>
      </c>
      <c r="T706" s="197">
        <v>0</v>
      </c>
      <c r="U706" s="288">
        <v>0</v>
      </c>
      <c r="V706" s="282">
        <f>C706-'часть 1'!L717</f>
        <v>-621534</v>
      </c>
      <c r="W706" s="282"/>
      <c r="X706" s="28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296"/>
    </row>
    <row r="707" spans="1:35">
      <c r="A707" s="198">
        <v>146</v>
      </c>
      <c r="B707" s="195" t="s">
        <v>304</v>
      </c>
      <c r="C707" s="196">
        <v>1877378</v>
      </c>
      <c r="D707" s="196"/>
      <c r="E707" s="196"/>
      <c r="F707" s="196"/>
      <c r="G707" s="196"/>
      <c r="H707" s="196"/>
      <c r="I707" s="196"/>
      <c r="J707" s="196"/>
      <c r="K707" s="196">
        <v>0</v>
      </c>
      <c r="L707" s="194">
        <v>1</v>
      </c>
      <c r="M707" s="199">
        <v>1877378</v>
      </c>
      <c r="N707" s="196">
        <v>0</v>
      </c>
      <c r="O707" s="196">
        <v>0</v>
      </c>
      <c r="P707" s="194">
        <v>0</v>
      </c>
      <c r="Q707" s="196">
        <v>0</v>
      </c>
      <c r="R707" s="197">
        <v>0</v>
      </c>
      <c r="S707" s="196">
        <v>0</v>
      </c>
      <c r="T707" s="197">
        <v>0</v>
      </c>
      <c r="U707" s="288">
        <v>0</v>
      </c>
      <c r="V707" s="282">
        <f>C707-'часть 1'!L718</f>
        <v>355624</v>
      </c>
      <c r="W707" s="282"/>
      <c r="X707" s="28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296"/>
    </row>
    <row r="708" spans="1:35">
      <c r="A708" s="198">
        <v>147</v>
      </c>
      <c r="B708" s="195" t="s">
        <v>228</v>
      </c>
      <c r="C708" s="196">
        <v>2945836</v>
      </c>
      <c r="D708" s="196"/>
      <c r="E708" s="196"/>
      <c r="F708" s="196"/>
      <c r="G708" s="196"/>
      <c r="H708" s="196"/>
      <c r="I708" s="196"/>
      <c r="J708" s="196"/>
      <c r="K708" s="196" t="e">
        <f>#REF!</f>
        <v>#REF!</v>
      </c>
      <c r="L708" s="194">
        <v>0</v>
      </c>
      <c r="M708" s="196">
        <v>0</v>
      </c>
      <c r="N708" s="196">
        <v>0</v>
      </c>
      <c r="O708" s="196">
        <v>0</v>
      </c>
      <c r="P708" s="194">
        <v>0</v>
      </c>
      <c r="Q708" s="196">
        <v>0</v>
      </c>
      <c r="R708" s="197">
        <v>0</v>
      </c>
      <c r="S708" s="196">
        <v>0</v>
      </c>
      <c r="T708" s="197">
        <v>0</v>
      </c>
      <c r="U708" s="288">
        <v>0</v>
      </c>
      <c r="V708" s="282">
        <f>C708-'часть 1'!L719</f>
        <v>2274331</v>
      </c>
      <c r="W708" s="282"/>
      <c r="X708" s="282"/>
      <c r="Y708" s="12"/>
      <c r="Z708" s="12"/>
      <c r="AA708" s="12"/>
      <c r="AB708" s="274"/>
      <c r="AC708" s="12"/>
      <c r="AD708" s="12"/>
      <c r="AE708" s="12"/>
      <c r="AF708" s="274"/>
      <c r="AG708" s="12"/>
      <c r="AH708" s="12"/>
      <c r="AI708" s="296"/>
    </row>
    <row r="709" spans="1:35">
      <c r="A709" s="198">
        <v>148</v>
      </c>
      <c r="B709" s="195" t="s">
        <v>225</v>
      </c>
      <c r="C709" s="196">
        <v>1118494</v>
      </c>
      <c r="D709" s="196"/>
      <c r="E709" s="196"/>
      <c r="F709" s="196"/>
      <c r="G709" s="196"/>
      <c r="H709" s="196"/>
      <c r="I709" s="196"/>
      <c r="J709" s="196"/>
      <c r="K709" s="196">
        <v>1118494</v>
      </c>
      <c r="L709" s="194">
        <v>0</v>
      </c>
      <c r="M709" s="196">
        <v>0</v>
      </c>
      <c r="N709" s="199">
        <v>0</v>
      </c>
      <c r="O709" s="196">
        <v>0</v>
      </c>
      <c r="P709" s="194">
        <v>0</v>
      </c>
      <c r="Q709" s="196">
        <v>0</v>
      </c>
      <c r="R709" s="200">
        <v>0</v>
      </c>
      <c r="S709" s="196">
        <v>0</v>
      </c>
      <c r="T709" s="197">
        <v>0</v>
      </c>
      <c r="U709" s="288">
        <v>0</v>
      </c>
      <c r="V709" s="282">
        <f>C709-'часть 1'!L720</f>
        <v>36776</v>
      </c>
      <c r="W709" s="282"/>
      <c r="X709" s="28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296"/>
    </row>
    <row r="710" spans="1:35">
      <c r="A710" s="198">
        <v>149</v>
      </c>
      <c r="B710" s="195" t="s">
        <v>232</v>
      </c>
      <c r="C710" s="196">
        <v>2540427</v>
      </c>
      <c r="D710" s="196"/>
      <c r="E710" s="196"/>
      <c r="F710" s="196"/>
      <c r="G710" s="196"/>
      <c r="H710" s="196"/>
      <c r="I710" s="196"/>
      <c r="J710" s="196"/>
      <c r="K710" s="196">
        <v>0</v>
      </c>
      <c r="L710" s="194">
        <v>0</v>
      </c>
      <c r="M710" s="196">
        <v>0</v>
      </c>
      <c r="N710" s="196">
        <v>592</v>
      </c>
      <c r="O710" s="196">
        <v>1201460</v>
      </c>
      <c r="P710" s="194">
        <v>0</v>
      </c>
      <c r="Q710" s="196">
        <v>0</v>
      </c>
      <c r="R710" s="196">
        <v>922</v>
      </c>
      <c r="S710" s="196">
        <v>1338967</v>
      </c>
      <c r="T710" s="197">
        <v>0</v>
      </c>
      <c r="U710" s="288">
        <v>0</v>
      </c>
      <c r="V710" s="282">
        <f>C710-'часть 1'!L721</f>
        <v>2333792</v>
      </c>
      <c r="W710" s="282"/>
      <c r="X710" s="28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296"/>
    </row>
    <row r="711" spans="1:35">
      <c r="A711" s="198">
        <v>150</v>
      </c>
      <c r="B711" s="195" t="s">
        <v>275</v>
      </c>
      <c r="C711" s="196">
        <v>2253297</v>
      </c>
      <c r="D711" s="196"/>
      <c r="E711" s="196"/>
      <c r="F711" s="196"/>
      <c r="G711" s="196"/>
      <c r="H711" s="196"/>
      <c r="I711" s="196"/>
      <c r="J711" s="196"/>
      <c r="K711" s="196">
        <v>0</v>
      </c>
      <c r="L711" s="194">
        <v>0</v>
      </c>
      <c r="M711" s="196">
        <v>0</v>
      </c>
      <c r="N711" s="196">
        <v>1126</v>
      </c>
      <c r="O711" s="196">
        <v>2253297</v>
      </c>
      <c r="P711" s="194">
        <v>0</v>
      </c>
      <c r="Q711" s="196">
        <v>0</v>
      </c>
      <c r="R711" s="197">
        <v>0</v>
      </c>
      <c r="S711" s="196">
        <v>0</v>
      </c>
      <c r="T711" s="197">
        <v>0</v>
      </c>
      <c r="U711" s="288">
        <v>0</v>
      </c>
      <c r="V711" s="282">
        <f>C711-'часть 1'!L722</f>
        <v>1209215.96</v>
      </c>
      <c r="W711" s="282"/>
      <c r="X711" s="28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296"/>
    </row>
    <row r="712" spans="1:35" s="278" customFormat="1">
      <c r="A712" s="194">
        <v>151</v>
      </c>
      <c r="B712" s="195" t="s">
        <v>286</v>
      </c>
      <c r="C712" s="196">
        <v>1390061</v>
      </c>
      <c r="D712" s="196"/>
      <c r="E712" s="196"/>
      <c r="F712" s="196"/>
      <c r="G712" s="196"/>
      <c r="H712" s="196"/>
      <c r="I712" s="196"/>
      <c r="J712" s="196"/>
      <c r="K712" s="196" t="e">
        <f>#REF!</f>
        <v>#REF!</v>
      </c>
      <c r="L712" s="194">
        <v>0</v>
      </c>
      <c r="M712" s="196">
        <v>0</v>
      </c>
      <c r="N712" s="196">
        <v>0</v>
      </c>
      <c r="O712" s="196">
        <v>0</v>
      </c>
      <c r="P712" s="194">
        <v>0</v>
      </c>
      <c r="Q712" s="196">
        <v>0</v>
      </c>
      <c r="R712" s="197">
        <v>0</v>
      </c>
      <c r="S712" s="196">
        <v>0</v>
      </c>
      <c r="T712" s="197">
        <v>0</v>
      </c>
      <c r="U712" s="288">
        <v>0</v>
      </c>
      <c r="V712" s="282">
        <f>C712-'часть 1'!L723</f>
        <v>50061</v>
      </c>
      <c r="W712" s="282"/>
      <c r="X712" s="28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296"/>
    </row>
    <row r="713" spans="1:35" ht="30">
      <c r="A713" s="198">
        <v>152</v>
      </c>
      <c r="B713" s="195" t="s">
        <v>342</v>
      </c>
      <c r="C713" s="196">
        <v>3213804</v>
      </c>
      <c r="D713" s="196"/>
      <c r="E713" s="196"/>
      <c r="F713" s="196"/>
      <c r="G713" s="196"/>
      <c r="H713" s="196"/>
      <c r="I713" s="196"/>
      <c r="J713" s="196"/>
      <c r="K713" s="196">
        <v>846948</v>
      </c>
      <c r="L713" s="194">
        <v>0</v>
      </c>
      <c r="M713" s="196">
        <v>0</v>
      </c>
      <c r="N713" s="196">
        <v>1200</v>
      </c>
      <c r="O713" s="196">
        <v>2366856</v>
      </c>
      <c r="P713" s="194">
        <v>0</v>
      </c>
      <c r="Q713" s="196">
        <v>0</v>
      </c>
      <c r="R713" s="197">
        <v>0</v>
      </c>
      <c r="S713" s="196">
        <v>0</v>
      </c>
      <c r="T713" s="197">
        <v>0</v>
      </c>
      <c r="U713" s="288">
        <v>0</v>
      </c>
      <c r="V713" s="282">
        <f>C713-'часть 1'!L724</f>
        <v>919275</v>
      </c>
      <c r="W713" s="282"/>
      <c r="X713" s="28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296"/>
    </row>
    <row r="714" spans="1:35">
      <c r="A714" s="198">
        <v>153</v>
      </c>
      <c r="B714" s="195" t="s">
        <v>298</v>
      </c>
      <c r="C714" s="196">
        <v>3202371</v>
      </c>
      <c r="D714" s="196"/>
      <c r="E714" s="196"/>
      <c r="F714" s="196"/>
      <c r="G714" s="196"/>
      <c r="H714" s="196"/>
      <c r="I714" s="196"/>
      <c r="J714" s="196"/>
      <c r="K714" s="196">
        <v>0</v>
      </c>
      <c r="L714" s="194">
        <v>0</v>
      </c>
      <c r="M714" s="196">
        <v>0</v>
      </c>
      <c r="N714" s="196">
        <v>0</v>
      </c>
      <c r="O714" s="196">
        <v>0</v>
      </c>
      <c r="P714" s="194">
        <v>0</v>
      </c>
      <c r="Q714" s="196">
        <v>0</v>
      </c>
      <c r="R714" s="196">
        <v>2220.83</v>
      </c>
      <c r="S714" s="196">
        <v>3202371</v>
      </c>
      <c r="T714" s="197">
        <v>0</v>
      </c>
      <c r="U714" s="288">
        <v>0</v>
      </c>
      <c r="V714" s="282">
        <f>C714-'часть 1'!L725</f>
        <v>586754.79999999981</v>
      </c>
      <c r="W714" s="282"/>
      <c r="X714" s="28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296"/>
    </row>
    <row r="715" spans="1:35">
      <c r="A715" s="198">
        <v>154</v>
      </c>
      <c r="B715" s="195" t="s">
        <v>253</v>
      </c>
      <c r="C715" s="196">
        <v>709022</v>
      </c>
      <c r="D715" s="196"/>
      <c r="E715" s="196"/>
      <c r="F715" s="196"/>
      <c r="G715" s="196"/>
      <c r="H715" s="196"/>
      <c r="I715" s="196"/>
      <c r="J715" s="196"/>
      <c r="K715" s="196">
        <v>0</v>
      </c>
      <c r="L715" s="194">
        <v>0</v>
      </c>
      <c r="M715" s="196">
        <v>0</v>
      </c>
      <c r="N715" s="196">
        <v>0</v>
      </c>
      <c r="O715" s="196">
        <v>0</v>
      </c>
      <c r="P715" s="194">
        <v>0</v>
      </c>
      <c r="Q715" s="196">
        <v>0</v>
      </c>
      <c r="R715" s="196">
        <v>486.6</v>
      </c>
      <c r="S715" s="199">
        <v>709022</v>
      </c>
      <c r="T715" s="197">
        <v>0</v>
      </c>
      <c r="U715" s="288">
        <v>0</v>
      </c>
      <c r="V715" s="282">
        <f>C715-'часть 1'!L726</f>
        <v>-852517</v>
      </c>
      <c r="W715" s="282"/>
      <c r="X715" s="28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296"/>
    </row>
    <row r="716" spans="1:35">
      <c r="A716" s="194">
        <v>155</v>
      </c>
      <c r="B716" s="195" t="s">
        <v>260</v>
      </c>
      <c r="C716" s="196">
        <v>1136930</v>
      </c>
      <c r="D716" s="196"/>
      <c r="E716" s="196"/>
      <c r="F716" s="196"/>
      <c r="G716" s="196"/>
      <c r="H716" s="196"/>
      <c r="I716" s="196"/>
      <c r="J716" s="196"/>
      <c r="K716" s="196">
        <v>0</v>
      </c>
      <c r="L716" s="194">
        <v>0</v>
      </c>
      <c r="M716" s="196">
        <v>0</v>
      </c>
      <c r="N716" s="196">
        <v>278</v>
      </c>
      <c r="O716" s="196">
        <v>570382</v>
      </c>
      <c r="P716" s="194">
        <v>0</v>
      </c>
      <c r="Q716" s="196">
        <v>0</v>
      </c>
      <c r="R716" s="196">
        <v>386.88</v>
      </c>
      <c r="S716" s="196">
        <v>566548</v>
      </c>
      <c r="T716" s="197">
        <v>0</v>
      </c>
      <c r="U716" s="288">
        <v>0</v>
      </c>
      <c r="V716" s="282">
        <f>C716-'часть 1'!L727</f>
        <v>-284257</v>
      </c>
      <c r="W716" s="282"/>
      <c r="X716" s="28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296"/>
    </row>
    <row r="717" spans="1:35">
      <c r="A717" s="198">
        <v>156</v>
      </c>
      <c r="B717" s="195" t="s">
        <v>349</v>
      </c>
      <c r="C717" s="196">
        <v>1320636</v>
      </c>
      <c r="D717" s="196"/>
      <c r="E717" s="196"/>
      <c r="F717" s="196"/>
      <c r="G717" s="196"/>
      <c r="H717" s="196"/>
      <c r="I717" s="196"/>
      <c r="J717" s="196"/>
      <c r="K717" s="196">
        <v>0</v>
      </c>
      <c r="L717" s="194">
        <v>0</v>
      </c>
      <c r="M717" s="196">
        <v>0</v>
      </c>
      <c r="N717" s="203">
        <v>662</v>
      </c>
      <c r="O717" s="199">
        <v>1320636</v>
      </c>
      <c r="P717" s="194">
        <v>0</v>
      </c>
      <c r="Q717" s="196">
        <v>0</v>
      </c>
      <c r="R717" s="197">
        <v>0</v>
      </c>
      <c r="S717" s="196">
        <v>0</v>
      </c>
      <c r="T717" s="197">
        <v>0</v>
      </c>
      <c r="U717" s="288">
        <v>0</v>
      </c>
      <c r="V717" s="282">
        <f>C717-'часть 1'!L728</f>
        <v>-1149104</v>
      </c>
      <c r="W717" s="282"/>
      <c r="X717" s="28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296"/>
    </row>
    <row r="718" spans="1:35">
      <c r="A718" s="198">
        <v>157</v>
      </c>
      <c r="B718" s="195" t="s">
        <v>302</v>
      </c>
      <c r="C718" s="196">
        <v>4265098</v>
      </c>
      <c r="D718" s="196"/>
      <c r="E718" s="196"/>
      <c r="F718" s="196"/>
      <c r="G718" s="196"/>
      <c r="H718" s="196"/>
      <c r="I718" s="196"/>
      <c r="J718" s="196"/>
      <c r="K718" s="196">
        <v>0</v>
      </c>
      <c r="L718" s="194">
        <v>0</v>
      </c>
      <c r="M718" s="196">
        <v>0</v>
      </c>
      <c r="N718" s="196">
        <v>0</v>
      </c>
      <c r="O718" s="196">
        <v>0</v>
      </c>
      <c r="P718" s="194">
        <v>0</v>
      </c>
      <c r="Q718" s="196">
        <v>0</v>
      </c>
      <c r="R718" s="196">
        <v>2927.5</v>
      </c>
      <c r="S718" s="196">
        <v>4265098</v>
      </c>
      <c r="T718" s="197">
        <v>0</v>
      </c>
      <c r="U718" s="288">
        <v>0</v>
      </c>
      <c r="V718" s="282">
        <f>C718-'часть 1'!L729</f>
        <v>3160241</v>
      </c>
      <c r="W718" s="282"/>
      <c r="X718" s="28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296"/>
    </row>
    <row r="719" spans="1:35">
      <c r="A719" s="198">
        <v>158</v>
      </c>
      <c r="B719" s="195" t="s">
        <v>341</v>
      </c>
      <c r="C719" s="196">
        <v>2115890</v>
      </c>
      <c r="D719" s="196"/>
      <c r="E719" s="196"/>
      <c r="F719" s="196"/>
      <c r="G719" s="196"/>
      <c r="H719" s="196"/>
      <c r="I719" s="196"/>
      <c r="J719" s="196"/>
      <c r="K719" s="196">
        <v>2115890</v>
      </c>
      <c r="L719" s="194">
        <v>0</v>
      </c>
      <c r="M719" s="196">
        <v>0</v>
      </c>
      <c r="N719" s="196">
        <v>0</v>
      </c>
      <c r="O719" s="196">
        <v>0</v>
      </c>
      <c r="P719" s="194">
        <v>0</v>
      </c>
      <c r="Q719" s="196">
        <v>0</v>
      </c>
      <c r="R719" s="197">
        <v>0</v>
      </c>
      <c r="S719" s="196">
        <v>0</v>
      </c>
      <c r="T719" s="197">
        <v>0</v>
      </c>
      <c r="U719" s="288">
        <v>0</v>
      </c>
      <c r="V719" s="282">
        <f>C719-'часть 1'!L730</f>
        <v>238512</v>
      </c>
      <c r="W719" s="282"/>
      <c r="X719" s="28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296"/>
    </row>
    <row r="720" spans="1:35">
      <c r="A720" s="198">
        <v>159</v>
      </c>
      <c r="B720" s="195" t="s">
        <v>242</v>
      </c>
      <c r="C720" s="196">
        <v>482251.51</v>
      </c>
      <c r="D720" s="196"/>
      <c r="E720" s="196"/>
      <c r="F720" s="196"/>
      <c r="G720" s="196"/>
      <c r="H720" s="196"/>
      <c r="I720" s="196"/>
      <c r="J720" s="196"/>
      <c r="K720" s="196">
        <v>482251.51</v>
      </c>
      <c r="L720" s="194">
        <v>0</v>
      </c>
      <c r="M720" s="196">
        <v>0</v>
      </c>
      <c r="N720" s="196">
        <v>0</v>
      </c>
      <c r="O720" s="196">
        <v>0</v>
      </c>
      <c r="P720" s="194">
        <v>0</v>
      </c>
      <c r="Q720" s="196">
        <v>0</v>
      </c>
      <c r="R720" s="197">
        <v>0</v>
      </c>
      <c r="S720" s="196">
        <v>0</v>
      </c>
      <c r="T720" s="197">
        <v>0</v>
      </c>
      <c r="U720" s="288">
        <v>0</v>
      </c>
      <c r="V720" s="282">
        <f>C720-'часть 1'!L731</f>
        <v>-2463584.4900000002</v>
      </c>
      <c r="W720" s="282"/>
      <c r="X720" s="28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296"/>
    </row>
    <row r="721" spans="1:35">
      <c r="A721" s="198">
        <v>160</v>
      </c>
      <c r="B721" s="195" t="s">
        <v>279</v>
      </c>
      <c r="C721" s="196">
        <v>1018040.92</v>
      </c>
      <c r="D721" s="196"/>
      <c r="E721" s="196"/>
      <c r="F721" s="196"/>
      <c r="G721" s="196"/>
      <c r="H721" s="196"/>
      <c r="I721" s="196"/>
      <c r="J721" s="196"/>
      <c r="K721" s="196">
        <v>0</v>
      </c>
      <c r="L721" s="194">
        <v>0</v>
      </c>
      <c r="M721" s="196">
        <v>0</v>
      </c>
      <c r="N721" s="196">
        <v>516.5</v>
      </c>
      <c r="O721" s="196">
        <v>1018040.92</v>
      </c>
      <c r="P721" s="194">
        <v>0</v>
      </c>
      <c r="Q721" s="196">
        <v>0</v>
      </c>
      <c r="R721" s="197">
        <v>0</v>
      </c>
      <c r="S721" s="196">
        <v>0</v>
      </c>
      <c r="T721" s="197">
        <v>0</v>
      </c>
      <c r="U721" s="288">
        <v>0</v>
      </c>
      <c r="V721" s="282">
        <f>C721-'часть 1'!L732</f>
        <v>-100453.07999999996</v>
      </c>
      <c r="W721" s="282"/>
      <c r="X721" s="28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296"/>
    </row>
    <row r="722" spans="1:35">
      <c r="A722" s="198">
        <v>161</v>
      </c>
      <c r="B722" s="195" t="s">
        <v>262</v>
      </c>
      <c r="C722" s="196">
        <v>1871554</v>
      </c>
      <c r="D722" s="196"/>
      <c r="E722" s="196"/>
      <c r="F722" s="196"/>
      <c r="G722" s="196"/>
      <c r="H722" s="196"/>
      <c r="I722" s="196"/>
      <c r="J722" s="196"/>
      <c r="K722" s="196">
        <v>0</v>
      </c>
      <c r="L722" s="194">
        <v>1</v>
      </c>
      <c r="M722" s="196">
        <v>1871554</v>
      </c>
      <c r="N722" s="196">
        <v>0</v>
      </c>
      <c r="O722" s="196">
        <v>0</v>
      </c>
      <c r="P722" s="194">
        <v>0</v>
      </c>
      <c r="Q722" s="196">
        <v>0</v>
      </c>
      <c r="R722" s="197">
        <v>0</v>
      </c>
      <c r="S722" s="196">
        <v>0</v>
      </c>
      <c r="T722" s="197">
        <v>0</v>
      </c>
      <c r="U722" s="288">
        <v>0</v>
      </c>
      <c r="V722" s="282">
        <f>C722-'часть 1'!L733</f>
        <v>-668873</v>
      </c>
      <c r="W722" s="282"/>
      <c r="X722" s="28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296"/>
    </row>
    <row r="723" spans="1:35">
      <c r="A723" s="198">
        <v>162</v>
      </c>
      <c r="B723" s="195" t="s">
        <v>290</v>
      </c>
      <c r="C723" s="196">
        <v>2652530</v>
      </c>
      <c r="D723" s="196"/>
      <c r="E723" s="196"/>
      <c r="F723" s="196"/>
      <c r="G723" s="196"/>
      <c r="H723" s="196"/>
      <c r="I723" s="196"/>
      <c r="J723" s="196"/>
      <c r="K723" s="196">
        <v>2652530</v>
      </c>
      <c r="L723" s="194">
        <v>0</v>
      </c>
      <c r="M723" s="196">
        <v>0</v>
      </c>
      <c r="N723" s="199">
        <v>0</v>
      </c>
      <c r="O723" s="196">
        <v>0</v>
      </c>
      <c r="P723" s="194">
        <v>0</v>
      </c>
      <c r="Q723" s="196">
        <v>0</v>
      </c>
      <c r="R723" s="200">
        <v>0</v>
      </c>
      <c r="S723" s="196">
        <v>0</v>
      </c>
      <c r="T723" s="197">
        <v>0</v>
      </c>
      <c r="U723" s="288">
        <v>0</v>
      </c>
      <c r="V723" s="282">
        <f>C723-'часть 1'!L734</f>
        <v>399233</v>
      </c>
      <c r="W723" s="282"/>
      <c r="X723" s="28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296"/>
    </row>
    <row r="724" spans="1:35">
      <c r="A724" s="198">
        <v>163</v>
      </c>
      <c r="B724" s="195" t="s">
        <v>356</v>
      </c>
      <c r="C724" s="196">
        <v>3645969</v>
      </c>
      <c r="D724" s="196"/>
      <c r="E724" s="196"/>
      <c r="F724" s="196"/>
      <c r="G724" s="196"/>
      <c r="H724" s="196"/>
      <c r="I724" s="196"/>
      <c r="J724" s="196"/>
      <c r="K724" s="196" t="e">
        <f>#REF!</f>
        <v>#REF!</v>
      </c>
      <c r="L724" s="194">
        <v>0</v>
      </c>
      <c r="M724" s="196">
        <v>0</v>
      </c>
      <c r="N724" s="196">
        <v>0</v>
      </c>
      <c r="O724" s="196">
        <v>0</v>
      </c>
      <c r="P724" s="194">
        <v>0</v>
      </c>
      <c r="Q724" s="196">
        <v>0</v>
      </c>
      <c r="R724" s="200">
        <v>0</v>
      </c>
      <c r="S724" s="196">
        <v>0</v>
      </c>
      <c r="T724" s="197">
        <v>0</v>
      </c>
      <c r="U724" s="288">
        <v>0</v>
      </c>
      <c r="V724" s="282">
        <f>C724-'часть 1'!L735</f>
        <v>2255908</v>
      </c>
      <c r="W724" s="282"/>
      <c r="X724" s="282"/>
      <c r="Y724" s="12"/>
      <c r="Z724" s="12"/>
      <c r="AA724" s="12"/>
      <c r="AB724" s="12"/>
      <c r="AC724" s="4"/>
      <c r="AD724" s="12"/>
      <c r="AE724" s="12"/>
      <c r="AF724" s="12"/>
      <c r="AG724" s="12"/>
      <c r="AH724" s="12"/>
      <c r="AI724" s="296"/>
    </row>
    <row r="725" spans="1:35">
      <c r="A725" s="198">
        <v>164</v>
      </c>
      <c r="B725" s="195" t="s">
        <v>354</v>
      </c>
      <c r="C725" s="196">
        <v>771330</v>
      </c>
      <c r="D725" s="196"/>
      <c r="E725" s="196"/>
      <c r="F725" s="196"/>
      <c r="G725" s="196"/>
      <c r="H725" s="196"/>
      <c r="I725" s="196"/>
      <c r="J725" s="196"/>
      <c r="K725" s="196">
        <v>0</v>
      </c>
      <c r="L725" s="194">
        <v>0</v>
      </c>
      <c r="M725" s="196">
        <v>0</v>
      </c>
      <c r="N725" s="196">
        <v>376</v>
      </c>
      <c r="O725" s="196">
        <v>771330</v>
      </c>
      <c r="P725" s="194">
        <v>0</v>
      </c>
      <c r="Q725" s="196">
        <v>0</v>
      </c>
      <c r="R725" s="197">
        <v>0</v>
      </c>
      <c r="S725" s="196">
        <v>0</v>
      </c>
      <c r="T725" s="197">
        <v>0</v>
      </c>
      <c r="U725" s="288">
        <v>0</v>
      </c>
      <c r="V725" s="282">
        <f>C725-'часть 1'!L736</f>
        <v>-2442474</v>
      </c>
      <c r="W725" s="282"/>
      <c r="X725" s="28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296"/>
    </row>
    <row r="726" spans="1:35">
      <c r="A726" s="198">
        <v>165</v>
      </c>
      <c r="B726" s="195" t="s">
        <v>352</v>
      </c>
      <c r="C726" s="196">
        <v>1894719</v>
      </c>
      <c r="D726" s="196"/>
      <c r="E726" s="196"/>
      <c r="F726" s="196"/>
      <c r="G726" s="196"/>
      <c r="H726" s="196"/>
      <c r="I726" s="196"/>
      <c r="J726" s="196"/>
      <c r="K726" s="196">
        <v>0</v>
      </c>
      <c r="L726" s="194">
        <v>1</v>
      </c>
      <c r="M726" s="196">
        <v>1894719</v>
      </c>
      <c r="N726" s="196">
        <v>0</v>
      </c>
      <c r="O726" s="196">
        <v>0</v>
      </c>
      <c r="P726" s="194">
        <v>0</v>
      </c>
      <c r="Q726" s="196">
        <v>0</v>
      </c>
      <c r="R726" s="197">
        <v>0</v>
      </c>
      <c r="S726" s="196">
        <v>0</v>
      </c>
      <c r="T726" s="197">
        <v>0</v>
      </c>
      <c r="U726" s="288">
        <v>0</v>
      </c>
      <c r="V726" s="282">
        <f>C726-'часть 1'!L737</f>
        <v>-1307652</v>
      </c>
      <c r="W726" s="282"/>
      <c r="X726" s="28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296"/>
    </row>
    <row r="727" spans="1:35">
      <c r="A727" s="198">
        <v>166</v>
      </c>
      <c r="B727" s="195" t="s">
        <v>355</v>
      </c>
      <c r="C727" s="196">
        <v>1492412</v>
      </c>
      <c r="D727" s="196"/>
      <c r="E727" s="196"/>
      <c r="F727" s="196"/>
      <c r="G727" s="196"/>
      <c r="H727" s="196"/>
      <c r="I727" s="196"/>
      <c r="J727" s="196"/>
      <c r="K727" s="196">
        <v>0</v>
      </c>
      <c r="L727" s="194">
        <v>0</v>
      </c>
      <c r="M727" s="196">
        <v>0</v>
      </c>
      <c r="N727" s="196">
        <v>752</v>
      </c>
      <c r="O727" s="196">
        <v>1492412</v>
      </c>
      <c r="P727" s="194">
        <v>0</v>
      </c>
      <c r="Q727" s="196">
        <v>0</v>
      </c>
      <c r="R727" s="197">
        <v>0</v>
      </c>
      <c r="S727" s="196">
        <v>0</v>
      </c>
      <c r="T727" s="197">
        <v>0</v>
      </c>
      <c r="U727" s="288">
        <v>0</v>
      </c>
      <c r="V727" s="282">
        <f>C727-'часть 1'!L738</f>
        <v>783390</v>
      </c>
      <c r="W727" s="282"/>
      <c r="X727" s="28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296"/>
    </row>
    <row r="728" spans="1:35">
      <c r="A728" s="198">
        <v>167</v>
      </c>
      <c r="B728" s="195" t="s">
        <v>318</v>
      </c>
      <c r="C728" s="196">
        <v>651523.25</v>
      </c>
      <c r="D728" s="196"/>
      <c r="E728" s="196"/>
      <c r="F728" s="196"/>
      <c r="G728" s="196"/>
      <c r="H728" s="196"/>
      <c r="I728" s="196"/>
      <c r="J728" s="196"/>
      <c r="K728" s="196">
        <v>651523.25</v>
      </c>
      <c r="L728" s="194">
        <v>0</v>
      </c>
      <c r="M728" s="196">
        <v>0</v>
      </c>
      <c r="N728" s="199">
        <v>0</v>
      </c>
      <c r="O728" s="196">
        <v>0</v>
      </c>
      <c r="P728" s="194">
        <v>0</v>
      </c>
      <c r="Q728" s="196">
        <v>0</v>
      </c>
      <c r="R728" s="200">
        <v>0</v>
      </c>
      <c r="S728" s="196">
        <v>0</v>
      </c>
      <c r="T728" s="197">
        <v>0</v>
      </c>
      <c r="U728" s="288">
        <v>0</v>
      </c>
      <c r="V728" s="282">
        <f>C728-'часть 1'!L739</f>
        <v>-485406.75</v>
      </c>
      <c r="W728" s="282"/>
      <c r="X728" s="28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296"/>
    </row>
    <row r="729" spans="1:35" ht="15.75" thickBot="1">
      <c r="A729" s="198">
        <v>168</v>
      </c>
      <c r="B729" s="195" t="s">
        <v>353</v>
      </c>
      <c r="C729" s="196">
        <v>1221424.83</v>
      </c>
      <c r="D729" s="196"/>
      <c r="E729" s="196"/>
      <c r="F729" s="196"/>
      <c r="G729" s="196"/>
      <c r="H729" s="196"/>
      <c r="I729" s="196"/>
      <c r="J729" s="196"/>
      <c r="K729" s="196">
        <v>0</v>
      </c>
      <c r="L729" s="194">
        <v>0</v>
      </c>
      <c r="M729" s="196">
        <v>0</v>
      </c>
      <c r="N729" s="196">
        <v>640</v>
      </c>
      <c r="O729" s="196">
        <v>1221424.83</v>
      </c>
      <c r="P729" s="194">
        <v>0</v>
      </c>
      <c r="Q729" s="196">
        <v>0</v>
      </c>
      <c r="R729" s="200">
        <v>0</v>
      </c>
      <c r="S729" s="196">
        <v>0</v>
      </c>
      <c r="T729" s="197">
        <v>0</v>
      </c>
      <c r="U729" s="288">
        <v>0</v>
      </c>
      <c r="V729" s="282">
        <f>C729-'часть 1'!L740</f>
        <v>-99211.169999999925</v>
      </c>
      <c r="W729" s="282"/>
      <c r="X729" s="282"/>
      <c r="Y729" s="65"/>
      <c r="Z729" s="12"/>
      <c r="AA729" s="65"/>
      <c r="AB729" s="12"/>
      <c r="AC729" s="65"/>
      <c r="AD729" s="12"/>
      <c r="AE729" s="65"/>
      <c r="AF729" s="12"/>
      <c r="AG729" s="65"/>
      <c r="AH729" s="12"/>
      <c r="AI729" s="299"/>
    </row>
    <row r="730" spans="1:35" ht="31.5" customHeight="1">
      <c r="A730" s="198"/>
      <c r="B730" s="195" t="s">
        <v>91</v>
      </c>
      <c r="C730" s="196">
        <f>C731+C732+C733+C734+C735+C736+C737+C738+C739+C740+C741+C742+C743</f>
        <v>21022265</v>
      </c>
      <c r="D730" s="196">
        <f t="shared" ref="D730:V730" si="89">D731+D732+D733+D734+D735+D736+D737+D738+D739+D740+D741+D742+D743</f>
        <v>0</v>
      </c>
      <c r="E730" s="196">
        <f t="shared" si="89"/>
        <v>0</v>
      </c>
      <c r="F730" s="196">
        <f t="shared" si="89"/>
        <v>0</v>
      </c>
      <c r="G730" s="196">
        <f t="shared" si="89"/>
        <v>0</v>
      </c>
      <c r="H730" s="196">
        <f t="shared" si="89"/>
        <v>0</v>
      </c>
      <c r="I730" s="196">
        <f t="shared" si="89"/>
        <v>0</v>
      </c>
      <c r="J730" s="196">
        <f t="shared" si="89"/>
        <v>0</v>
      </c>
      <c r="K730" s="196">
        <f t="shared" si="89"/>
        <v>0</v>
      </c>
      <c r="L730" s="196">
        <f t="shared" si="89"/>
        <v>0</v>
      </c>
      <c r="M730" s="196">
        <f t="shared" si="89"/>
        <v>0</v>
      </c>
      <c r="N730" s="196">
        <f t="shared" si="89"/>
        <v>7004.99</v>
      </c>
      <c r="O730" s="196">
        <f t="shared" si="89"/>
        <v>21022265</v>
      </c>
      <c r="P730" s="196">
        <f t="shared" si="89"/>
        <v>0</v>
      </c>
      <c r="Q730" s="196">
        <f t="shared" si="89"/>
        <v>0</v>
      </c>
      <c r="R730" s="196">
        <f t="shared" si="89"/>
        <v>0</v>
      </c>
      <c r="S730" s="196">
        <f t="shared" si="89"/>
        <v>0</v>
      </c>
      <c r="T730" s="196">
        <f t="shared" si="89"/>
        <v>0</v>
      </c>
      <c r="U730" s="196">
        <f t="shared" si="89"/>
        <v>0</v>
      </c>
      <c r="V730" s="196">
        <f t="shared" si="89"/>
        <v>0</v>
      </c>
      <c r="W730" s="282"/>
      <c r="X730" s="282"/>
    </row>
    <row r="731" spans="1:35" ht="15.75">
      <c r="A731" s="198">
        <v>169</v>
      </c>
      <c r="B731" s="941" t="s">
        <v>949</v>
      </c>
      <c r="C731" s="196">
        <f>'часть 1'!L754</f>
        <v>2589031</v>
      </c>
      <c r="D731" s="196">
        <v>0</v>
      </c>
      <c r="E731" s="196">
        <v>0</v>
      </c>
      <c r="F731" s="196">
        <v>0</v>
      </c>
      <c r="G731" s="196">
        <v>0</v>
      </c>
      <c r="H731" s="196">
        <v>0</v>
      </c>
      <c r="I731" s="196">
        <v>0</v>
      </c>
      <c r="J731" s="196">
        <v>0</v>
      </c>
      <c r="K731" s="196">
        <v>0</v>
      </c>
      <c r="L731" s="207">
        <v>0</v>
      </c>
      <c r="M731" s="199">
        <v>0</v>
      </c>
      <c r="N731" s="199">
        <v>1034</v>
      </c>
      <c r="O731" s="199">
        <f>C731</f>
        <v>2589031</v>
      </c>
      <c r="P731" s="208">
        <v>0</v>
      </c>
      <c r="Q731" s="199">
        <v>0</v>
      </c>
      <c r="R731" s="200">
        <v>0</v>
      </c>
      <c r="S731" s="209">
        <v>0</v>
      </c>
      <c r="T731" s="208">
        <v>0</v>
      </c>
      <c r="U731" s="289">
        <v>0</v>
      </c>
      <c r="V731" s="282"/>
      <c r="W731" s="282">
        <f>O731/N731</f>
        <v>2503.8984526112185</v>
      </c>
      <c r="X731" s="282"/>
    </row>
    <row r="732" spans="1:35" ht="15.75">
      <c r="A732" s="198">
        <v>170</v>
      </c>
      <c r="B732" s="941" t="s">
        <v>950</v>
      </c>
      <c r="C732" s="196">
        <f>'часть 1'!L755</f>
        <v>2100989</v>
      </c>
      <c r="D732" s="196">
        <v>0</v>
      </c>
      <c r="E732" s="196">
        <v>0</v>
      </c>
      <c r="F732" s="196">
        <v>0</v>
      </c>
      <c r="G732" s="196">
        <v>0</v>
      </c>
      <c r="H732" s="196">
        <v>0</v>
      </c>
      <c r="I732" s="196">
        <v>0</v>
      </c>
      <c r="J732" s="196">
        <v>0</v>
      </c>
      <c r="K732" s="196">
        <v>0</v>
      </c>
      <c r="L732" s="207">
        <v>0</v>
      </c>
      <c r="M732" s="199">
        <v>0</v>
      </c>
      <c r="N732" s="199">
        <v>660</v>
      </c>
      <c r="O732" s="199">
        <f t="shared" ref="O732:O743" si="90">C732</f>
        <v>2100989</v>
      </c>
      <c r="P732" s="208">
        <v>0</v>
      </c>
      <c r="Q732" s="199">
        <v>0</v>
      </c>
      <c r="R732" s="200">
        <v>0</v>
      </c>
      <c r="S732" s="209">
        <v>0</v>
      </c>
      <c r="T732" s="208">
        <v>0</v>
      </c>
      <c r="U732" s="289">
        <v>0</v>
      </c>
      <c r="V732" s="282"/>
      <c r="W732" s="282">
        <f t="shared" ref="W732:W743" si="91">O732/N732</f>
        <v>3183.3166666666666</v>
      </c>
      <c r="X732" s="282"/>
    </row>
    <row r="733" spans="1:35" ht="15.75">
      <c r="A733" s="198">
        <v>171</v>
      </c>
      <c r="B733" s="941" t="s">
        <v>951</v>
      </c>
      <c r="C733" s="196">
        <f>'часть 1'!L756</f>
        <v>1913404</v>
      </c>
      <c r="D733" s="196">
        <v>0</v>
      </c>
      <c r="E733" s="196">
        <v>0</v>
      </c>
      <c r="F733" s="196">
        <v>0</v>
      </c>
      <c r="G733" s="196">
        <v>0</v>
      </c>
      <c r="H733" s="196">
        <v>0</v>
      </c>
      <c r="I733" s="196">
        <v>0</v>
      </c>
      <c r="J733" s="196">
        <v>0</v>
      </c>
      <c r="K733" s="196">
        <v>0</v>
      </c>
      <c r="L733" s="207">
        <v>0</v>
      </c>
      <c r="M733" s="199">
        <v>0</v>
      </c>
      <c r="N733" s="199">
        <v>600</v>
      </c>
      <c r="O733" s="199">
        <f t="shared" si="90"/>
        <v>1913404</v>
      </c>
      <c r="P733" s="208">
        <v>0</v>
      </c>
      <c r="Q733" s="199">
        <v>0</v>
      </c>
      <c r="R733" s="200">
        <v>0</v>
      </c>
      <c r="S733" s="209">
        <v>0</v>
      </c>
      <c r="T733" s="208">
        <v>0</v>
      </c>
      <c r="U733" s="289">
        <v>0</v>
      </c>
      <c r="V733" s="282"/>
      <c r="W733" s="282">
        <f t="shared" si="91"/>
        <v>3189.0066666666667</v>
      </c>
      <c r="X733" s="282"/>
    </row>
    <row r="734" spans="1:35" ht="15.75">
      <c r="A734" s="198">
        <v>172</v>
      </c>
      <c r="B734" s="941" t="s">
        <v>952</v>
      </c>
      <c r="C734" s="196">
        <f>'часть 1'!L757</f>
        <v>2563779</v>
      </c>
      <c r="D734" s="196">
        <v>0</v>
      </c>
      <c r="E734" s="196">
        <v>0</v>
      </c>
      <c r="F734" s="196">
        <v>0</v>
      </c>
      <c r="G734" s="196">
        <v>0</v>
      </c>
      <c r="H734" s="196">
        <v>0</v>
      </c>
      <c r="I734" s="196">
        <v>0</v>
      </c>
      <c r="J734" s="196">
        <v>0</v>
      </c>
      <c r="K734" s="196">
        <v>0</v>
      </c>
      <c r="L734" s="207">
        <v>0</v>
      </c>
      <c r="M734" s="199">
        <v>0</v>
      </c>
      <c r="N734" s="199">
        <v>1024</v>
      </c>
      <c r="O734" s="199">
        <f t="shared" si="90"/>
        <v>2563779</v>
      </c>
      <c r="P734" s="208">
        <v>0</v>
      </c>
      <c r="Q734" s="199">
        <v>0</v>
      </c>
      <c r="R734" s="200">
        <v>0</v>
      </c>
      <c r="S734" s="209">
        <v>0</v>
      </c>
      <c r="T734" s="208">
        <v>0</v>
      </c>
      <c r="U734" s="289">
        <v>0</v>
      </c>
      <c r="V734" s="282"/>
      <c r="W734" s="282">
        <f t="shared" si="91"/>
        <v>2503.6904296875</v>
      </c>
      <c r="X734" s="282"/>
    </row>
    <row r="735" spans="1:35" ht="15.75">
      <c r="A735" s="198">
        <v>173</v>
      </c>
      <c r="B735" s="941" t="s">
        <v>953</v>
      </c>
      <c r="C735" s="196">
        <f>'часть 1'!L758</f>
        <v>1211476</v>
      </c>
      <c r="D735" s="196">
        <v>0</v>
      </c>
      <c r="E735" s="196">
        <v>0</v>
      </c>
      <c r="F735" s="196">
        <v>0</v>
      </c>
      <c r="G735" s="196">
        <v>0</v>
      </c>
      <c r="H735" s="196">
        <v>0</v>
      </c>
      <c r="I735" s="196">
        <v>0</v>
      </c>
      <c r="J735" s="196">
        <v>0</v>
      </c>
      <c r="K735" s="196">
        <v>0</v>
      </c>
      <c r="L735" s="207">
        <v>0</v>
      </c>
      <c r="M735" s="199">
        <v>0</v>
      </c>
      <c r="N735" s="199">
        <v>373.39</v>
      </c>
      <c r="O735" s="199">
        <f t="shared" si="90"/>
        <v>1211476</v>
      </c>
      <c r="P735" s="208">
        <v>0</v>
      </c>
      <c r="Q735" s="199">
        <v>0</v>
      </c>
      <c r="R735" s="200">
        <v>0</v>
      </c>
      <c r="S735" s="209">
        <v>0</v>
      </c>
      <c r="T735" s="208">
        <v>0</v>
      </c>
      <c r="U735" s="289">
        <v>0</v>
      </c>
      <c r="V735" s="282"/>
      <c r="W735" s="282">
        <f t="shared" si="91"/>
        <v>3244.5325263129703</v>
      </c>
      <c r="X735" s="282"/>
    </row>
    <row r="736" spans="1:35" ht="15.75">
      <c r="A736" s="198">
        <v>174</v>
      </c>
      <c r="B736" s="941" t="s">
        <v>954</v>
      </c>
      <c r="C736" s="196">
        <f>'часть 1'!L759</f>
        <v>3154876</v>
      </c>
      <c r="D736" s="196">
        <v>0</v>
      </c>
      <c r="E736" s="196">
        <v>0</v>
      </c>
      <c r="F736" s="196">
        <v>0</v>
      </c>
      <c r="G736" s="196">
        <v>0</v>
      </c>
      <c r="H736" s="196">
        <v>0</v>
      </c>
      <c r="I736" s="196">
        <v>0</v>
      </c>
      <c r="J736" s="196">
        <v>0</v>
      </c>
      <c r="K736" s="196">
        <v>0</v>
      </c>
      <c r="L736" s="207">
        <v>0</v>
      </c>
      <c r="M736" s="199">
        <v>0</v>
      </c>
      <c r="N736" s="199">
        <v>997</v>
      </c>
      <c r="O736" s="199">
        <f t="shared" si="90"/>
        <v>3154876</v>
      </c>
      <c r="P736" s="208">
        <v>0</v>
      </c>
      <c r="Q736" s="199">
        <v>0</v>
      </c>
      <c r="R736" s="200">
        <v>0</v>
      </c>
      <c r="S736" s="209">
        <v>0</v>
      </c>
      <c r="T736" s="208">
        <v>0</v>
      </c>
      <c r="U736" s="289">
        <v>0</v>
      </c>
      <c r="V736" s="282"/>
      <c r="W736" s="282">
        <f t="shared" si="91"/>
        <v>3164.3691073219661</v>
      </c>
      <c r="X736" s="282"/>
    </row>
    <row r="737" spans="1:27" ht="15.75">
      <c r="A737" s="198">
        <v>175</v>
      </c>
      <c r="B737" s="941" t="s">
        <v>955</v>
      </c>
      <c r="C737" s="196">
        <f>'часть 1'!L760</f>
        <v>869705</v>
      </c>
      <c r="D737" s="196">
        <v>0</v>
      </c>
      <c r="E737" s="196">
        <v>0</v>
      </c>
      <c r="F737" s="196">
        <v>0</v>
      </c>
      <c r="G737" s="196">
        <v>0</v>
      </c>
      <c r="H737" s="196">
        <v>0</v>
      </c>
      <c r="I737" s="196">
        <v>0</v>
      </c>
      <c r="J737" s="196">
        <v>0</v>
      </c>
      <c r="K737" s="196">
        <v>0</v>
      </c>
      <c r="L737" s="207">
        <v>0</v>
      </c>
      <c r="M737" s="199">
        <v>0</v>
      </c>
      <c r="N737" s="199">
        <v>269</v>
      </c>
      <c r="O737" s="199">
        <f t="shared" si="90"/>
        <v>869705</v>
      </c>
      <c r="P737" s="208">
        <v>0</v>
      </c>
      <c r="Q737" s="199">
        <v>0</v>
      </c>
      <c r="R737" s="200">
        <v>0</v>
      </c>
      <c r="S737" s="209">
        <v>0</v>
      </c>
      <c r="T737" s="208">
        <v>0</v>
      </c>
      <c r="U737" s="289">
        <v>0</v>
      </c>
      <c r="V737" s="282"/>
      <c r="W737" s="282">
        <f t="shared" si="91"/>
        <v>3233.1040892193309</v>
      </c>
      <c r="X737" s="282"/>
    </row>
    <row r="738" spans="1:27" ht="15.75">
      <c r="A738" s="198"/>
      <c r="B738" s="941" t="s">
        <v>956</v>
      </c>
      <c r="C738" s="196">
        <f>'часть 1'!L761</f>
        <v>1873863</v>
      </c>
      <c r="D738" s="196">
        <v>0</v>
      </c>
      <c r="E738" s="196">
        <v>0</v>
      </c>
      <c r="F738" s="196">
        <v>0</v>
      </c>
      <c r="G738" s="196">
        <v>0</v>
      </c>
      <c r="H738" s="196">
        <v>0</v>
      </c>
      <c r="I738" s="196">
        <v>0</v>
      </c>
      <c r="J738" s="196">
        <v>0</v>
      </c>
      <c r="K738" s="196">
        <v>0</v>
      </c>
      <c r="L738" s="207">
        <v>0</v>
      </c>
      <c r="M738" s="199">
        <v>0</v>
      </c>
      <c r="N738" s="199">
        <v>585</v>
      </c>
      <c r="O738" s="199">
        <f t="shared" si="90"/>
        <v>1873863</v>
      </c>
      <c r="P738" s="208">
        <v>0</v>
      </c>
      <c r="Q738" s="199">
        <v>0</v>
      </c>
      <c r="R738" s="200">
        <v>0</v>
      </c>
      <c r="S738" s="209">
        <v>0</v>
      </c>
      <c r="T738" s="208">
        <v>0</v>
      </c>
      <c r="U738" s="289">
        <v>0</v>
      </c>
      <c r="V738" s="282"/>
      <c r="W738" s="282">
        <f t="shared" si="91"/>
        <v>3203.1846153846154</v>
      </c>
      <c r="X738" s="282"/>
    </row>
    <row r="739" spans="1:27" ht="15.75">
      <c r="A739" s="198"/>
      <c r="B739" s="941" t="s">
        <v>957</v>
      </c>
      <c r="C739" s="196">
        <f>'часть 1'!L762</f>
        <v>1044244</v>
      </c>
      <c r="D739" s="196">
        <v>0</v>
      </c>
      <c r="E739" s="196">
        <v>0</v>
      </c>
      <c r="F739" s="196">
        <v>0</v>
      </c>
      <c r="G739" s="196">
        <v>0</v>
      </c>
      <c r="H739" s="196">
        <v>0</v>
      </c>
      <c r="I739" s="196">
        <v>0</v>
      </c>
      <c r="J739" s="196">
        <v>0</v>
      </c>
      <c r="K739" s="196">
        <v>0</v>
      </c>
      <c r="L739" s="207">
        <v>0</v>
      </c>
      <c r="M739" s="199">
        <v>0</v>
      </c>
      <c r="N739" s="199">
        <v>320</v>
      </c>
      <c r="O739" s="199">
        <f t="shared" si="90"/>
        <v>1044244</v>
      </c>
      <c r="P739" s="208">
        <v>0</v>
      </c>
      <c r="Q739" s="199">
        <v>0</v>
      </c>
      <c r="R739" s="200">
        <v>0</v>
      </c>
      <c r="S739" s="209">
        <v>0</v>
      </c>
      <c r="T739" s="208">
        <v>0</v>
      </c>
      <c r="U739" s="289">
        <v>0</v>
      </c>
      <c r="V739" s="282"/>
      <c r="W739" s="282">
        <f t="shared" si="91"/>
        <v>3263.2624999999998</v>
      </c>
      <c r="X739" s="282"/>
    </row>
    <row r="740" spans="1:27" ht="15.75">
      <c r="A740" s="198"/>
      <c r="B740" s="941" t="s">
        <v>958</v>
      </c>
      <c r="C740" s="196">
        <f>'часть 1'!L763</f>
        <v>831874</v>
      </c>
      <c r="D740" s="196">
        <v>0</v>
      </c>
      <c r="E740" s="196">
        <v>0</v>
      </c>
      <c r="F740" s="196">
        <v>0</v>
      </c>
      <c r="G740" s="196">
        <v>0</v>
      </c>
      <c r="H740" s="196">
        <v>0</v>
      </c>
      <c r="I740" s="196">
        <v>0</v>
      </c>
      <c r="J740" s="196">
        <v>0</v>
      </c>
      <c r="K740" s="196">
        <v>0</v>
      </c>
      <c r="L740" s="207">
        <v>0</v>
      </c>
      <c r="M740" s="199">
        <v>0</v>
      </c>
      <c r="N740" s="199">
        <v>253</v>
      </c>
      <c r="O740" s="199">
        <f t="shared" si="90"/>
        <v>831874</v>
      </c>
      <c r="P740" s="208">
        <v>0</v>
      </c>
      <c r="Q740" s="199">
        <v>0</v>
      </c>
      <c r="R740" s="200">
        <v>0</v>
      </c>
      <c r="S740" s="209">
        <v>0</v>
      </c>
      <c r="T740" s="208">
        <v>0</v>
      </c>
      <c r="U740" s="289">
        <v>0</v>
      </c>
      <c r="V740" s="282"/>
      <c r="W740" s="282">
        <f t="shared" si="91"/>
        <v>3288.0395256916995</v>
      </c>
      <c r="X740" s="282"/>
    </row>
    <row r="741" spans="1:27" ht="15.75">
      <c r="A741" s="198"/>
      <c r="B741" s="941" t="s">
        <v>959</v>
      </c>
      <c r="C741" s="196">
        <f>'часть 1'!L764</f>
        <v>1249958</v>
      </c>
      <c r="D741" s="196">
        <v>0</v>
      </c>
      <c r="E741" s="196">
        <v>0</v>
      </c>
      <c r="F741" s="196">
        <v>0</v>
      </c>
      <c r="G741" s="196">
        <v>0</v>
      </c>
      <c r="H741" s="196">
        <v>0</v>
      </c>
      <c r="I741" s="196">
        <v>0</v>
      </c>
      <c r="J741" s="196">
        <v>0</v>
      </c>
      <c r="K741" s="196">
        <v>0</v>
      </c>
      <c r="L741" s="207">
        <v>0</v>
      </c>
      <c r="M741" s="199">
        <v>0</v>
      </c>
      <c r="N741" s="199">
        <v>390</v>
      </c>
      <c r="O741" s="199">
        <f t="shared" si="90"/>
        <v>1249958</v>
      </c>
      <c r="P741" s="208">
        <v>0</v>
      </c>
      <c r="Q741" s="199">
        <v>0</v>
      </c>
      <c r="R741" s="200">
        <v>0</v>
      </c>
      <c r="S741" s="209">
        <v>0</v>
      </c>
      <c r="T741" s="208">
        <v>0</v>
      </c>
      <c r="U741" s="289">
        <v>0</v>
      </c>
      <c r="V741" s="282"/>
      <c r="W741" s="282">
        <f t="shared" si="91"/>
        <v>3205.020512820513</v>
      </c>
      <c r="X741" s="282"/>
    </row>
    <row r="742" spans="1:27" ht="15.75">
      <c r="A742" s="198"/>
      <c r="B742" s="941" t="s">
        <v>960</v>
      </c>
      <c r="C742" s="196">
        <f>'часть 1'!L765</f>
        <v>1054021</v>
      </c>
      <c r="D742" s="196">
        <v>0</v>
      </c>
      <c r="E742" s="196">
        <v>0</v>
      </c>
      <c r="F742" s="196">
        <v>0</v>
      </c>
      <c r="G742" s="196">
        <v>0</v>
      </c>
      <c r="H742" s="196">
        <v>0</v>
      </c>
      <c r="I742" s="196">
        <v>0</v>
      </c>
      <c r="J742" s="196">
        <v>0</v>
      </c>
      <c r="K742" s="196">
        <v>0</v>
      </c>
      <c r="L742" s="207">
        <v>0</v>
      </c>
      <c r="M742" s="199">
        <v>0</v>
      </c>
      <c r="N742" s="199">
        <v>327.60000000000002</v>
      </c>
      <c r="O742" s="199">
        <f t="shared" si="90"/>
        <v>1054021</v>
      </c>
      <c r="P742" s="208">
        <v>0</v>
      </c>
      <c r="Q742" s="199">
        <v>0</v>
      </c>
      <c r="R742" s="200">
        <v>0</v>
      </c>
      <c r="S742" s="209">
        <v>0</v>
      </c>
      <c r="T742" s="208">
        <v>0</v>
      </c>
      <c r="U742" s="289">
        <v>0</v>
      </c>
      <c r="V742" s="282"/>
      <c r="W742" s="282">
        <f t="shared" si="91"/>
        <v>3217.4023199023195</v>
      </c>
      <c r="X742" s="282"/>
    </row>
    <row r="743" spans="1:27" ht="15.75">
      <c r="A743" s="198">
        <v>176</v>
      </c>
      <c r="B743" s="941" t="s">
        <v>961</v>
      </c>
      <c r="C743" s="196">
        <f>'часть 1'!L766</f>
        <v>565045</v>
      </c>
      <c r="D743" s="196">
        <v>0</v>
      </c>
      <c r="E743" s="196">
        <v>0</v>
      </c>
      <c r="F743" s="196">
        <v>0</v>
      </c>
      <c r="G743" s="196">
        <v>0</v>
      </c>
      <c r="H743" s="196">
        <v>0</v>
      </c>
      <c r="I743" s="196">
        <v>0</v>
      </c>
      <c r="J743" s="196">
        <v>0</v>
      </c>
      <c r="K743" s="196">
        <v>0</v>
      </c>
      <c r="L743" s="207">
        <v>0</v>
      </c>
      <c r="M743" s="199">
        <v>0</v>
      </c>
      <c r="N743" s="199">
        <v>172</v>
      </c>
      <c r="O743" s="199">
        <f t="shared" si="90"/>
        <v>565045</v>
      </c>
      <c r="P743" s="208">
        <v>0</v>
      </c>
      <c r="Q743" s="199">
        <v>0</v>
      </c>
      <c r="R743" s="200">
        <v>0</v>
      </c>
      <c r="S743" s="209">
        <v>0</v>
      </c>
      <c r="T743" s="208">
        <v>0</v>
      </c>
      <c r="U743" s="289">
        <v>0</v>
      </c>
      <c r="V743" s="282"/>
      <c r="W743" s="282">
        <f t="shared" si="91"/>
        <v>3285.1453488372094</v>
      </c>
      <c r="X743" s="282"/>
    </row>
    <row r="744" spans="1:27" ht="18.75" customHeight="1">
      <c r="A744" s="487"/>
      <c r="B744" s="506" t="s">
        <v>92</v>
      </c>
      <c r="C744" s="489">
        <f>C745+C746</f>
        <v>1681461</v>
      </c>
      <c r="D744" s="489">
        <f t="shared" ref="D744:V744" si="92">D745+D746</f>
        <v>409319</v>
      </c>
      <c r="E744" s="489">
        <f t="shared" si="92"/>
        <v>0</v>
      </c>
      <c r="F744" s="489">
        <f t="shared" si="92"/>
        <v>409319</v>
      </c>
      <c r="G744" s="489">
        <f t="shared" si="92"/>
        <v>0</v>
      </c>
      <c r="H744" s="489">
        <f t="shared" si="92"/>
        <v>0</v>
      </c>
      <c r="I744" s="489">
        <f t="shared" si="92"/>
        <v>0</v>
      </c>
      <c r="J744" s="489">
        <f t="shared" si="92"/>
        <v>0</v>
      </c>
      <c r="K744" s="489">
        <f t="shared" si="92"/>
        <v>0</v>
      </c>
      <c r="L744" s="489">
        <f t="shared" si="92"/>
        <v>0</v>
      </c>
      <c r="M744" s="489">
        <f t="shared" si="92"/>
        <v>0</v>
      </c>
      <c r="N744" s="489">
        <f t="shared" si="92"/>
        <v>396.5</v>
      </c>
      <c r="O744" s="489">
        <f t="shared" si="92"/>
        <v>1272142</v>
      </c>
      <c r="P744" s="489">
        <f t="shared" si="92"/>
        <v>0</v>
      </c>
      <c r="Q744" s="489">
        <f t="shared" si="92"/>
        <v>0</v>
      </c>
      <c r="R744" s="489">
        <f t="shared" si="92"/>
        <v>0</v>
      </c>
      <c r="S744" s="489">
        <f t="shared" si="92"/>
        <v>0</v>
      </c>
      <c r="T744" s="489">
        <f t="shared" si="92"/>
        <v>0</v>
      </c>
      <c r="U744" s="489">
        <f t="shared" si="92"/>
        <v>0</v>
      </c>
      <c r="V744" s="196">
        <f t="shared" si="92"/>
        <v>0</v>
      </c>
      <c r="W744" s="282"/>
      <c r="X744" s="282"/>
    </row>
    <row r="745" spans="1:27" ht="18.75" customHeight="1">
      <c r="A745" s="487"/>
      <c r="B745" s="506" t="s">
        <v>647</v>
      </c>
      <c r="C745" s="489">
        <f>'часть 1'!L768</f>
        <v>409319</v>
      </c>
      <c r="D745" s="489">
        <f>E745+F745+G745+H745+I745+J745+K745</f>
        <v>409319</v>
      </c>
      <c r="E745" s="489">
        <v>0</v>
      </c>
      <c r="F745" s="489">
        <v>409319</v>
      </c>
      <c r="G745" s="489">
        <v>0</v>
      </c>
      <c r="H745" s="489">
        <v>0</v>
      </c>
      <c r="I745" s="489">
        <v>0</v>
      </c>
      <c r="J745" s="489">
        <v>0</v>
      </c>
      <c r="K745" s="489">
        <v>0</v>
      </c>
      <c r="L745" s="500">
        <v>0</v>
      </c>
      <c r="M745" s="489">
        <v>0</v>
      </c>
      <c r="N745" s="489">
        <v>0</v>
      </c>
      <c r="O745" s="489">
        <v>0</v>
      </c>
      <c r="P745" s="500">
        <v>0</v>
      </c>
      <c r="Q745" s="489">
        <v>0</v>
      </c>
      <c r="R745" s="490">
        <v>0</v>
      </c>
      <c r="S745" s="489">
        <v>0</v>
      </c>
      <c r="T745" s="500">
        <v>0</v>
      </c>
      <c r="U745" s="491">
        <v>0</v>
      </c>
      <c r="V745" s="282"/>
      <c r="W745" s="282"/>
      <c r="X745" s="282"/>
      <c r="AA745" s="1">
        <f>F745/'часть 1'!I768</f>
        <v>1035.7262145748989</v>
      </c>
    </row>
    <row r="746" spans="1:27">
      <c r="A746" s="487">
        <v>177</v>
      </c>
      <c r="B746" s="506" t="s">
        <v>648</v>
      </c>
      <c r="C746" s="489">
        <f>'часть 1'!L769</f>
        <v>1272142</v>
      </c>
      <c r="D746" s="489">
        <f>E746+F746+G746+H746+I746+J746+K746</f>
        <v>0</v>
      </c>
      <c r="E746" s="489">
        <v>0</v>
      </c>
      <c r="F746" s="489">
        <v>0</v>
      </c>
      <c r="G746" s="489">
        <v>0</v>
      </c>
      <c r="H746" s="489">
        <v>0</v>
      </c>
      <c r="I746" s="489">
        <v>0</v>
      </c>
      <c r="J746" s="489">
        <v>0</v>
      </c>
      <c r="K746" s="489">
        <v>0</v>
      </c>
      <c r="L746" s="500">
        <v>0</v>
      </c>
      <c r="M746" s="492">
        <v>0</v>
      </c>
      <c r="N746" s="557">
        <v>396.5</v>
      </c>
      <c r="O746" s="492">
        <v>1272142</v>
      </c>
      <c r="P746" s="493">
        <v>0</v>
      </c>
      <c r="Q746" s="492">
        <v>0</v>
      </c>
      <c r="R746" s="494">
        <v>0</v>
      </c>
      <c r="S746" s="495">
        <v>0</v>
      </c>
      <c r="T746" s="493">
        <v>0</v>
      </c>
      <c r="U746" s="903">
        <v>0</v>
      </c>
      <c r="V746" s="282"/>
      <c r="W746" s="282">
        <f>O746/N746</f>
        <v>3208.4287515762926</v>
      </c>
      <c r="X746" s="282"/>
    </row>
    <row r="747" spans="1:27" ht="18.75" customHeight="1">
      <c r="A747" s="487"/>
      <c r="B747" s="488" t="s">
        <v>93</v>
      </c>
      <c r="C747" s="489">
        <f>C748+C749</f>
        <v>4013524</v>
      </c>
      <c r="D747" s="489">
        <f t="shared" ref="D747:U747" si="93">D748+D749</f>
        <v>0</v>
      </c>
      <c r="E747" s="489">
        <f t="shared" si="93"/>
        <v>0</v>
      </c>
      <c r="F747" s="489">
        <f t="shared" si="93"/>
        <v>0</v>
      </c>
      <c r="G747" s="489">
        <f t="shared" si="93"/>
        <v>0</v>
      </c>
      <c r="H747" s="489">
        <f t="shared" si="93"/>
        <v>0</v>
      </c>
      <c r="I747" s="489">
        <f t="shared" si="93"/>
        <v>0</v>
      </c>
      <c r="J747" s="489">
        <f t="shared" si="93"/>
        <v>0</v>
      </c>
      <c r="K747" s="489">
        <f t="shared" si="93"/>
        <v>0</v>
      </c>
      <c r="L747" s="489">
        <f t="shared" si="93"/>
        <v>0</v>
      </c>
      <c r="M747" s="489">
        <f t="shared" si="93"/>
        <v>0</v>
      </c>
      <c r="N747" s="489">
        <f t="shared" si="93"/>
        <v>1514.82</v>
      </c>
      <c r="O747" s="489">
        <f t="shared" si="93"/>
        <v>4013524</v>
      </c>
      <c r="P747" s="489">
        <f t="shared" si="93"/>
        <v>0</v>
      </c>
      <c r="Q747" s="489">
        <f t="shared" si="93"/>
        <v>0</v>
      </c>
      <c r="R747" s="489">
        <f t="shared" si="93"/>
        <v>0</v>
      </c>
      <c r="S747" s="489">
        <f t="shared" si="93"/>
        <v>0</v>
      </c>
      <c r="T747" s="489">
        <f t="shared" si="93"/>
        <v>0</v>
      </c>
      <c r="U747" s="489">
        <f t="shared" si="93"/>
        <v>0</v>
      </c>
      <c r="V747" s="282"/>
      <c r="W747" s="282"/>
      <c r="X747" s="282"/>
    </row>
    <row r="748" spans="1:27" s="23" customFormat="1">
      <c r="A748" s="487">
        <v>178</v>
      </c>
      <c r="B748" s="700" t="s">
        <v>788</v>
      </c>
      <c r="C748" s="498">
        <f>'часть 1'!L771</f>
        <v>2978035</v>
      </c>
      <c r="D748" s="498">
        <v>0</v>
      </c>
      <c r="E748" s="498">
        <v>0</v>
      </c>
      <c r="F748" s="498">
        <v>0</v>
      </c>
      <c r="G748" s="498">
        <v>0</v>
      </c>
      <c r="H748" s="498">
        <v>0</v>
      </c>
      <c r="I748" s="498">
        <v>0</v>
      </c>
      <c r="J748" s="498">
        <v>0</v>
      </c>
      <c r="K748" s="498">
        <v>0</v>
      </c>
      <c r="L748" s="502">
        <v>0</v>
      </c>
      <c r="M748" s="498">
        <v>0</v>
      </c>
      <c r="N748" s="498">
        <v>1190.5</v>
      </c>
      <c r="O748" s="498">
        <v>2978035</v>
      </c>
      <c r="P748" s="502">
        <v>0</v>
      </c>
      <c r="Q748" s="498">
        <v>0</v>
      </c>
      <c r="R748" s="503">
        <v>0</v>
      </c>
      <c r="S748" s="498">
        <v>0</v>
      </c>
      <c r="T748" s="502">
        <v>0</v>
      </c>
      <c r="U748" s="504">
        <v>0</v>
      </c>
      <c r="V748" s="282"/>
      <c r="W748" s="282">
        <f>O748/N748</f>
        <v>2501.4993700125997</v>
      </c>
      <c r="X748" s="282"/>
    </row>
    <row r="749" spans="1:27" s="23" customFormat="1">
      <c r="A749" s="487">
        <v>179</v>
      </c>
      <c r="B749" s="700" t="s">
        <v>789</v>
      </c>
      <c r="C749" s="498">
        <f>'часть 1'!L772</f>
        <v>1035489</v>
      </c>
      <c r="D749" s="498">
        <v>0</v>
      </c>
      <c r="E749" s="498">
        <v>0</v>
      </c>
      <c r="F749" s="498">
        <v>0</v>
      </c>
      <c r="G749" s="498">
        <v>0</v>
      </c>
      <c r="H749" s="498">
        <v>0</v>
      </c>
      <c r="I749" s="498">
        <v>0</v>
      </c>
      <c r="J749" s="498">
        <v>0</v>
      </c>
      <c r="K749" s="498">
        <v>0</v>
      </c>
      <c r="L749" s="502">
        <v>0</v>
      </c>
      <c r="M749" s="498">
        <v>0</v>
      </c>
      <c r="N749" s="498">
        <v>324.32</v>
      </c>
      <c r="O749" s="498">
        <v>1035489</v>
      </c>
      <c r="P749" s="502">
        <v>0</v>
      </c>
      <c r="Q749" s="498">
        <v>0</v>
      </c>
      <c r="R749" s="503">
        <v>0</v>
      </c>
      <c r="S749" s="498">
        <v>0</v>
      </c>
      <c r="T749" s="502">
        <v>0</v>
      </c>
      <c r="U749" s="504">
        <v>0</v>
      </c>
      <c r="V749" s="282"/>
      <c r="W749" s="282">
        <f>O749/N749</f>
        <v>3192.8003206709423</v>
      </c>
      <c r="X749" s="282"/>
    </row>
    <row r="750" spans="1:27" s="23" customFormat="1">
      <c r="A750" s="487"/>
      <c r="B750" s="700"/>
      <c r="C750" s="498"/>
      <c r="D750" s="498"/>
      <c r="E750" s="498"/>
      <c r="F750" s="498"/>
      <c r="G750" s="498"/>
      <c r="H750" s="498"/>
      <c r="I750" s="498"/>
      <c r="J750" s="498"/>
      <c r="K750" s="498"/>
      <c r="L750" s="502"/>
      <c r="M750" s="498"/>
      <c r="N750" s="498"/>
      <c r="O750" s="498"/>
      <c r="P750" s="502"/>
      <c r="Q750" s="498"/>
      <c r="R750" s="503"/>
      <c r="S750" s="498"/>
      <c r="T750" s="502"/>
      <c r="U750" s="504"/>
      <c r="V750" s="282"/>
      <c r="W750" s="282"/>
      <c r="X750" s="282"/>
    </row>
    <row r="751" spans="1:27" s="23" customFormat="1">
      <c r="A751" s="487"/>
      <c r="B751" s="700"/>
      <c r="C751" s="498"/>
      <c r="D751" s="498"/>
      <c r="E751" s="498"/>
      <c r="F751" s="498"/>
      <c r="G751" s="498"/>
      <c r="H751" s="498"/>
      <c r="I751" s="498"/>
      <c r="J751" s="498"/>
      <c r="K751" s="498"/>
      <c r="L751" s="502"/>
      <c r="M751" s="498"/>
      <c r="N751" s="498"/>
      <c r="O751" s="498"/>
      <c r="P751" s="502"/>
      <c r="Q751" s="498"/>
      <c r="R751" s="503"/>
      <c r="S751" s="498"/>
      <c r="T751" s="502"/>
      <c r="U751" s="504"/>
      <c r="V751" s="282"/>
      <c r="W751" s="282"/>
      <c r="X751" s="282"/>
    </row>
    <row r="752" spans="1:27" s="23" customFormat="1">
      <c r="A752" s="487"/>
      <c r="B752" s="700"/>
      <c r="C752" s="498"/>
      <c r="D752" s="498"/>
      <c r="E752" s="498"/>
      <c r="F752" s="498"/>
      <c r="G752" s="498"/>
      <c r="H752" s="498"/>
      <c r="I752" s="498"/>
      <c r="J752" s="498"/>
      <c r="K752" s="498"/>
      <c r="L752" s="502"/>
      <c r="M752" s="498"/>
      <c r="N752" s="498"/>
      <c r="O752" s="498"/>
      <c r="P752" s="502"/>
      <c r="Q752" s="498"/>
      <c r="R752" s="503"/>
      <c r="S752" s="498"/>
      <c r="T752" s="502"/>
      <c r="U752" s="504"/>
      <c r="V752" s="282"/>
      <c r="W752" s="282"/>
      <c r="X752" s="282"/>
    </row>
    <row r="753" spans="1:24" s="23" customFormat="1">
      <c r="A753" s="487"/>
      <c r="B753" s="700"/>
      <c r="C753" s="498"/>
      <c r="D753" s="498"/>
      <c r="E753" s="498"/>
      <c r="F753" s="498"/>
      <c r="G753" s="498"/>
      <c r="H753" s="498"/>
      <c r="I753" s="498"/>
      <c r="J753" s="498"/>
      <c r="K753" s="498"/>
      <c r="L753" s="502"/>
      <c r="M753" s="498"/>
      <c r="N753" s="498"/>
      <c r="O753" s="498"/>
      <c r="P753" s="502"/>
      <c r="Q753" s="498"/>
      <c r="R753" s="503"/>
      <c r="S753" s="498"/>
      <c r="T753" s="502"/>
      <c r="U753" s="504"/>
      <c r="V753" s="282"/>
      <c r="W753" s="282"/>
      <c r="X753" s="282"/>
    </row>
    <row r="754" spans="1:24" s="23" customFormat="1">
      <c r="A754" s="487"/>
      <c r="B754" s="700"/>
      <c r="C754" s="498"/>
      <c r="D754" s="498"/>
      <c r="E754" s="498"/>
      <c r="F754" s="498"/>
      <c r="G754" s="498"/>
      <c r="H754" s="498"/>
      <c r="I754" s="498"/>
      <c r="J754" s="498"/>
      <c r="K754" s="498"/>
      <c r="L754" s="502"/>
      <c r="M754" s="498"/>
      <c r="N754" s="498"/>
      <c r="O754" s="498"/>
      <c r="P754" s="502"/>
      <c r="Q754" s="498"/>
      <c r="R754" s="503"/>
      <c r="S754" s="498"/>
      <c r="T754" s="502"/>
      <c r="U754" s="504"/>
      <c r="V754" s="282"/>
      <c r="W754" s="282"/>
      <c r="X754" s="282"/>
    </row>
    <row r="755" spans="1:24" s="23" customFormat="1">
      <c r="A755" s="487"/>
      <c r="B755" s="700"/>
      <c r="C755" s="498"/>
      <c r="D755" s="498"/>
      <c r="E755" s="498"/>
      <c r="F755" s="498"/>
      <c r="G755" s="498"/>
      <c r="H755" s="498"/>
      <c r="I755" s="498"/>
      <c r="J755" s="498"/>
      <c r="K755" s="498"/>
      <c r="L755" s="502"/>
      <c r="M755" s="498"/>
      <c r="N755" s="498"/>
      <c r="O755" s="498"/>
      <c r="P755" s="502"/>
      <c r="Q755" s="498"/>
      <c r="R755" s="503"/>
      <c r="S755" s="498"/>
      <c r="T755" s="502"/>
      <c r="U755" s="504"/>
      <c r="V755" s="282"/>
      <c r="W755" s="282"/>
      <c r="X755" s="282"/>
    </row>
    <row r="756" spans="1:24" s="23" customFormat="1">
      <c r="A756" s="487"/>
      <c r="B756" s="700"/>
      <c r="C756" s="498"/>
      <c r="D756" s="498"/>
      <c r="E756" s="498"/>
      <c r="F756" s="498"/>
      <c r="G756" s="498"/>
      <c r="H756" s="498"/>
      <c r="I756" s="498"/>
      <c r="J756" s="498"/>
      <c r="K756" s="498"/>
      <c r="L756" s="502"/>
      <c r="M756" s="498"/>
      <c r="N756" s="498"/>
      <c r="O756" s="498"/>
      <c r="P756" s="502"/>
      <c r="Q756" s="498"/>
      <c r="R756" s="503"/>
      <c r="S756" s="498"/>
      <c r="T756" s="502"/>
      <c r="U756" s="504"/>
      <c r="V756" s="282"/>
      <c r="W756" s="282"/>
      <c r="X756" s="282"/>
    </row>
    <row r="757" spans="1:24" s="23" customFormat="1">
      <c r="A757" s="487"/>
      <c r="B757" s="700"/>
      <c r="C757" s="498"/>
      <c r="D757" s="498"/>
      <c r="E757" s="498"/>
      <c r="F757" s="498"/>
      <c r="G757" s="498"/>
      <c r="H757" s="498"/>
      <c r="I757" s="498"/>
      <c r="J757" s="498"/>
      <c r="K757" s="498"/>
      <c r="L757" s="502"/>
      <c r="M757" s="498"/>
      <c r="N757" s="498"/>
      <c r="O757" s="498"/>
      <c r="P757" s="502"/>
      <c r="Q757" s="498"/>
      <c r="R757" s="503"/>
      <c r="S757" s="498"/>
      <c r="T757" s="502"/>
      <c r="U757" s="504"/>
      <c r="V757" s="282"/>
      <c r="W757" s="282"/>
      <c r="X757" s="282"/>
    </row>
    <row r="758" spans="1:24" s="23" customFormat="1">
      <c r="A758" s="487"/>
      <c r="B758" s="700"/>
      <c r="C758" s="498"/>
      <c r="D758" s="498"/>
      <c r="E758" s="498"/>
      <c r="F758" s="498"/>
      <c r="G758" s="498"/>
      <c r="H758" s="498"/>
      <c r="I758" s="498"/>
      <c r="J758" s="498"/>
      <c r="K758" s="498"/>
      <c r="L758" s="502"/>
      <c r="M758" s="498"/>
      <c r="N758" s="498"/>
      <c r="O758" s="498"/>
      <c r="P758" s="502"/>
      <c r="Q758" s="498"/>
      <c r="R758" s="503"/>
      <c r="S758" s="498"/>
      <c r="T758" s="502"/>
      <c r="U758" s="504"/>
      <c r="V758" s="282"/>
      <c r="W758" s="282"/>
      <c r="X758" s="282"/>
    </row>
    <row r="759" spans="1:24" s="23" customFormat="1">
      <c r="A759" s="487"/>
      <c r="B759" s="700"/>
      <c r="C759" s="498"/>
      <c r="D759" s="498"/>
      <c r="E759" s="498"/>
      <c r="F759" s="498"/>
      <c r="G759" s="498"/>
      <c r="H759" s="498"/>
      <c r="I759" s="498"/>
      <c r="J759" s="498"/>
      <c r="K759" s="498"/>
      <c r="L759" s="502"/>
      <c r="M759" s="498"/>
      <c r="N759" s="498"/>
      <c r="O759" s="498"/>
      <c r="P759" s="502"/>
      <c r="Q759" s="498"/>
      <c r="R759" s="503"/>
      <c r="S759" s="498"/>
      <c r="T759" s="502"/>
      <c r="U759" s="504"/>
      <c r="V759" s="282"/>
      <c r="W759" s="282"/>
      <c r="X759" s="282"/>
    </row>
    <row r="760" spans="1:24" s="23" customFormat="1">
      <c r="A760" s="487"/>
      <c r="B760" s="700"/>
      <c r="C760" s="498"/>
      <c r="D760" s="498"/>
      <c r="E760" s="498"/>
      <c r="F760" s="498"/>
      <c r="G760" s="498"/>
      <c r="H760" s="498"/>
      <c r="I760" s="498"/>
      <c r="J760" s="498"/>
      <c r="K760" s="498"/>
      <c r="L760" s="502"/>
      <c r="M760" s="498"/>
      <c r="N760" s="498"/>
      <c r="O760" s="498"/>
      <c r="P760" s="502"/>
      <c r="Q760" s="498"/>
      <c r="R760" s="503"/>
      <c r="S760" s="498"/>
      <c r="T760" s="502"/>
      <c r="U760" s="504"/>
      <c r="V760" s="282"/>
      <c r="W760" s="282"/>
      <c r="X760" s="282"/>
    </row>
    <row r="761" spans="1:24" s="23" customFormat="1">
      <c r="A761" s="487"/>
      <c r="B761" s="700"/>
      <c r="C761" s="498"/>
      <c r="D761" s="498"/>
      <c r="E761" s="498"/>
      <c r="F761" s="498"/>
      <c r="G761" s="498"/>
      <c r="H761" s="498"/>
      <c r="I761" s="498"/>
      <c r="J761" s="498"/>
      <c r="K761" s="498"/>
      <c r="L761" s="502"/>
      <c r="M761" s="498"/>
      <c r="N761" s="498"/>
      <c r="O761" s="498"/>
      <c r="P761" s="502"/>
      <c r="Q761" s="498"/>
      <c r="R761" s="503"/>
      <c r="S761" s="498"/>
      <c r="T761" s="502"/>
      <c r="U761" s="504"/>
      <c r="V761" s="282"/>
      <c r="W761" s="282"/>
      <c r="X761" s="282"/>
    </row>
    <row r="762" spans="1:24" s="23" customFormat="1">
      <c r="A762" s="487"/>
      <c r="B762" s="700"/>
      <c r="C762" s="498"/>
      <c r="D762" s="498"/>
      <c r="E762" s="498"/>
      <c r="F762" s="498"/>
      <c r="G762" s="498"/>
      <c r="H762" s="498"/>
      <c r="I762" s="498"/>
      <c r="J762" s="498"/>
      <c r="K762" s="498"/>
      <c r="L762" s="502"/>
      <c r="M762" s="498"/>
      <c r="N762" s="498"/>
      <c r="O762" s="498"/>
      <c r="P762" s="502"/>
      <c r="Q762" s="498"/>
      <c r="R762" s="503"/>
      <c r="S762" s="498"/>
      <c r="T762" s="502"/>
      <c r="U762" s="504"/>
      <c r="V762" s="282"/>
      <c r="W762" s="282"/>
      <c r="X762" s="282"/>
    </row>
    <row r="763" spans="1:24" s="23" customFormat="1">
      <c r="A763" s="487"/>
      <c r="B763" s="700"/>
      <c r="C763" s="498"/>
      <c r="D763" s="498"/>
      <c r="E763" s="498"/>
      <c r="F763" s="498"/>
      <c r="G763" s="498"/>
      <c r="H763" s="498"/>
      <c r="I763" s="498"/>
      <c r="J763" s="498"/>
      <c r="K763" s="498"/>
      <c r="L763" s="502"/>
      <c r="M763" s="498"/>
      <c r="N763" s="498"/>
      <c r="O763" s="498"/>
      <c r="P763" s="502"/>
      <c r="Q763" s="498"/>
      <c r="R763" s="503"/>
      <c r="S763" s="498"/>
      <c r="T763" s="502"/>
      <c r="U763" s="504"/>
      <c r="V763" s="282"/>
      <c r="W763" s="282"/>
      <c r="X763" s="282"/>
    </row>
    <row r="764" spans="1:24" s="23" customFormat="1">
      <c r="A764" s="487"/>
      <c r="B764" s="700"/>
      <c r="C764" s="498"/>
      <c r="D764" s="498"/>
      <c r="E764" s="498"/>
      <c r="F764" s="498"/>
      <c r="G764" s="498"/>
      <c r="H764" s="498"/>
      <c r="I764" s="498"/>
      <c r="J764" s="498"/>
      <c r="K764" s="498"/>
      <c r="L764" s="502"/>
      <c r="M764" s="498"/>
      <c r="N764" s="498"/>
      <c r="O764" s="498"/>
      <c r="P764" s="502"/>
      <c r="Q764" s="498"/>
      <c r="R764" s="503"/>
      <c r="S764" s="498"/>
      <c r="T764" s="502"/>
      <c r="U764" s="504"/>
      <c r="V764" s="282"/>
      <c r="W764" s="282"/>
      <c r="X764" s="282"/>
    </row>
    <row r="765" spans="1:24" s="23" customFormat="1">
      <c r="A765" s="487"/>
      <c r="B765" s="700"/>
      <c r="C765" s="498"/>
      <c r="D765" s="498"/>
      <c r="E765" s="498"/>
      <c r="F765" s="498"/>
      <c r="G765" s="498"/>
      <c r="H765" s="498"/>
      <c r="I765" s="498"/>
      <c r="J765" s="498"/>
      <c r="K765" s="498"/>
      <c r="L765" s="502"/>
      <c r="M765" s="498"/>
      <c r="N765" s="498"/>
      <c r="O765" s="498"/>
      <c r="P765" s="502"/>
      <c r="Q765" s="498"/>
      <c r="R765" s="503"/>
      <c r="S765" s="498"/>
      <c r="T765" s="502"/>
      <c r="U765" s="504"/>
      <c r="V765" s="282"/>
      <c r="W765" s="282"/>
      <c r="X765" s="282"/>
    </row>
    <row r="766" spans="1:24" s="23" customFormat="1">
      <c r="A766" s="487"/>
      <c r="B766" s="700"/>
      <c r="C766" s="498"/>
      <c r="D766" s="498"/>
      <c r="E766" s="498"/>
      <c r="F766" s="498"/>
      <c r="G766" s="498"/>
      <c r="H766" s="498"/>
      <c r="I766" s="498"/>
      <c r="J766" s="498"/>
      <c r="K766" s="498"/>
      <c r="L766" s="502"/>
      <c r="M766" s="498"/>
      <c r="N766" s="498"/>
      <c r="O766" s="498"/>
      <c r="P766" s="502"/>
      <c r="Q766" s="498"/>
      <c r="R766" s="503"/>
      <c r="S766" s="498"/>
      <c r="T766" s="502"/>
      <c r="U766" s="504"/>
      <c r="V766" s="282"/>
      <c r="W766" s="282"/>
      <c r="X766" s="282"/>
    </row>
    <row r="767" spans="1:24" s="23" customFormat="1">
      <c r="A767" s="487"/>
      <c r="B767" s="700"/>
      <c r="C767" s="498"/>
      <c r="D767" s="498"/>
      <c r="E767" s="498"/>
      <c r="F767" s="498"/>
      <c r="G767" s="498"/>
      <c r="H767" s="498"/>
      <c r="I767" s="498"/>
      <c r="J767" s="498"/>
      <c r="K767" s="498"/>
      <c r="L767" s="502"/>
      <c r="M767" s="498"/>
      <c r="N767" s="498"/>
      <c r="O767" s="498"/>
      <c r="P767" s="502"/>
      <c r="Q767" s="498"/>
      <c r="R767" s="503"/>
      <c r="S767" s="498"/>
      <c r="T767" s="502"/>
      <c r="U767" s="504"/>
      <c r="V767" s="282"/>
      <c r="W767" s="282"/>
      <c r="X767" s="282"/>
    </row>
    <row r="768" spans="1:24" s="23" customFormat="1">
      <c r="A768" s="487"/>
      <c r="B768" s="700"/>
      <c r="C768" s="498"/>
      <c r="D768" s="498"/>
      <c r="E768" s="498"/>
      <c r="F768" s="498"/>
      <c r="G768" s="498"/>
      <c r="H768" s="498"/>
      <c r="I768" s="498"/>
      <c r="J768" s="498"/>
      <c r="K768" s="498"/>
      <c r="L768" s="502"/>
      <c r="M768" s="498"/>
      <c r="N768" s="498"/>
      <c r="O768" s="498"/>
      <c r="P768" s="502"/>
      <c r="Q768" s="498"/>
      <c r="R768" s="503"/>
      <c r="S768" s="498"/>
      <c r="T768" s="502"/>
      <c r="U768" s="504"/>
      <c r="V768" s="282"/>
      <c r="W768" s="282"/>
      <c r="X768" s="282"/>
    </row>
    <row r="769" spans="1:28" s="23" customFormat="1">
      <c r="A769" s="487"/>
      <c r="B769" s="700"/>
      <c r="C769" s="498"/>
      <c r="D769" s="498"/>
      <c r="E769" s="498"/>
      <c r="F769" s="498"/>
      <c r="G769" s="498"/>
      <c r="H769" s="498"/>
      <c r="I769" s="498"/>
      <c r="J769" s="498"/>
      <c r="K769" s="498"/>
      <c r="L769" s="502"/>
      <c r="M769" s="498"/>
      <c r="N769" s="498"/>
      <c r="O769" s="498"/>
      <c r="P769" s="502"/>
      <c r="Q769" s="498"/>
      <c r="R769" s="503"/>
      <c r="S769" s="498"/>
      <c r="T769" s="502"/>
      <c r="U769" s="504"/>
      <c r="V769" s="282"/>
      <c r="W769" s="282"/>
      <c r="X769" s="282"/>
    </row>
    <row r="770" spans="1:28" s="23" customFormat="1">
      <c r="A770" s="487"/>
      <c r="B770" s="700"/>
      <c r="C770" s="498"/>
      <c r="D770" s="498"/>
      <c r="E770" s="498"/>
      <c r="F770" s="498"/>
      <c r="G770" s="498"/>
      <c r="H770" s="498"/>
      <c r="I770" s="498"/>
      <c r="J770" s="498"/>
      <c r="K770" s="498"/>
      <c r="L770" s="502"/>
      <c r="M770" s="498"/>
      <c r="N770" s="498"/>
      <c r="O770" s="498"/>
      <c r="P770" s="502"/>
      <c r="Q770" s="498"/>
      <c r="R770" s="503"/>
      <c r="S770" s="498"/>
      <c r="T770" s="502"/>
      <c r="U770" s="504"/>
      <c r="V770" s="282"/>
      <c r="W770" s="282"/>
      <c r="X770" s="282"/>
    </row>
    <row r="771" spans="1:28" s="23" customFormat="1">
      <c r="A771" s="487"/>
      <c r="B771" s="700"/>
      <c r="C771" s="498"/>
      <c r="D771" s="498"/>
      <c r="E771" s="498"/>
      <c r="F771" s="498"/>
      <c r="G771" s="498"/>
      <c r="H771" s="498"/>
      <c r="I771" s="498"/>
      <c r="J771" s="498"/>
      <c r="K771" s="498"/>
      <c r="L771" s="502"/>
      <c r="M771" s="498"/>
      <c r="N771" s="498"/>
      <c r="O771" s="498"/>
      <c r="P771" s="502"/>
      <c r="Q771" s="498"/>
      <c r="R771" s="503"/>
      <c r="S771" s="498"/>
      <c r="T771" s="502"/>
      <c r="U771" s="504"/>
      <c r="V771" s="282"/>
      <c r="W771" s="282"/>
      <c r="X771" s="282"/>
    </row>
    <row r="772" spans="1:28" s="23" customFormat="1">
      <c r="A772" s="487"/>
      <c r="B772" s="700"/>
      <c r="C772" s="498"/>
      <c r="D772" s="498"/>
      <c r="E772" s="498"/>
      <c r="F772" s="498"/>
      <c r="G772" s="498"/>
      <c r="H772" s="498"/>
      <c r="I772" s="498"/>
      <c r="J772" s="498"/>
      <c r="K772" s="498"/>
      <c r="L772" s="502"/>
      <c r="M772" s="498"/>
      <c r="N772" s="498"/>
      <c r="O772" s="498"/>
      <c r="P772" s="502"/>
      <c r="Q772" s="498"/>
      <c r="R772" s="503"/>
      <c r="S772" s="498"/>
      <c r="T772" s="502"/>
      <c r="U772" s="504"/>
      <c r="V772" s="282"/>
      <c r="W772" s="282"/>
      <c r="X772" s="282"/>
    </row>
    <row r="773" spans="1:28" ht="18.75" customHeight="1">
      <c r="A773" s="198"/>
      <c r="B773" s="214" t="s">
        <v>94</v>
      </c>
      <c r="C773" s="211">
        <f>C774+C775+C776+C777+C778+C779+C780+C781+C782</f>
        <v>17682419</v>
      </c>
      <c r="D773" s="211">
        <f t="shared" ref="D773" si="94">D774+D775+D776+D777+D778+D779+D780+D781+D782</f>
        <v>3294030</v>
      </c>
      <c r="E773" s="211">
        <f t="shared" ref="E773" si="95">E774+E775+E776+E777+E778+E779+E780+E781+E782</f>
        <v>203023</v>
      </c>
      <c r="F773" s="211">
        <f t="shared" ref="F773" si="96">F774+F775+F776+F777+F778+F779+F780+F781+F782</f>
        <v>3091007</v>
      </c>
      <c r="G773" s="211">
        <f t="shared" ref="G773" si="97">G774+G775+G776+G777+G778+G779+G780+G781+G782</f>
        <v>0</v>
      </c>
      <c r="H773" s="211">
        <f t="shared" ref="H773" si="98">H774+H775+H776+H777+H778+H779+H780+H781+H782</f>
        <v>0</v>
      </c>
      <c r="I773" s="211">
        <f t="shared" ref="I773" si="99">I774+I775+I776+I777+I778+I779+I780+I781+I782</f>
        <v>0</v>
      </c>
      <c r="J773" s="211">
        <f t="shared" ref="J773" si="100">J774+J775+J776+J777+J778+J779+J780+J781+J782</f>
        <v>0</v>
      </c>
      <c r="K773" s="211">
        <f t="shared" ref="K773" si="101">K774+K775+K776+K777+K778+K779+K780+K781+K782</f>
        <v>0</v>
      </c>
      <c r="L773" s="211">
        <f t="shared" ref="L773" si="102">L774+L775+L776+L777+L778+L779+L780+L781+L782</f>
        <v>0</v>
      </c>
      <c r="M773" s="211">
        <f t="shared" ref="M773" si="103">M774+M775+M776+M777+M778+M779+M780+M781+M782</f>
        <v>0</v>
      </c>
      <c r="N773" s="211">
        <f t="shared" ref="N773" si="104">N774+N775+N776+N777+N778+N779+N780+N781+N782</f>
        <v>4817.45</v>
      </c>
      <c r="O773" s="211">
        <f t="shared" ref="O773" si="105">O774+O775+O776+O777+O778+O779+O780+O781+O782</f>
        <v>14388389</v>
      </c>
      <c r="P773" s="211">
        <f t="shared" ref="P773" si="106">P774+P775+P776+P777+P778+P779+P780+P781+P782</f>
        <v>0</v>
      </c>
      <c r="Q773" s="211">
        <f t="shared" ref="Q773" si="107">Q774+Q775+Q776+Q777+Q778+Q779+Q780+Q781+Q782</f>
        <v>0</v>
      </c>
      <c r="R773" s="211">
        <f t="shared" ref="R773" si="108">R774+R775+R776+R777+R778+R779+R780+R781+R782</f>
        <v>0</v>
      </c>
      <c r="S773" s="211">
        <f t="shared" ref="S773" si="109">S774+S775+S776+S777+S778+S779+S780+S781+S782</f>
        <v>0</v>
      </c>
      <c r="T773" s="211">
        <f t="shared" ref="T773" si="110">T774+T775+T776+T777+T778+T779+T780+T781+T782</f>
        <v>0</v>
      </c>
      <c r="U773" s="211">
        <f t="shared" ref="U773" si="111">U774+U775+U776+U777+U778+U779+U780+U781+U782</f>
        <v>0</v>
      </c>
      <c r="V773" s="282"/>
      <c r="W773" s="282"/>
      <c r="X773" s="282"/>
      <c r="Y773" s="10"/>
      <c r="Z773" s="10"/>
      <c r="AA773" s="10"/>
      <c r="AB773" s="10"/>
    </row>
    <row r="774" spans="1:28" s="5" customFormat="1">
      <c r="A774" s="487">
        <v>203</v>
      </c>
      <c r="B774" s="824" t="s">
        <v>577</v>
      </c>
      <c r="C774" s="492">
        <v>1329885</v>
      </c>
      <c r="D774" s="492">
        <f>E774+F774+G774+H774+I774+J774+K774</f>
        <v>0</v>
      </c>
      <c r="E774" s="492">
        <v>0</v>
      </c>
      <c r="F774" s="492">
        <v>0</v>
      </c>
      <c r="G774" s="492">
        <v>0</v>
      </c>
      <c r="H774" s="492">
        <v>0</v>
      </c>
      <c r="I774" s="492">
        <v>0</v>
      </c>
      <c r="J774" s="492">
        <v>0</v>
      </c>
      <c r="K774" s="492">
        <v>0</v>
      </c>
      <c r="L774" s="493">
        <v>0</v>
      </c>
      <c r="M774" s="492">
        <v>0</v>
      </c>
      <c r="N774" s="492">
        <v>415</v>
      </c>
      <c r="O774" s="492">
        <v>1329885</v>
      </c>
      <c r="P774" s="493">
        <v>0</v>
      </c>
      <c r="Q774" s="492">
        <v>0</v>
      </c>
      <c r="R774" s="494">
        <v>0</v>
      </c>
      <c r="S774" s="495">
        <v>0</v>
      </c>
      <c r="T774" s="496">
        <v>0</v>
      </c>
      <c r="U774" s="497">
        <v>0</v>
      </c>
      <c r="V774" s="282"/>
      <c r="W774" s="282">
        <f>O774/N774</f>
        <v>3204.5421686746986</v>
      </c>
      <c r="X774" s="282"/>
      <c r="Y774" s="24"/>
      <c r="Z774" s="24"/>
      <c r="AA774" s="8"/>
      <c r="AB774" s="8"/>
    </row>
    <row r="775" spans="1:28" s="5" customFormat="1">
      <c r="A775" s="487">
        <v>204</v>
      </c>
      <c r="B775" s="824" t="s">
        <v>578</v>
      </c>
      <c r="C775" s="492">
        <v>1856453</v>
      </c>
      <c r="D775" s="492">
        <f t="shared" ref="D775:D782" si="112">E775+F775+G775+H775+I775+J775+K775</f>
        <v>0</v>
      </c>
      <c r="E775" s="492">
        <v>0</v>
      </c>
      <c r="F775" s="492">
        <v>0</v>
      </c>
      <c r="G775" s="492">
        <v>0</v>
      </c>
      <c r="H775" s="492">
        <v>0</v>
      </c>
      <c r="I775" s="492">
        <v>0</v>
      </c>
      <c r="J775" s="492">
        <v>0</v>
      </c>
      <c r="K775" s="492">
        <v>0</v>
      </c>
      <c r="L775" s="493">
        <v>0</v>
      </c>
      <c r="M775" s="492">
        <v>0</v>
      </c>
      <c r="N775" s="492">
        <v>572.4</v>
      </c>
      <c r="O775" s="492">
        <v>1856453</v>
      </c>
      <c r="P775" s="493">
        <v>0</v>
      </c>
      <c r="Q775" s="492">
        <v>0</v>
      </c>
      <c r="R775" s="494">
        <v>0</v>
      </c>
      <c r="S775" s="495">
        <v>0</v>
      </c>
      <c r="T775" s="496">
        <v>0</v>
      </c>
      <c r="U775" s="497">
        <v>0</v>
      </c>
      <c r="V775" s="282"/>
      <c r="W775" s="282">
        <f t="shared" ref="W775:W782" si="113">O775/N775</f>
        <v>3243.2791754018172</v>
      </c>
      <c r="X775" s="282"/>
      <c r="Y775" s="24"/>
      <c r="Z775" s="24"/>
      <c r="AA775" s="8"/>
      <c r="AB775" s="8"/>
    </row>
    <row r="776" spans="1:28" s="5" customFormat="1">
      <c r="A776" s="487">
        <v>205</v>
      </c>
      <c r="B776" s="824" t="s">
        <v>579</v>
      </c>
      <c r="C776" s="492">
        <v>1518210</v>
      </c>
      <c r="D776" s="492">
        <f t="shared" si="112"/>
        <v>0</v>
      </c>
      <c r="E776" s="492">
        <v>0</v>
      </c>
      <c r="F776" s="492">
        <v>0</v>
      </c>
      <c r="G776" s="492">
        <v>0</v>
      </c>
      <c r="H776" s="492">
        <v>0</v>
      </c>
      <c r="I776" s="492">
        <v>0</v>
      </c>
      <c r="J776" s="492">
        <v>0</v>
      </c>
      <c r="K776" s="492">
        <v>0</v>
      </c>
      <c r="L776" s="493">
        <v>0</v>
      </c>
      <c r="M776" s="492">
        <v>0</v>
      </c>
      <c r="N776" s="492">
        <v>474.85</v>
      </c>
      <c r="O776" s="492">
        <v>1518210</v>
      </c>
      <c r="P776" s="493">
        <v>0</v>
      </c>
      <c r="Q776" s="492">
        <v>0</v>
      </c>
      <c r="R776" s="494">
        <v>0</v>
      </c>
      <c r="S776" s="495">
        <v>0</v>
      </c>
      <c r="T776" s="496">
        <v>0</v>
      </c>
      <c r="U776" s="497">
        <v>0</v>
      </c>
      <c r="V776" s="282"/>
      <c r="W776" s="282">
        <f>O776/N776</f>
        <v>3197.2412340739179</v>
      </c>
      <c r="X776" s="526"/>
      <c r="Y776" s="24"/>
      <c r="Z776" s="24"/>
      <c r="AA776" s="8"/>
      <c r="AB776" s="8"/>
    </row>
    <row r="777" spans="1:28" s="5" customFormat="1">
      <c r="A777" s="487">
        <v>206</v>
      </c>
      <c r="B777" s="824" t="s">
        <v>580</v>
      </c>
      <c r="C777" s="492">
        <v>203023</v>
      </c>
      <c r="D777" s="492">
        <f t="shared" si="112"/>
        <v>203023</v>
      </c>
      <c r="E777" s="492">
        <v>203023</v>
      </c>
      <c r="F777" s="492">
        <v>0</v>
      </c>
      <c r="G777" s="492">
        <v>0</v>
      </c>
      <c r="H777" s="492">
        <v>0</v>
      </c>
      <c r="I777" s="492">
        <v>0</v>
      </c>
      <c r="J777" s="492">
        <v>0</v>
      </c>
      <c r="K777" s="492">
        <v>0</v>
      </c>
      <c r="L777" s="493">
        <v>0</v>
      </c>
      <c r="M777" s="492">
        <v>0</v>
      </c>
      <c r="N777" s="492">
        <v>0</v>
      </c>
      <c r="O777" s="492">
        <v>0</v>
      </c>
      <c r="P777" s="493">
        <v>0</v>
      </c>
      <c r="Q777" s="492">
        <v>0</v>
      </c>
      <c r="R777" s="494">
        <v>0</v>
      </c>
      <c r="S777" s="495">
        <v>0</v>
      </c>
      <c r="T777" s="496">
        <v>0</v>
      </c>
      <c r="U777" s="497">
        <v>0</v>
      </c>
      <c r="V777" s="282"/>
      <c r="W777" s="282"/>
      <c r="X777" s="282"/>
      <c r="Y777" s="24">
        <f>E777/'часть 1'!I800</f>
        <v>450.46150432660306</v>
      </c>
      <c r="Z777" s="24"/>
      <c r="AA777" s="8"/>
      <c r="AB777" s="8"/>
    </row>
    <row r="778" spans="1:28" s="5" customFormat="1">
      <c r="A778" s="487">
        <v>207</v>
      </c>
      <c r="B778" s="824" t="s">
        <v>581</v>
      </c>
      <c r="C778" s="492">
        <v>2925993</v>
      </c>
      <c r="D778" s="492">
        <f t="shared" si="112"/>
        <v>0</v>
      </c>
      <c r="E778" s="492">
        <v>0</v>
      </c>
      <c r="F778" s="492">
        <v>0</v>
      </c>
      <c r="G778" s="492">
        <v>0</v>
      </c>
      <c r="H778" s="492">
        <v>0</v>
      </c>
      <c r="I778" s="492">
        <v>0</v>
      </c>
      <c r="J778" s="492">
        <v>0</v>
      </c>
      <c r="K778" s="492">
        <v>0</v>
      </c>
      <c r="L778" s="493">
        <v>0</v>
      </c>
      <c r="M778" s="492">
        <v>0</v>
      </c>
      <c r="N778" s="498">
        <v>922</v>
      </c>
      <c r="O778" s="492">
        <v>2925993</v>
      </c>
      <c r="P778" s="493">
        <v>0</v>
      </c>
      <c r="Q778" s="492">
        <v>0</v>
      </c>
      <c r="R778" s="494">
        <v>0</v>
      </c>
      <c r="S778" s="495">
        <v>0</v>
      </c>
      <c r="T778" s="496">
        <v>0</v>
      </c>
      <c r="U778" s="497">
        <v>0</v>
      </c>
      <c r="V778" s="282"/>
      <c r="W778" s="282">
        <f t="shared" si="113"/>
        <v>3173.5281995661603</v>
      </c>
      <c r="X778" s="282"/>
      <c r="Y778" s="24"/>
      <c r="Z778" s="24"/>
      <c r="AA778" s="8"/>
      <c r="AB778" s="8"/>
    </row>
    <row r="779" spans="1:28" s="5" customFormat="1">
      <c r="A779" s="487">
        <v>208</v>
      </c>
      <c r="B779" s="824" t="s">
        <v>582</v>
      </c>
      <c r="C779" s="492">
        <v>1413679</v>
      </c>
      <c r="D779" s="492">
        <f t="shared" si="112"/>
        <v>0</v>
      </c>
      <c r="E779" s="492">
        <v>0</v>
      </c>
      <c r="F779" s="492">
        <v>0</v>
      </c>
      <c r="G779" s="492">
        <v>0</v>
      </c>
      <c r="H779" s="492">
        <v>0</v>
      </c>
      <c r="I779" s="492">
        <v>0</v>
      </c>
      <c r="J779" s="492">
        <v>0</v>
      </c>
      <c r="K779" s="492">
        <v>0</v>
      </c>
      <c r="L779" s="493">
        <v>0</v>
      </c>
      <c r="M779" s="492">
        <v>0</v>
      </c>
      <c r="N779" s="492">
        <v>442</v>
      </c>
      <c r="O779" s="492">
        <v>1413679</v>
      </c>
      <c r="P779" s="493">
        <v>0</v>
      </c>
      <c r="Q779" s="492">
        <v>0</v>
      </c>
      <c r="R779" s="494">
        <v>0</v>
      </c>
      <c r="S779" s="495">
        <v>0</v>
      </c>
      <c r="T779" s="496">
        <v>0</v>
      </c>
      <c r="U779" s="497">
        <v>0</v>
      </c>
      <c r="V779" s="282"/>
      <c r="W779" s="282">
        <f t="shared" si="113"/>
        <v>3198.3687782805432</v>
      </c>
      <c r="X779" s="282"/>
      <c r="Y779" s="24"/>
      <c r="Z779" s="24"/>
      <c r="AA779" s="8"/>
      <c r="AB779" s="8"/>
    </row>
    <row r="780" spans="1:28" s="5" customFormat="1">
      <c r="A780" s="487">
        <v>209</v>
      </c>
      <c r="B780" s="824" t="s">
        <v>583</v>
      </c>
      <c r="C780" s="492">
        <v>3624132</v>
      </c>
      <c r="D780" s="492">
        <f t="shared" si="112"/>
        <v>0</v>
      </c>
      <c r="E780" s="492">
        <v>0</v>
      </c>
      <c r="F780" s="492">
        <v>0</v>
      </c>
      <c r="G780" s="492">
        <v>0</v>
      </c>
      <c r="H780" s="492">
        <v>0</v>
      </c>
      <c r="I780" s="492">
        <v>0</v>
      </c>
      <c r="J780" s="492">
        <v>0</v>
      </c>
      <c r="K780" s="492">
        <v>0</v>
      </c>
      <c r="L780" s="493">
        <v>0</v>
      </c>
      <c r="M780" s="492">
        <v>0</v>
      </c>
      <c r="N780" s="492">
        <v>1451.9</v>
      </c>
      <c r="O780" s="492">
        <v>3624132</v>
      </c>
      <c r="P780" s="493">
        <v>0</v>
      </c>
      <c r="Q780" s="492">
        <v>0</v>
      </c>
      <c r="R780" s="494">
        <v>0</v>
      </c>
      <c r="S780" s="495">
        <v>0</v>
      </c>
      <c r="T780" s="496">
        <v>0</v>
      </c>
      <c r="U780" s="497">
        <v>0</v>
      </c>
      <c r="V780" s="282"/>
      <c r="W780" s="282">
        <f t="shared" si="113"/>
        <v>2496.1305875060266</v>
      </c>
      <c r="X780" s="282"/>
      <c r="Y780" s="24"/>
      <c r="Z780" s="24"/>
      <c r="AA780" s="8"/>
      <c r="AB780" s="8"/>
    </row>
    <row r="781" spans="1:28" s="5" customFormat="1">
      <c r="A781" s="487">
        <v>210</v>
      </c>
      <c r="B781" s="824" t="s">
        <v>584</v>
      </c>
      <c r="C781" s="492">
        <v>3091007</v>
      </c>
      <c r="D781" s="492">
        <f t="shared" si="112"/>
        <v>3091007</v>
      </c>
      <c r="E781" s="492">
        <v>0</v>
      </c>
      <c r="F781" s="492">
        <v>3091007</v>
      </c>
      <c r="G781" s="492">
        <v>0</v>
      </c>
      <c r="H781" s="492">
        <v>0</v>
      </c>
      <c r="I781" s="492">
        <v>0</v>
      </c>
      <c r="J781" s="492">
        <v>0</v>
      </c>
      <c r="K781" s="492">
        <v>0</v>
      </c>
      <c r="L781" s="493">
        <v>0</v>
      </c>
      <c r="M781" s="492">
        <v>0</v>
      </c>
      <c r="N781" s="492">
        <v>0</v>
      </c>
      <c r="O781" s="492">
        <v>0</v>
      </c>
      <c r="P781" s="493">
        <v>0</v>
      </c>
      <c r="Q781" s="492">
        <v>0</v>
      </c>
      <c r="R781" s="494">
        <v>0</v>
      </c>
      <c r="S781" s="495">
        <v>0</v>
      </c>
      <c r="T781" s="496">
        <v>0</v>
      </c>
      <c r="U781" s="497">
        <v>0</v>
      </c>
      <c r="V781" s="282"/>
      <c r="W781" s="282"/>
      <c r="X781" s="282"/>
      <c r="Y781" s="24"/>
      <c r="Z781" s="24"/>
      <c r="AA781" s="8">
        <f>F781/'часть 1'!I804</f>
        <v>972.93264085615363</v>
      </c>
      <c r="AB781" s="8"/>
    </row>
    <row r="782" spans="1:28" s="5" customFormat="1">
      <c r="A782" s="487">
        <v>211</v>
      </c>
      <c r="B782" s="824" t="s">
        <v>585</v>
      </c>
      <c r="C782" s="492">
        <v>1720037</v>
      </c>
      <c r="D782" s="492">
        <f t="shared" si="112"/>
        <v>0</v>
      </c>
      <c r="E782" s="492">
        <v>0</v>
      </c>
      <c r="F782" s="492">
        <v>0</v>
      </c>
      <c r="G782" s="492">
        <v>0</v>
      </c>
      <c r="H782" s="492">
        <v>0</v>
      </c>
      <c r="I782" s="492">
        <v>0</v>
      </c>
      <c r="J782" s="492">
        <v>0</v>
      </c>
      <c r="K782" s="492">
        <v>0</v>
      </c>
      <c r="L782" s="493">
        <v>0</v>
      </c>
      <c r="M782" s="492">
        <v>0</v>
      </c>
      <c r="N782" s="492">
        <v>539.29999999999995</v>
      </c>
      <c r="O782" s="492">
        <v>1720037</v>
      </c>
      <c r="P782" s="493">
        <v>0</v>
      </c>
      <c r="Q782" s="492">
        <v>0</v>
      </c>
      <c r="R782" s="494">
        <v>0</v>
      </c>
      <c r="S782" s="495">
        <v>0</v>
      </c>
      <c r="T782" s="496">
        <v>0</v>
      </c>
      <c r="U782" s="497">
        <v>0</v>
      </c>
      <c r="V782" s="282"/>
      <c r="W782" s="282">
        <f t="shared" si="113"/>
        <v>3189.3880956795847</v>
      </c>
      <c r="X782" s="282"/>
      <c r="Y782" s="6"/>
      <c r="Z782" s="6"/>
      <c r="AA782" s="7"/>
      <c r="AB782" s="7"/>
    </row>
    <row r="783" spans="1:28" s="5" customFormat="1" ht="15.75">
      <c r="A783" s="487"/>
      <c r="B783" s="422"/>
      <c r="C783" s="492"/>
      <c r="D783" s="492"/>
      <c r="E783" s="492"/>
      <c r="F783" s="492"/>
      <c r="G783" s="492"/>
      <c r="H783" s="492"/>
      <c r="I783" s="492"/>
      <c r="J783" s="492"/>
      <c r="K783" s="492"/>
      <c r="L783" s="493"/>
      <c r="M783" s="492"/>
      <c r="N783" s="492"/>
      <c r="O783" s="492"/>
      <c r="P783" s="493"/>
      <c r="Q783" s="492"/>
      <c r="R783" s="494"/>
      <c r="S783" s="495"/>
      <c r="T783" s="496"/>
      <c r="U783" s="497"/>
      <c r="V783" s="282"/>
      <c r="W783" s="282"/>
      <c r="X783" s="282"/>
      <c r="Y783" s="24"/>
      <c r="Z783" s="24"/>
      <c r="AA783" s="8"/>
      <c r="AB783" s="8"/>
    </row>
    <row r="784" spans="1:28" s="5" customFormat="1" ht="15.75">
      <c r="A784" s="487"/>
      <c r="B784" s="416"/>
      <c r="C784" s="492"/>
      <c r="D784" s="492"/>
      <c r="E784" s="492"/>
      <c r="F784" s="492"/>
      <c r="G784" s="492"/>
      <c r="H784" s="492"/>
      <c r="I784" s="492"/>
      <c r="J784" s="492"/>
      <c r="K784" s="492"/>
      <c r="L784" s="493"/>
      <c r="M784" s="492"/>
      <c r="N784" s="492"/>
      <c r="O784" s="492"/>
      <c r="P784" s="493"/>
      <c r="Q784" s="492"/>
      <c r="R784" s="494"/>
      <c r="S784" s="495"/>
      <c r="T784" s="496"/>
      <c r="U784" s="497"/>
      <c r="V784" s="282"/>
      <c r="W784" s="282"/>
      <c r="X784" s="282"/>
      <c r="Y784" s="24"/>
      <c r="Z784" s="24"/>
      <c r="AA784" s="8"/>
      <c r="AB784" s="8"/>
    </row>
    <row r="785" spans="1:28" s="5" customFormat="1" ht="15.75">
      <c r="A785" s="487"/>
      <c r="B785" s="421"/>
      <c r="C785" s="492"/>
      <c r="D785" s="492"/>
      <c r="E785" s="492"/>
      <c r="F785" s="492"/>
      <c r="G785" s="492"/>
      <c r="H785" s="492"/>
      <c r="I785" s="492"/>
      <c r="J785" s="492"/>
      <c r="K785" s="492"/>
      <c r="L785" s="493"/>
      <c r="M785" s="492"/>
      <c r="N785" s="492"/>
      <c r="O785" s="492"/>
      <c r="P785" s="493"/>
      <c r="Q785" s="492"/>
      <c r="R785" s="494"/>
      <c r="S785" s="495"/>
      <c r="T785" s="496"/>
      <c r="U785" s="497"/>
      <c r="V785" s="282"/>
      <c r="W785" s="282"/>
      <c r="X785" s="282"/>
      <c r="Y785" s="24"/>
      <c r="Z785" s="24"/>
      <c r="AA785" s="8"/>
      <c r="AB785" s="8"/>
    </row>
    <row r="786" spans="1:28" ht="18.75" customHeight="1">
      <c r="A786" s="487"/>
      <c r="B786" s="488" t="s">
        <v>123</v>
      </c>
      <c r="C786" s="489">
        <f>C787+C788+C789+C790+C791</f>
        <v>12904489</v>
      </c>
      <c r="D786" s="489">
        <f t="shared" ref="D786:U786" si="114">D787+D788+D789+D790+D791</f>
        <v>0</v>
      </c>
      <c r="E786" s="489">
        <f t="shared" si="114"/>
        <v>0</v>
      </c>
      <c r="F786" s="489">
        <f t="shared" si="114"/>
        <v>0</v>
      </c>
      <c r="G786" s="489">
        <f t="shared" si="114"/>
        <v>0</v>
      </c>
      <c r="H786" s="489">
        <f t="shared" si="114"/>
        <v>0</v>
      </c>
      <c r="I786" s="489">
        <f t="shared" si="114"/>
        <v>0</v>
      </c>
      <c r="J786" s="489">
        <f t="shared" si="114"/>
        <v>0</v>
      </c>
      <c r="K786" s="489">
        <f t="shared" si="114"/>
        <v>0</v>
      </c>
      <c r="L786" s="489">
        <f t="shared" si="114"/>
        <v>0</v>
      </c>
      <c r="M786" s="489">
        <f t="shared" si="114"/>
        <v>0</v>
      </c>
      <c r="N786" s="489">
        <f t="shared" si="114"/>
        <v>5152</v>
      </c>
      <c r="O786" s="489">
        <f t="shared" si="114"/>
        <v>12904489</v>
      </c>
      <c r="P786" s="489">
        <f t="shared" si="114"/>
        <v>0</v>
      </c>
      <c r="Q786" s="489">
        <f t="shared" si="114"/>
        <v>0</v>
      </c>
      <c r="R786" s="489">
        <f t="shared" si="114"/>
        <v>0</v>
      </c>
      <c r="S786" s="489">
        <f t="shared" si="114"/>
        <v>0</v>
      </c>
      <c r="T786" s="489">
        <f t="shared" si="114"/>
        <v>0</v>
      </c>
      <c r="U786" s="489">
        <f t="shared" si="114"/>
        <v>0</v>
      </c>
      <c r="V786" s="282"/>
      <c r="W786" s="282"/>
      <c r="X786" s="282"/>
    </row>
    <row r="787" spans="1:28" ht="15.75">
      <c r="A787" s="487">
        <v>215</v>
      </c>
      <c r="B787" s="876" t="s">
        <v>736</v>
      </c>
      <c r="C787" s="489">
        <f>'часть 1'!L810</f>
        <v>2291418</v>
      </c>
      <c r="D787" s="489">
        <v>0</v>
      </c>
      <c r="E787" s="489">
        <v>0</v>
      </c>
      <c r="F787" s="489">
        <v>0</v>
      </c>
      <c r="G787" s="489">
        <v>0</v>
      </c>
      <c r="H787" s="489">
        <v>0</v>
      </c>
      <c r="I787" s="489">
        <v>0</v>
      </c>
      <c r="J787" s="489">
        <v>0</v>
      </c>
      <c r="K787" s="557">
        <v>0</v>
      </c>
      <c r="L787" s="649">
        <v>0</v>
      </c>
      <c r="M787" s="510">
        <v>0</v>
      </c>
      <c r="N787" s="510">
        <v>914</v>
      </c>
      <c r="O787" s="510">
        <v>2291418</v>
      </c>
      <c r="P787" s="649">
        <v>0</v>
      </c>
      <c r="Q787" s="510">
        <v>0</v>
      </c>
      <c r="R787" s="650">
        <v>0</v>
      </c>
      <c r="S787" s="510">
        <v>0</v>
      </c>
      <c r="T787" s="649">
        <v>0</v>
      </c>
      <c r="U787" s="497">
        <v>0</v>
      </c>
      <c r="V787" s="282"/>
      <c r="W787" s="282">
        <f>O787/N787</f>
        <v>2507.0218818380745</v>
      </c>
      <c r="X787" s="282"/>
    </row>
    <row r="788" spans="1:28" ht="15.75">
      <c r="A788" s="487">
        <v>216</v>
      </c>
      <c r="B788" s="876" t="s">
        <v>737</v>
      </c>
      <c r="C788" s="489">
        <f>'часть 1'!L811</f>
        <v>3059197</v>
      </c>
      <c r="D788" s="489">
        <v>0</v>
      </c>
      <c r="E788" s="489">
        <v>0</v>
      </c>
      <c r="F788" s="489">
        <v>0</v>
      </c>
      <c r="G788" s="489">
        <v>0</v>
      </c>
      <c r="H788" s="489">
        <v>0</v>
      </c>
      <c r="I788" s="489">
        <v>0</v>
      </c>
      <c r="J788" s="489">
        <v>0</v>
      </c>
      <c r="K788" s="557">
        <v>0</v>
      </c>
      <c r="L788" s="649">
        <v>0</v>
      </c>
      <c r="M788" s="510">
        <v>0</v>
      </c>
      <c r="N788" s="510">
        <v>1223</v>
      </c>
      <c r="O788" s="510">
        <v>3059197</v>
      </c>
      <c r="P788" s="649">
        <v>0</v>
      </c>
      <c r="Q788" s="510">
        <v>0</v>
      </c>
      <c r="R788" s="650">
        <v>0</v>
      </c>
      <c r="S788" s="510">
        <v>0</v>
      </c>
      <c r="T788" s="649">
        <v>0</v>
      </c>
      <c r="U788" s="497">
        <v>0</v>
      </c>
      <c r="V788" s="282"/>
      <c r="W788" s="282">
        <f t="shared" ref="W788:W791" si="115">O788/N788</f>
        <v>2501.3875715453801</v>
      </c>
      <c r="X788" s="282"/>
    </row>
    <row r="789" spans="1:28" ht="15.75">
      <c r="A789" s="487">
        <v>217</v>
      </c>
      <c r="B789" s="876" t="s">
        <v>738</v>
      </c>
      <c r="C789" s="489">
        <f>'часть 1'!L812</f>
        <v>2247330</v>
      </c>
      <c r="D789" s="489">
        <v>0</v>
      </c>
      <c r="E789" s="489">
        <v>0</v>
      </c>
      <c r="F789" s="489">
        <v>0</v>
      </c>
      <c r="G789" s="489">
        <v>0</v>
      </c>
      <c r="H789" s="489">
        <v>0</v>
      </c>
      <c r="I789" s="489">
        <v>0</v>
      </c>
      <c r="J789" s="489">
        <v>0</v>
      </c>
      <c r="K789" s="489">
        <v>0</v>
      </c>
      <c r="L789" s="649">
        <v>0</v>
      </c>
      <c r="M789" s="510">
        <v>0</v>
      </c>
      <c r="N789" s="510">
        <v>896</v>
      </c>
      <c r="O789" s="510">
        <v>2247330</v>
      </c>
      <c r="P789" s="649">
        <v>0</v>
      </c>
      <c r="Q789" s="510">
        <v>0</v>
      </c>
      <c r="R789" s="650">
        <v>0</v>
      </c>
      <c r="S789" s="510">
        <v>0</v>
      </c>
      <c r="T789" s="649">
        <v>0</v>
      </c>
      <c r="U789" s="497">
        <v>0</v>
      </c>
      <c r="V789" s="282"/>
      <c r="W789" s="282">
        <f t="shared" si="115"/>
        <v>2508.1808035714284</v>
      </c>
      <c r="X789" s="282"/>
    </row>
    <row r="790" spans="1:28" ht="15.75">
      <c r="A790" s="487">
        <v>218</v>
      </c>
      <c r="B790" s="876" t="s">
        <v>739</v>
      </c>
      <c r="C790" s="489">
        <f>'часть 1'!L813</f>
        <v>3059179</v>
      </c>
      <c r="D790" s="489">
        <v>0</v>
      </c>
      <c r="E790" s="489">
        <v>0</v>
      </c>
      <c r="F790" s="489">
        <v>0</v>
      </c>
      <c r="G790" s="489">
        <v>0</v>
      </c>
      <c r="H790" s="489">
        <v>0</v>
      </c>
      <c r="I790" s="489">
        <v>0</v>
      </c>
      <c r="J790" s="489">
        <v>0</v>
      </c>
      <c r="K790" s="557">
        <v>0</v>
      </c>
      <c r="L790" s="649">
        <v>0</v>
      </c>
      <c r="M790" s="510">
        <v>0</v>
      </c>
      <c r="N790" s="510">
        <v>1223</v>
      </c>
      <c r="O790" s="510">
        <v>3059179</v>
      </c>
      <c r="P790" s="649">
        <v>0</v>
      </c>
      <c r="Q790" s="510">
        <v>0</v>
      </c>
      <c r="R790" s="650">
        <v>0</v>
      </c>
      <c r="S790" s="510">
        <v>0</v>
      </c>
      <c r="T790" s="649">
        <v>0</v>
      </c>
      <c r="U790" s="497">
        <v>0</v>
      </c>
      <c r="V790" s="282"/>
      <c r="W790" s="282">
        <f t="shared" si="115"/>
        <v>2501.3728536385938</v>
      </c>
      <c r="X790" s="282"/>
    </row>
    <row r="791" spans="1:28" ht="15.75">
      <c r="A791" s="487">
        <v>219</v>
      </c>
      <c r="B791" s="876" t="s">
        <v>740</v>
      </c>
      <c r="C791" s="489">
        <f>'часть 1'!L814</f>
        <v>2247365</v>
      </c>
      <c r="D791" s="489">
        <v>0</v>
      </c>
      <c r="E791" s="489">
        <v>0</v>
      </c>
      <c r="F791" s="489">
        <v>0</v>
      </c>
      <c r="G791" s="489">
        <v>0</v>
      </c>
      <c r="H791" s="489">
        <v>0</v>
      </c>
      <c r="I791" s="489">
        <v>0</v>
      </c>
      <c r="J791" s="489">
        <v>0</v>
      </c>
      <c r="K791" s="489">
        <v>0</v>
      </c>
      <c r="L791" s="649">
        <v>0</v>
      </c>
      <c r="M791" s="510">
        <v>0</v>
      </c>
      <c r="N791" s="510">
        <v>896</v>
      </c>
      <c r="O791" s="510">
        <v>2247365</v>
      </c>
      <c r="P791" s="649">
        <v>0</v>
      </c>
      <c r="Q791" s="510">
        <v>0</v>
      </c>
      <c r="R791" s="650">
        <v>0</v>
      </c>
      <c r="S791" s="510">
        <v>0</v>
      </c>
      <c r="T791" s="649">
        <v>0</v>
      </c>
      <c r="U791" s="497">
        <v>0</v>
      </c>
      <c r="V791" s="282"/>
      <c r="W791" s="282">
        <f t="shared" si="115"/>
        <v>2508.2198660714284</v>
      </c>
      <c r="X791" s="282"/>
    </row>
    <row r="792" spans="1:28">
      <c r="A792" s="487"/>
      <c r="B792" s="501"/>
      <c r="C792" s="489"/>
      <c r="D792" s="489"/>
      <c r="E792" s="489"/>
      <c r="F792" s="489"/>
      <c r="G792" s="489"/>
      <c r="H792" s="489"/>
      <c r="I792" s="489"/>
      <c r="J792" s="489"/>
      <c r="K792" s="557"/>
      <c r="L792" s="649"/>
      <c r="M792" s="510"/>
      <c r="N792" s="510"/>
      <c r="O792" s="510"/>
      <c r="P792" s="649"/>
      <c r="Q792" s="510"/>
      <c r="R792" s="650"/>
      <c r="S792" s="510"/>
      <c r="T792" s="649"/>
      <c r="U792" s="497"/>
      <c r="V792" s="282"/>
      <c r="W792" s="282"/>
      <c r="X792" s="282"/>
    </row>
    <row r="793" spans="1:28">
      <c r="A793" s="487"/>
      <c r="B793" s="501"/>
      <c r="C793" s="489"/>
      <c r="D793" s="489"/>
      <c r="E793" s="489"/>
      <c r="F793" s="489"/>
      <c r="G793" s="489"/>
      <c r="H793" s="489"/>
      <c r="I793" s="489"/>
      <c r="J793" s="489"/>
      <c r="K793" s="489"/>
      <c r="L793" s="649"/>
      <c r="M793" s="510"/>
      <c r="N793" s="510"/>
      <c r="O793" s="510"/>
      <c r="P793" s="649"/>
      <c r="Q793" s="510"/>
      <c r="R793" s="650"/>
      <c r="S793" s="510"/>
      <c r="T793" s="649"/>
      <c r="U793" s="497"/>
      <c r="V793" s="282"/>
      <c r="W793" s="282"/>
      <c r="X793" s="282"/>
    </row>
    <row r="794" spans="1:28">
      <c r="A794" s="487"/>
      <c r="B794" s="501"/>
      <c r="C794" s="489"/>
      <c r="D794" s="489"/>
      <c r="E794" s="489"/>
      <c r="F794" s="489"/>
      <c r="G794" s="489"/>
      <c r="H794" s="489"/>
      <c r="I794" s="489"/>
      <c r="J794" s="489"/>
      <c r="K794" s="489"/>
      <c r="L794" s="649"/>
      <c r="M794" s="510"/>
      <c r="N794" s="510"/>
      <c r="O794" s="510"/>
      <c r="P794" s="649"/>
      <c r="Q794" s="510"/>
      <c r="R794" s="650"/>
      <c r="S794" s="510"/>
      <c r="T794" s="649"/>
      <c r="U794" s="497"/>
      <c r="V794" s="282"/>
      <c r="W794" s="282"/>
      <c r="X794" s="282"/>
    </row>
    <row r="795" spans="1:28">
      <c r="A795" s="487"/>
      <c r="B795" s="501"/>
      <c r="C795" s="489"/>
      <c r="D795" s="489"/>
      <c r="E795" s="489"/>
      <c r="F795" s="489"/>
      <c r="G795" s="489"/>
      <c r="H795" s="489"/>
      <c r="I795" s="489"/>
      <c r="J795" s="489"/>
      <c r="K795" s="557"/>
      <c r="L795" s="649"/>
      <c r="M795" s="510"/>
      <c r="N795" s="510"/>
      <c r="O795" s="510"/>
      <c r="P795" s="649"/>
      <c r="Q795" s="510"/>
      <c r="R795" s="650"/>
      <c r="S795" s="510"/>
      <c r="T795" s="649"/>
      <c r="U795" s="497"/>
      <c r="V795" s="282"/>
      <c r="W795" s="282"/>
      <c r="X795" s="282"/>
    </row>
    <row r="796" spans="1:28">
      <c r="A796" s="487"/>
      <c r="B796" s="501"/>
      <c r="C796" s="489"/>
      <c r="D796" s="489"/>
      <c r="E796" s="489"/>
      <c r="F796" s="489"/>
      <c r="G796" s="489"/>
      <c r="H796" s="489"/>
      <c r="I796" s="489"/>
      <c r="J796" s="489"/>
      <c r="K796" s="557"/>
      <c r="L796" s="649"/>
      <c r="M796" s="510"/>
      <c r="N796" s="510"/>
      <c r="O796" s="510"/>
      <c r="P796" s="649"/>
      <c r="Q796" s="510"/>
      <c r="R796" s="650"/>
      <c r="S796" s="510"/>
      <c r="T796" s="649"/>
      <c r="U796" s="497"/>
      <c r="V796" s="282"/>
      <c r="W796" s="282"/>
      <c r="X796" s="282"/>
    </row>
    <row r="797" spans="1:28">
      <c r="A797" s="487"/>
      <c r="B797" s="501"/>
      <c r="C797" s="489"/>
      <c r="D797" s="489"/>
      <c r="E797" s="489"/>
      <c r="F797" s="489"/>
      <c r="G797" s="489"/>
      <c r="H797" s="489"/>
      <c r="I797" s="489"/>
      <c r="J797" s="489"/>
      <c r="K797" s="557"/>
      <c r="L797" s="649"/>
      <c r="M797" s="510"/>
      <c r="N797" s="510"/>
      <c r="O797" s="510"/>
      <c r="P797" s="649"/>
      <c r="Q797" s="510"/>
      <c r="R797" s="650"/>
      <c r="S797" s="510"/>
      <c r="T797" s="649"/>
      <c r="U797" s="497"/>
      <c r="V797" s="282"/>
      <c r="W797" s="282"/>
      <c r="X797" s="282"/>
    </row>
    <row r="798" spans="1:28">
      <c r="A798" s="487"/>
      <c r="B798" s="501"/>
      <c r="C798" s="489"/>
      <c r="D798" s="489"/>
      <c r="E798" s="489"/>
      <c r="F798" s="489"/>
      <c r="G798" s="489"/>
      <c r="H798" s="489"/>
      <c r="I798" s="489"/>
      <c r="J798" s="489"/>
      <c r="K798" s="557"/>
      <c r="L798" s="649"/>
      <c r="M798" s="510"/>
      <c r="N798" s="510"/>
      <c r="O798" s="510"/>
      <c r="P798" s="649"/>
      <c r="Q798" s="510"/>
      <c r="R798" s="808"/>
      <c r="S798" s="510"/>
      <c r="T798" s="649"/>
      <c r="U798" s="497"/>
      <c r="V798" s="282"/>
      <c r="W798" s="282"/>
      <c r="X798" s="282"/>
    </row>
    <row r="799" spans="1:28" ht="19.899999999999999" customHeight="1">
      <c r="A799" s="487"/>
      <c r="B799" s="501" t="s">
        <v>864</v>
      </c>
      <c r="C799" s="489">
        <f>C800+C801</f>
        <v>3651703</v>
      </c>
      <c r="D799" s="489">
        <f t="shared" ref="D799:U799" si="116">D800+D801</f>
        <v>1371058</v>
      </c>
      <c r="E799" s="489">
        <f t="shared" si="116"/>
        <v>1371058</v>
      </c>
      <c r="F799" s="489">
        <f t="shared" si="116"/>
        <v>0</v>
      </c>
      <c r="G799" s="489">
        <f t="shared" si="116"/>
        <v>0</v>
      </c>
      <c r="H799" s="489">
        <f t="shared" si="116"/>
        <v>0</v>
      </c>
      <c r="I799" s="489">
        <f t="shared" si="116"/>
        <v>0</v>
      </c>
      <c r="J799" s="489">
        <f t="shared" si="116"/>
        <v>0</v>
      </c>
      <c r="K799" s="489">
        <f t="shared" si="116"/>
        <v>0</v>
      </c>
      <c r="L799" s="489">
        <f t="shared" si="116"/>
        <v>0</v>
      </c>
      <c r="M799" s="489">
        <f t="shared" si="116"/>
        <v>0</v>
      </c>
      <c r="N799" s="489">
        <f t="shared" si="116"/>
        <v>0</v>
      </c>
      <c r="O799" s="489">
        <f t="shared" si="116"/>
        <v>0</v>
      </c>
      <c r="P799" s="489">
        <f t="shared" si="116"/>
        <v>0</v>
      </c>
      <c r="Q799" s="489">
        <f t="shared" si="116"/>
        <v>0</v>
      </c>
      <c r="R799" s="489">
        <f t="shared" si="116"/>
        <v>1479.4</v>
      </c>
      <c r="S799" s="489">
        <f t="shared" si="116"/>
        <v>2280645</v>
      </c>
      <c r="T799" s="489">
        <f t="shared" si="116"/>
        <v>0</v>
      </c>
      <c r="U799" s="489">
        <f t="shared" si="116"/>
        <v>0</v>
      </c>
      <c r="V799" s="282"/>
      <c r="W799" s="282"/>
      <c r="X799" s="282"/>
    </row>
    <row r="800" spans="1:28">
      <c r="A800" s="487"/>
      <c r="B800" s="501" t="s">
        <v>867</v>
      </c>
      <c r="C800" s="489">
        <f>'часть 1'!L823</f>
        <v>2505179</v>
      </c>
      <c r="D800" s="489">
        <f>E800+F800+G800+H800+I800+J800+K800</f>
        <v>1371058</v>
      </c>
      <c r="E800" s="489">
        <v>1371058</v>
      </c>
      <c r="F800" s="489">
        <v>0</v>
      </c>
      <c r="G800" s="489">
        <v>0</v>
      </c>
      <c r="H800" s="489">
        <v>0</v>
      </c>
      <c r="I800" s="489">
        <v>0</v>
      </c>
      <c r="J800" s="489">
        <v>0</v>
      </c>
      <c r="K800" s="557">
        <v>0</v>
      </c>
      <c r="L800" s="649">
        <v>0</v>
      </c>
      <c r="M800" s="510">
        <v>0</v>
      </c>
      <c r="N800" s="557">
        <v>0</v>
      </c>
      <c r="O800" s="557">
        <v>0</v>
      </c>
      <c r="P800" s="649">
        <v>0</v>
      </c>
      <c r="Q800" s="510">
        <v>0</v>
      </c>
      <c r="R800" s="808">
        <v>735.5</v>
      </c>
      <c r="S800" s="510">
        <v>1134121</v>
      </c>
      <c r="T800" s="649">
        <v>0</v>
      </c>
      <c r="U800" s="497">
        <v>0</v>
      </c>
      <c r="V800" s="282"/>
      <c r="W800" s="282"/>
      <c r="X800" s="282">
        <f>S800/R800</f>
        <v>1541.9728076138681</v>
      </c>
      <c r="Y800" s="1">
        <f>E800/'часть 1'!I823</f>
        <v>671.42899118511264</v>
      </c>
    </row>
    <row r="801" spans="1:30">
      <c r="A801" s="487"/>
      <c r="B801" s="501" t="s">
        <v>868</v>
      </c>
      <c r="C801" s="489">
        <f>'часть 1'!L824</f>
        <v>1146524</v>
      </c>
      <c r="D801" s="489">
        <f>E801+F801+G801+H801+I801+J801+K801</f>
        <v>0</v>
      </c>
      <c r="E801" s="489">
        <v>0</v>
      </c>
      <c r="F801" s="489">
        <v>0</v>
      </c>
      <c r="G801" s="489">
        <v>0</v>
      </c>
      <c r="H801" s="489">
        <v>0</v>
      </c>
      <c r="I801" s="489">
        <v>0</v>
      </c>
      <c r="J801" s="489">
        <v>0</v>
      </c>
      <c r="K801" s="557">
        <v>0</v>
      </c>
      <c r="L801" s="649">
        <v>0</v>
      </c>
      <c r="M801" s="510">
        <v>0</v>
      </c>
      <c r="N801" s="557">
        <v>0</v>
      </c>
      <c r="O801" s="557">
        <v>0</v>
      </c>
      <c r="P801" s="649">
        <v>0</v>
      </c>
      <c r="Q801" s="510">
        <v>0</v>
      </c>
      <c r="R801" s="808">
        <v>743.9</v>
      </c>
      <c r="S801" s="510">
        <v>1146524</v>
      </c>
      <c r="T801" s="649">
        <v>0</v>
      </c>
      <c r="U801" s="497">
        <v>0</v>
      </c>
      <c r="V801" s="282"/>
      <c r="W801" s="282"/>
      <c r="X801" s="282">
        <f>S801/R801</f>
        <v>1541.2340368329078</v>
      </c>
    </row>
    <row r="802" spans="1:30" ht="18.75" customHeight="1">
      <c r="A802" s="487"/>
      <c r="B802" s="499" t="s">
        <v>72</v>
      </c>
      <c r="C802" s="489">
        <f>C803</f>
        <v>4218095</v>
      </c>
      <c r="D802" s="489">
        <f t="shared" ref="D802:U802" si="117">D803</f>
        <v>0</v>
      </c>
      <c r="E802" s="489">
        <f t="shared" si="117"/>
        <v>0</v>
      </c>
      <c r="F802" s="489">
        <f t="shared" si="117"/>
        <v>0</v>
      </c>
      <c r="G802" s="489">
        <f t="shared" si="117"/>
        <v>0</v>
      </c>
      <c r="H802" s="489">
        <f t="shared" si="117"/>
        <v>0</v>
      </c>
      <c r="I802" s="489">
        <f t="shared" si="117"/>
        <v>0</v>
      </c>
      <c r="J802" s="489">
        <f t="shared" si="117"/>
        <v>0</v>
      </c>
      <c r="K802" s="489">
        <f t="shared" si="117"/>
        <v>0</v>
      </c>
      <c r="L802" s="489">
        <f t="shared" si="117"/>
        <v>0</v>
      </c>
      <c r="M802" s="489">
        <f t="shared" si="117"/>
        <v>0</v>
      </c>
      <c r="N802" s="489">
        <f t="shared" si="117"/>
        <v>847</v>
      </c>
      <c r="O802" s="489">
        <f t="shared" si="117"/>
        <v>2338924</v>
      </c>
      <c r="P802" s="489">
        <f t="shared" si="117"/>
        <v>0</v>
      </c>
      <c r="Q802" s="489">
        <f t="shared" si="117"/>
        <v>0</v>
      </c>
      <c r="R802" s="489">
        <f t="shared" si="117"/>
        <v>1210</v>
      </c>
      <c r="S802" s="489">
        <f t="shared" si="117"/>
        <v>1879171</v>
      </c>
      <c r="T802" s="489">
        <f t="shared" si="117"/>
        <v>0</v>
      </c>
      <c r="U802" s="489">
        <f t="shared" si="117"/>
        <v>0</v>
      </c>
      <c r="V802" s="282"/>
      <c r="W802" s="282"/>
      <c r="X802" s="282"/>
    </row>
    <row r="803" spans="1:30" ht="30.75" customHeight="1">
      <c r="A803" s="487"/>
      <c r="B803" s="499" t="s">
        <v>95</v>
      </c>
      <c r="C803" s="489">
        <f>C804+C805</f>
        <v>4218095</v>
      </c>
      <c r="D803" s="489">
        <f t="shared" ref="D803:V803" si="118">D804+D805</f>
        <v>0</v>
      </c>
      <c r="E803" s="489">
        <f t="shared" si="118"/>
        <v>0</v>
      </c>
      <c r="F803" s="489">
        <f t="shared" si="118"/>
        <v>0</v>
      </c>
      <c r="G803" s="489">
        <f t="shared" si="118"/>
        <v>0</v>
      </c>
      <c r="H803" s="489">
        <f t="shared" si="118"/>
        <v>0</v>
      </c>
      <c r="I803" s="489">
        <f t="shared" si="118"/>
        <v>0</v>
      </c>
      <c r="J803" s="489">
        <f t="shared" si="118"/>
        <v>0</v>
      </c>
      <c r="K803" s="489">
        <f t="shared" si="118"/>
        <v>0</v>
      </c>
      <c r="L803" s="489">
        <f t="shared" si="118"/>
        <v>0</v>
      </c>
      <c r="M803" s="489">
        <f t="shared" si="118"/>
        <v>0</v>
      </c>
      <c r="N803" s="489">
        <f t="shared" si="118"/>
        <v>847</v>
      </c>
      <c r="O803" s="489">
        <f t="shared" si="118"/>
        <v>2338924</v>
      </c>
      <c r="P803" s="489">
        <f t="shared" si="118"/>
        <v>0</v>
      </c>
      <c r="Q803" s="489">
        <f t="shared" si="118"/>
        <v>0</v>
      </c>
      <c r="R803" s="489">
        <f t="shared" si="118"/>
        <v>1210</v>
      </c>
      <c r="S803" s="489">
        <f t="shared" si="118"/>
        <v>1879171</v>
      </c>
      <c r="T803" s="489">
        <f t="shared" si="118"/>
        <v>0</v>
      </c>
      <c r="U803" s="489">
        <f t="shared" si="118"/>
        <v>0</v>
      </c>
      <c r="V803" s="196">
        <f t="shared" si="118"/>
        <v>0</v>
      </c>
      <c r="W803" s="282"/>
      <c r="X803" s="282"/>
    </row>
    <row r="804" spans="1:30" ht="15.75">
      <c r="A804" s="487">
        <v>231</v>
      </c>
      <c r="B804" s="336" t="s">
        <v>627</v>
      </c>
      <c r="C804" s="489">
        <f>'часть 1'!L827</f>
        <v>2605488</v>
      </c>
      <c r="D804" s="489">
        <v>0</v>
      </c>
      <c r="E804" s="489">
        <v>0</v>
      </c>
      <c r="F804" s="489">
        <v>0</v>
      </c>
      <c r="G804" s="489">
        <v>0</v>
      </c>
      <c r="H804" s="489">
        <v>0</v>
      </c>
      <c r="I804" s="489">
        <v>0</v>
      </c>
      <c r="J804" s="489">
        <v>0</v>
      </c>
      <c r="K804" s="489">
        <v>0</v>
      </c>
      <c r="L804" s="500">
        <v>0</v>
      </c>
      <c r="M804" s="560">
        <v>0</v>
      </c>
      <c r="N804" s="492">
        <v>562</v>
      </c>
      <c r="O804" s="489">
        <v>1417413</v>
      </c>
      <c r="P804" s="500">
        <v>0</v>
      </c>
      <c r="Q804" s="489">
        <v>0</v>
      </c>
      <c r="R804" s="490">
        <v>760</v>
      </c>
      <c r="S804" s="489">
        <v>1188075</v>
      </c>
      <c r="T804" s="500">
        <v>0</v>
      </c>
      <c r="U804" s="561">
        <v>0</v>
      </c>
      <c r="V804" s="282"/>
      <c r="W804" s="282">
        <f>O804/N804</f>
        <v>2522.0871886120995</v>
      </c>
      <c r="X804" s="282">
        <f>S804/R804</f>
        <v>1563.2565789473683</v>
      </c>
    </row>
    <row r="805" spans="1:30" ht="22.15" customHeight="1">
      <c r="A805" s="487">
        <v>232</v>
      </c>
      <c r="B805" s="336" t="s">
        <v>624</v>
      </c>
      <c r="C805" s="489">
        <f>'часть 1'!L828</f>
        <v>1612607</v>
      </c>
      <c r="D805" s="489">
        <v>0</v>
      </c>
      <c r="E805" s="489">
        <v>0</v>
      </c>
      <c r="F805" s="489">
        <v>0</v>
      </c>
      <c r="G805" s="489">
        <v>0</v>
      </c>
      <c r="H805" s="489">
        <v>0</v>
      </c>
      <c r="I805" s="489">
        <v>0</v>
      </c>
      <c r="J805" s="489">
        <v>0</v>
      </c>
      <c r="K805" s="489">
        <v>0</v>
      </c>
      <c r="L805" s="500">
        <v>0</v>
      </c>
      <c r="M805" s="560">
        <v>0</v>
      </c>
      <c r="N805" s="492">
        <v>285</v>
      </c>
      <c r="O805" s="489">
        <v>921511</v>
      </c>
      <c r="P805" s="500">
        <v>0</v>
      </c>
      <c r="Q805" s="489">
        <v>0</v>
      </c>
      <c r="R805" s="490">
        <v>450</v>
      </c>
      <c r="S805" s="489">
        <v>691096</v>
      </c>
      <c r="T805" s="500">
        <v>0</v>
      </c>
      <c r="U805" s="561">
        <v>0</v>
      </c>
      <c r="V805" s="282"/>
      <c r="W805" s="282">
        <f>O805/N805</f>
        <v>3233.3719298245614</v>
      </c>
      <c r="X805" s="282">
        <f>S805/R805</f>
        <v>1535.7688888888888</v>
      </c>
    </row>
    <row r="806" spans="1:30">
      <c r="A806" s="487"/>
      <c r="B806" s="499"/>
      <c r="C806" s="489"/>
      <c r="D806" s="489"/>
      <c r="E806" s="489"/>
      <c r="F806" s="489"/>
      <c r="G806" s="489"/>
      <c r="H806" s="489"/>
      <c r="I806" s="489"/>
      <c r="J806" s="489"/>
      <c r="K806" s="489"/>
      <c r="L806" s="500"/>
      <c r="M806" s="560"/>
      <c r="N806" s="492"/>
      <c r="O806" s="489"/>
      <c r="P806" s="500"/>
      <c r="Q806" s="489"/>
      <c r="R806" s="490"/>
      <c r="S806" s="560"/>
      <c r="T806" s="500"/>
      <c r="U806" s="561"/>
      <c r="V806" s="282"/>
      <c r="W806" s="282"/>
      <c r="X806" s="282"/>
    </row>
    <row r="807" spans="1:30">
      <c r="A807" s="487"/>
      <c r="B807" s="499"/>
      <c r="C807" s="489"/>
      <c r="D807" s="489"/>
      <c r="E807" s="489"/>
      <c r="F807" s="489"/>
      <c r="G807" s="489"/>
      <c r="H807" s="489"/>
      <c r="I807" s="489"/>
      <c r="J807" s="489"/>
      <c r="K807" s="489"/>
      <c r="L807" s="500"/>
      <c r="M807" s="560"/>
      <c r="N807" s="492"/>
      <c r="O807" s="489"/>
      <c r="P807" s="500"/>
      <c r="Q807" s="489"/>
      <c r="R807" s="490"/>
      <c r="S807" s="560"/>
      <c r="T807" s="500"/>
      <c r="U807" s="561"/>
      <c r="V807" s="282"/>
      <c r="W807" s="282"/>
      <c r="X807" s="282"/>
    </row>
    <row r="808" spans="1:30">
      <c r="A808" s="487"/>
      <c r="B808" s="499"/>
      <c r="C808" s="489"/>
      <c r="D808" s="489"/>
      <c r="E808" s="489"/>
      <c r="F808" s="489"/>
      <c r="G808" s="489"/>
      <c r="H808" s="489"/>
      <c r="I808" s="489"/>
      <c r="J808" s="489"/>
      <c r="K808" s="489"/>
      <c r="L808" s="500"/>
      <c r="M808" s="560"/>
      <c r="N808" s="492"/>
      <c r="O808" s="489"/>
      <c r="P808" s="500"/>
      <c r="Q808" s="489"/>
      <c r="R808" s="490"/>
      <c r="S808" s="560"/>
      <c r="T808" s="500"/>
      <c r="U808" s="561"/>
      <c r="V808" s="282"/>
      <c r="W808" s="282"/>
      <c r="X808" s="282"/>
    </row>
    <row r="809" spans="1:30">
      <c r="A809" s="487"/>
      <c r="B809" s="499"/>
      <c r="C809" s="489"/>
      <c r="D809" s="489"/>
      <c r="E809" s="489"/>
      <c r="F809" s="489"/>
      <c r="G809" s="489"/>
      <c r="H809" s="489"/>
      <c r="I809" s="489"/>
      <c r="J809" s="489"/>
      <c r="K809" s="489"/>
      <c r="L809" s="500"/>
      <c r="M809" s="560"/>
      <c r="N809" s="492"/>
      <c r="O809" s="489"/>
      <c r="P809" s="500"/>
      <c r="Q809" s="489"/>
      <c r="R809" s="490"/>
      <c r="S809" s="560"/>
      <c r="T809" s="500"/>
      <c r="U809" s="561"/>
      <c r="V809" s="282"/>
      <c r="W809" s="282"/>
      <c r="X809" s="282"/>
    </row>
    <row r="810" spans="1:30">
      <c r="A810" s="487"/>
      <c r="B810" s="499"/>
      <c r="C810" s="489"/>
      <c r="D810" s="489"/>
      <c r="E810" s="489"/>
      <c r="F810" s="489"/>
      <c r="G810" s="489"/>
      <c r="H810" s="489"/>
      <c r="I810" s="489"/>
      <c r="J810" s="489"/>
      <c r="K810" s="489"/>
      <c r="L810" s="500"/>
      <c r="M810" s="560"/>
      <c r="N810" s="492"/>
      <c r="O810" s="489"/>
      <c r="P810" s="500"/>
      <c r="Q810" s="489"/>
      <c r="R810" s="490"/>
      <c r="S810" s="560"/>
      <c r="T810" s="500"/>
      <c r="U810" s="561"/>
      <c r="V810" s="282"/>
      <c r="W810" s="282"/>
      <c r="X810" s="282"/>
    </row>
    <row r="811" spans="1:30">
      <c r="A811" s="198"/>
      <c r="B811" s="217" t="s">
        <v>41</v>
      </c>
      <c r="C811" s="192">
        <v>12161074</v>
      </c>
      <c r="D811" s="192"/>
      <c r="E811" s="192"/>
      <c r="F811" s="192"/>
      <c r="G811" s="192"/>
      <c r="H811" s="192"/>
      <c r="I811" s="192"/>
      <c r="J811" s="192"/>
      <c r="K811" s="192">
        <v>297717</v>
      </c>
      <c r="L811" s="205">
        <v>3</v>
      </c>
      <c r="M811" s="192">
        <v>5600526</v>
      </c>
      <c r="N811" s="192">
        <f>N812</f>
        <v>1313</v>
      </c>
      <c r="O811" s="192">
        <v>6262831</v>
      </c>
      <c r="P811" s="205">
        <v>0</v>
      </c>
      <c r="Q811" s="192">
        <v>0</v>
      </c>
      <c r="R811" s="193">
        <v>0</v>
      </c>
      <c r="S811" s="192">
        <v>0</v>
      </c>
      <c r="T811" s="205">
        <v>0</v>
      </c>
      <c r="U811" s="287">
        <v>0</v>
      </c>
      <c r="V811" s="282"/>
      <c r="W811" s="282"/>
      <c r="X811" s="282"/>
    </row>
    <row r="812" spans="1:30" ht="30">
      <c r="A812" s="785"/>
      <c r="B812" s="195" t="s">
        <v>96</v>
      </c>
      <c r="C812" s="196">
        <f>C813+C814+C815+C816+C817</f>
        <v>9289441</v>
      </c>
      <c r="D812" s="196">
        <f t="shared" ref="D812:U812" si="119">D813+D814+D815+D816+D817</f>
        <v>5111523</v>
      </c>
      <c r="E812" s="196">
        <f t="shared" si="119"/>
        <v>2547087</v>
      </c>
      <c r="F812" s="196">
        <f t="shared" si="119"/>
        <v>1049894</v>
      </c>
      <c r="G812" s="196">
        <f t="shared" si="119"/>
        <v>0</v>
      </c>
      <c r="H812" s="196">
        <f t="shared" si="119"/>
        <v>921204</v>
      </c>
      <c r="I812" s="196">
        <f t="shared" si="119"/>
        <v>0</v>
      </c>
      <c r="J812" s="196">
        <f t="shared" si="119"/>
        <v>593338</v>
      </c>
      <c r="K812" s="196">
        <f t="shared" si="119"/>
        <v>0</v>
      </c>
      <c r="L812" s="196">
        <f t="shared" si="119"/>
        <v>0</v>
      </c>
      <c r="M812" s="196">
        <f t="shared" si="119"/>
        <v>0</v>
      </c>
      <c r="N812" s="196">
        <f t="shared" si="119"/>
        <v>1313</v>
      </c>
      <c r="O812" s="196">
        <f t="shared" si="119"/>
        <v>4177918</v>
      </c>
      <c r="P812" s="196">
        <f t="shared" si="119"/>
        <v>0</v>
      </c>
      <c r="Q812" s="196">
        <f t="shared" si="119"/>
        <v>0</v>
      </c>
      <c r="R812" s="196">
        <f t="shared" si="119"/>
        <v>0</v>
      </c>
      <c r="S812" s="196">
        <f t="shared" si="119"/>
        <v>0</v>
      </c>
      <c r="T812" s="196">
        <f t="shared" si="119"/>
        <v>0</v>
      </c>
      <c r="U812" s="196">
        <f t="shared" si="119"/>
        <v>0</v>
      </c>
      <c r="V812" s="282"/>
      <c r="W812" s="282"/>
      <c r="X812" s="282"/>
    </row>
    <row r="813" spans="1:30">
      <c r="A813" s="785">
        <v>238</v>
      </c>
      <c r="B813" s="787" t="s">
        <v>825</v>
      </c>
      <c r="C813" s="196">
        <f>'часть 1'!L836</f>
        <v>1058186</v>
      </c>
      <c r="D813" s="196">
        <f>E813+F813+G813+H813+I813+J813+K813</f>
        <v>1058186</v>
      </c>
      <c r="E813" s="196">
        <v>1058186</v>
      </c>
      <c r="F813" s="196">
        <v>0</v>
      </c>
      <c r="G813" s="196">
        <v>0</v>
      </c>
      <c r="H813" s="196">
        <v>0</v>
      </c>
      <c r="I813" s="196">
        <v>0</v>
      </c>
      <c r="J813" s="196">
        <v>0</v>
      </c>
      <c r="K813" s="196">
        <v>0</v>
      </c>
      <c r="L813" s="204">
        <v>0</v>
      </c>
      <c r="M813" s="199">
        <v>0</v>
      </c>
      <c r="N813" s="199">
        <v>0</v>
      </c>
      <c r="O813" s="196">
        <v>0</v>
      </c>
      <c r="P813" s="193">
        <v>0</v>
      </c>
      <c r="Q813" s="192">
        <v>0</v>
      </c>
      <c r="R813" s="193">
        <v>0</v>
      </c>
      <c r="S813" s="192">
        <v>0</v>
      </c>
      <c r="T813" s="205">
        <v>0</v>
      </c>
      <c r="U813" s="287">
        <v>0</v>
      </c>
      <c r="V813" s="282"/>
      <c r="W813" s="282"/>
      <c r="X813" s="282"/>
      <c r="Y813" s="1">
        <f>E813/'часть 1'!I836</f>
        <v>758.23015190599028</v>
      </c>
    </row>
    <row r="814" spans="1:30" ht="37.9" customHeight="1">
      <c r="A814" s="785">
        <v>239</v>
      </c>
      <c r="B814" s="788" t="s">
        <v>826</v>
      </c>
      <c r="C814" s="196">
        <f>'часть 1'!L837</f>
        <v>1264714</v>
      </c>
      <c r="D814" s="196">
        <f t="shared" ref="D814:D817" si="120">E814+F814+G814+H814+I814+J814+K814</f>
        <v>1264714</v>
      </c>
      <c r="E814" s="196">
        <v>295822</v>
      </c>
      <c r="F814" s="196">
        <v>397225</v>
      </c>
      <c r="G814" s="196">
        <v>0</v>
      </c>
      <c r="H814" s="196">
        <v>349155</v>
      </c>
      <c r="I814" s="196">
        <v>0</v>
      </c>
      <c r="J814" s="196">
        <v>222512</v>
      </c>
      <c r="K814" s="196">
        <v>0</v>
      </c>
      <c r="L814" s="204">
        <v>0</v>
      </c>
      <c r="M814" s="199">
        <v>0</v>
      </c>
      <c r="N814" s="199">
        <v>0</v>
      </c>
      <c r="O814" s="196">
        <v>0</v>
      </c>
      <c r="P814" s="193">
        <v>0</v>
      </c>
      <c r="Q814" s="192">
        <v>0</v>
      </c>
      <c r="R814" s="193">
        <v>0</v>
      </c>
      <c r="S814" s="192">
        <v>0</v>
      </c>
      <c r="T814" s="205">
        <v>0</v>
      </c>
      <c r="U814" s="287">
        <v>0</v>
      </c>
      <c r="V814" s="282"/>
      <c r="W814" s="282"/>
      <c r="X814" s="282"/>
      <c r="Y814" s="1">
        <f>E814/'часть 1'!I837</f>
        <v>748.91645569620255</v>
      </c>
      <c r="AA814" s="1">
        <f>F814/'часть 1'!I837</f>
        <v>1005.632911392405</v>
      </c>
      <c r="AB814" s="1">
        <f>H814/'часть 1'!I837</f>
        <v>883.9367088607595</v>
      </c>
      <c r="AD814" s="1">
        <f>J814/'часть 1'!I837</f>
        <v>563.32151898734173</v>
      </c>
    </row>
    <row r="815" spans="1:30">
      <c r="A815" s="785">
        <v>240</v>
      </c>
      <c r="B815" s="787" t="s">
        <v>827</v>
      </c>
      <c r="C815" s="196">
        <f>'часть 1'!L838</f>
        <v>3274864</v>
      </c>
      <c r="D815" s="196">
        <f t="shared" si="120"/>
        <v>436027</v>
      </c>
      <c r="E815" s="196">
        <v>436027</v>
      </c>
      <c r="F815" s="196">
        <v>0</v>
      </c>
      <c r="G815" s="196">
        <v>0</v>
      </c>
      <c r="H815" s="196">
        <v>0</v>
      </c>
      <c r="I815" s="196">
        <v>0</v>
      </c>
      <c r="J815" s="196">
        <v>0</v>
      </c>
      <c r="K815" s="196">
        <v>0</v>
      </c>
      <c r="L815" s="204">
        <v>0</v>
      </c>
      <c r="M815" s="199">
        <v>0</v>
      </c>
      <c r="N815" s="199">
        <v>895</v>
      </c>
      <c r="O815" s="196">
        <v>2838837</v>
      </c>
      <c r="P815" s="193">
        <v>0</v>
      </c>
      <c r="Q815" s="192">
        <v>0</v>
      </c>
      <c r="R815" s="193">
        <v>0</v>
      </c>
      <c r="S815" s="192">
        <v>0</v>
      </c>
      <c r="T815" s="205">
        <v>0</v>
      </c>
      <c r="U815" s="287">
        <v>0</v>
      </c>
      <c r="V815" s="282"/>
      <c r="W815" s="282">
        <f>O815/N815</f>
        <v>3171.8849162011174</v>
      </c>
      <c r="X815" s="282"/>
      <c r="Y815" s="1">
        <f>E815/'часть 1'!I838</f>
        <v>762.15172172697078</v>
      </c>
    </row>
    <row r="816" spans="1:30">
      <c r="A816" s="785">
        <v>241</v>
      </c>
      <c r="B816" s="787" t="s">
        <v>828</v>
      </c>
      <c r="C816" s="196">
        <f>'часть 1'!L839</f>
        <v>2082655</v>
      </c>
      <c r="D816" s="196">
        <f t="shared" si="120"/>
        <v>2082655</v>
      </c>
      <c r="E816" s="196">
        <v>487111</v>
      </c>
      <c r="F816" s="196">
        <v>652669</v>
      </c>
      <c r="G816" s="196">
        <v>0</v>
      </c>
      <c r="H816" s="196">
        <v>572049</v>
      </c>
      <c r="I816" s="196">
        <v>0</v>
      </c>
      <c r="J816" s="196">
        <v>370826</v>
      </c>
      <c r="K816" s="196">
        <v>0</v>
      </c>
      <c r="L816" s="204">
        <v>0</v>
      </c>
      <c r="M816" s="199">
        <v>0</v>
      </c>
      <c r="N816" s="192">
        <v>0</v>
      </c>
      <c r="O816" s="192">
        <v>0</v>
      </c>
      <c r="P816" s="193">
        <v>0</v>
      </c>
      <c r="Q816" s="192">
        <v>0</v>
      </c>
      <c r="R816" s="193">
        <v>0</v>
      </c>
      <c r="S816" s="192">
        <v>0</v>
      </c>
      <c r="T816" s="205">
        <v>0</v>
      </c>
      <c r="U816" s="287">
        <v>0</v>
      </c>
      <c r="V816" s="282"/>
      <c r="W816" s="282"/>
      <c r="X816" s="282"/>
      <c r="Y816" s="1">
        <f>E816/'часть 1'!I839</f>
        <v>684.1446629213483</v>
      </c>
      <c r="AA816" s="1">
        <f>F816/'часть 1'!I839</f>
        <v>916.66994382022472</v>
      </c>
      <c r="AB816" s="1">
        <f>H816/'часть 1'!I839</f>
        <v>803.43960674157302</v>
      </c>
      <c r="AD816" s="1">
        <f>J816/'часть 1'!I839</f>
        <v>520.82303370786519</v>
      </c>
    </row>
    <row r="817" spans="1:35">
      <c r="A817" s="785">
        <v>242</v>
      </c>
      <c r="B817" s="787" t="s">
        <v>829</v>
      </c>
      <c r="C817" s="196">
        <f>'часть 1'!L840</f>
        <v>1609022</v>
      </c>
      <c r="D817" s="196">
        <f t="shared" si="120"/>
        <v>269941</v>
      </c>
      <c r="E817" s="196">
        <v>269941</v>
      </c>
      <c r="F817" s="196">
        <v>0</v>
      </c>
      <c r="G817" s="196">
        <v>0</v>
      </c>
      <c r="H817" s="196">
        <v>0</v>
      </c>
      <c r="I817" s="196">
        <v>0</v>
      </c>
      <c r="J817" s="196">
        <v>0</v>
      </c>
      <c r="K817" s="196">
        <v>0</v>
      </c>
      <c r="L817" s="204">
        <v>0</v>
      </c>
      <c r="M817" s="199">
        <v>0</v>
      </c>
      <c r="N817" s="199">
        <v>418</v>
      </c>
      <c r="O817" s="196">
        <v>1339081</v>
      </c>
      <c r="P817" s="193">
        <v>0</v>
      </c>
      <c r="Q817" s="211">
        <v>0</v>
      </c>
      <c r="R817" s="213">
        <v>0</v>
      </c>
      <c r="S817" s="211">
        <v>0</v>
      </c>
      <c r="T817" s="212">
        <v>0</v>
      </c>
      <c r="U817" s="290">
        <v>0</v>
      </c>
      <c r="V817" s="282"/>
      <c r="W817" s="282">
        <f>O817/N817</f>
        <v>3203.5430622009571</v>
      </c>
      <c r="X817" s="282"/>
      <c r="Y817" s="1">
        <f>E817/'часть 1'!I840</f>
        <v>729.37314239394755</v>
      </c>
    </row>
    <row r="818" spans="1:35">
      <c r="A818" s="785"/>
      <c r="B818" s="218" t="s">
        <v>68</v>
      </c>
      <c r="C818" s="196">
        <f>C819</f>
        <v>443001</v>
      </c>
      <c r="D818" s="196">
        <f t="shared" ref="D818:U819" si="121">D819</f>
        <v>0</v>
      </c>
      <c r="E818" s="196">
        <f t="shared" si="121"/>
        <v>0</v>
      </c>
      <c r="F818" s="196">
        <f t="shared" si="121"/>
        <v>0</v>
      </c>
      <c r="G818" s="196">
        <f t="shared" si="121"/>
        <v>0</v>
      </c>
      <c r="H818" s="196">
        <f t="shared" si="121"/>
        <v>0</v>
      </c>
      <c r="I818" s="196">
        <f t="shared" si="121"/>
        <v>0</v>
      </c>
      <c r="J818" s="196">
        <f t="shared" si="121"/>
        <v>0</v>
      </c>
      <c r="K818" s="196">
        <f t="shared" si="121"/>
        <v>0</v>
      </c>
      <c r="L818" s="196">
        <f t="shared" si="121"/>
        <v>0</v>
      </c>
      <c r="M818" s="196">
        <f t="shared" si="121"/>
        <v>0</v>
      </c>
      <c r="N818" s="196">
        <f t="shared" si="121"/>
        <v>0</v>
      </c>
      <c r="O818" s="196">
        <f t="shared" si="121"/>
        <v>0</v>
      </c>
      <c r="P818" s="196">
        <f t="shared" si="121"/>
        <v>0</v>
      </c>
      <c r="Q818" s="196">
        <f t="shared" si="121"/>
        <v>0</v>
      </c>
      <c r="R818" s="196">
        <f t="shared" si="121"/>
        <v>285.2</v>
      </c>
      <c r="S818" s="196">
        <f t="shared" si="121"/>
        <v>443001</v>
      </c>
      <c r="T818" s="196">
        <f t="shared" si="121"/>
        <v>0</v>
      </c>
      <c r="U818" s="196">
        <f t="shared" si="121"/>
        <v>0</v>
      </c>
      <c r="V818" s="282"/>
      <c r="W818" s="282"/>
      <c r="X818" s="282"/>
    </row>
    <row r="819" spans="1:35" ht="30">
      <c r="A819" s="786"/>
      <c r="B819" s="488" t="s">
        <v>97</v>
      </c>
      <c r="C819" s="489">
        <f>C820</f>
        <v>443001</v>
      </c>
      <c r="D819" s="489">
        <f t="shared" si="121"/>
        <v>0</v>
      </c>
      <c r="E819" s="489">
        <f t="shared" si="121"/>
        <v>0</v>
      </c>
      <c r="F819" s="489">
        <f t="shared" si="121"/>
        <v>0</v>
      </c>
      <c r="G819" s="489">
        <f t="shared" si="121"/>
        <v>0</v>
      </c>
      <c r="H819" s="489">
        <f t="shared" si="121"/>
        <v>0</v>
      </c>
      <c r="I819" s="489">
        <f t="shared" si="121"/>
        <v>0</v>
      </c>
      <c r="J819" s="489">
        <f t="shared" si="121"/>
        <v>0</v>
      </c>
      <c r="K819" s="489">
        <f t="shared" si="121"/>
        <v>0</v>
      </c>
      <c r="L819" s="489">
        <f t="shared" si="121"/>
        <v>0</v>
      </c>
      <c r="M819" s="489">
        <f t="shared" si="121"/>
        <v>0</v>
      </c>
      <c r="N819" s="489">
        <f t="shared" si="121"/>
        <v>0</v>
      </c>
      <c r="O819" s="489">
        <f t="shared" si="121"/>
        <v>0</v>
      </c>
      <c r="P819" s="489">
        <f t="shared" si="121"/>
        <v>0</v>
      </c>
      <c r="Q819" s="489">
        <f t="shared" si="121"/>
        <v>0</v>
      </c>
      <c r="R819" s="489">
        <f t="shared" si="121"/>
        <v>285.2</v>
      </c>
      <c r="S819" s="489">
        <f t="shared" si="121"/>
        <v>443001</v>
      </c>
      <c r="T819" s="489">
        <f t="shared" si="121"/>
        <v>0</v>
      </c>
      <c r="U819" s="489">
        <f t="shared" si="121"/>
        <v>0</v>
      </c>
      <c r="V819" s="489">
        <f t="shared" ref="V819" si="122">V820</f>
        <v>0</v>
      </c>
      <c r="W819" s="282"/>
      <c r="X819" s="282"/>
    </row>
    <row r="820" spans="1:35">
      <c r="A820" s="487"/>
      <c r="B820" s="501" t="s">
        <v>769</v>
      </c>
      <c r="C820" s="498">
        <f>'часть 1'!L843</f>
        <v>443001</v>
      </c>
      <c r="D820" s="498">
        <v>0</v>
      </c>
      <c r="E820" s="498">
        <v>0</v>
      </c>
      <c r="F820" s="498">
        <v>0</v>
      </c>
      <c r="G820" s="498">
        <v>0</v>
      </c>
      <c r="H820" s="498">
        <v>0</v>
      </c>
      <c r="I820" s="498">
        <v>0</v>
      </c>
      <c r="J820" s="498">
        <v>0</v>
      </c>
      <c r="K820" s="498">
        <v>0</v>
      </c>
      <c r="L820" s="502">
        <v>0</v>
      </c>
      <c r="M820" s="498">
        <v>0</v>
      </c>
      <c r="N820" s="498">
        <v>0</v>
      </c>
      <c r="O820" s="498">
        <v>0</v>
      </c>
      <c r="P820" s="503">
        <v>0</v>
      </c>
      <c r="Q820" s="498">
        <v>0</v>
      </c>
      <c r="R820" s="819">
        <v>285.2</v>
      </c>
      <c r="S820" s="498">
        <v>443001</v>
      </c>
      <c r="T820" s="502">
        <v>0</v>
      </c>
      <c r="U820" s="504">
        <v>0</v>
      </c>
      <c r="V820" s="282"/>
      <c r="W820" s="282">
        <f>S820/R820</f>
        <v>1553.2994389901824</v>
      </c>
      <c r="X820" s="282"/>
    </row>
    <row r="821" spans="1:35" s="18" customFormat="1">
      <c r="A821" s="198"/>
      <c r="B821" s="216" t="s">
        <v>43</v>
      </c>
      <c r="C821" s="211">
        <v>23032470</v>
      </c>
      <c r="D821" s="211"/>
      <c r="E821" s="211"/>
      <c r="F821" s="211"/>
      <c r="G821" s="211"/>
      <c r="H821" s="211"/>
      <c r="I821" s="211"/>
      <c r="J821" s="211"/>
      <c r="K821" s="211">
        <v>0</v>
      </c>
      <c r="L821" s="213">
        <v>0</v>
      </c>
      <c r="M821" s="211">
        <v>0</v>
      </c>
      <c r="N821" s="211">
        <v>11598.699999999999</v>
      </c>
      <c r="O821" s="211">
        <v>23032470</v>
      </c>
      <c r="P821" s="213">
        <v>0</v>
      </c>
      <c r="Q821" s="211">
        <v>0</v>
      </c>
      <c r="R821" s="213">
        <v>0</v>
      </c>
      <c r="S821" s="211">
        <v>0</v>
      </c>
      <c r="T821" s="213">
        <v>0</v>
      </c>
      <c r="U821" s="290">
        <v>0</v>
      </c>
      <c r="V821" s="282"/>
      <c r="W821" s="282"/>
      <c r="X821" s="282"/>
    </row>
    <row r="822" spans="1:35" ht="30">
      <c r="A822" s="198"/>
      <c r="B822" s="214" t="s">
        <v>125</v>
      </c>
      <c r="C822" s="211">
        <v>20696312</v>
      </c>
      <c r="D822" s="211"/>
      <c r="E822" s="211"/>
      <c r="F822" s="211"/>
      <c r="G822" s="211"/>
      <c r="H822" s="211"/>
      <c r="I822" s="211"/>
      <c r="J822" s="211"/>
      <c r="K822" s="211">
        <v>0</v>
      </c>
      <c r="L822" s="212">
        <v>0</v>
      </c>
      <c r="M822" s="211">
        <v>0</v>
      </c>
      <c r="N822" s="211">
        <v>10402.699999999999</v>
      </c>
      <c r="O822" s="211">
        <v>20696312</v>
      </c>
      <c r="P822" s="213">
        <v>0</v>
      </c>
      <c r="Q822" s="211">
        <v>0</v>
      </c>
      <c r="R822" s="213">
        <v>0</v>
      </c>
      <c r="S822" s="211">
        <v>0</v>
      </c>
      <c r="T822" s="212">
        <v>0</v>
      </c>
      <c r="U822" s="290">
        <v>0</v>
      </c>
      <c r="V822" s="282"/>
      <c r="W822" s="282"/>
      <c r="X822" s="282"/>
    </row>
    <row r="823" spans="1:35" s="46" customFormat="1">
      <c r="A823" s="198">
        <v>244</v>
      </c>
      <c r="B823" s="219" t="s">
        <v>405</v>
      </c>
      <c r="C823" s="220">
        <v>2301804</v>
      </c>
      <c r="D823" s="220"/>
      <c r="E823" s="220"/>
      <c r="F823" s="220"/>
      <c r="G823" s="220"/>
      <c r="H823" s="220"/>
      <c r="I823" s="220"/>
      <c r="J823" s="220"/>
      <c r="K823" s="221">
        <v>0</v>
      </c>
      <c r="L823" s="222">
        <v>0</v>
      </c>
      <c r="M823" s="221">
        <v>0</v>
      </c>
      <c r="N823" s="223">
        <v>1167</v>
      </c>
      <c r="O823" s="224">
        <v>2301804</v>
      </c>
      <c r="P823" s="225">
        <v>0</v>
      </c>
      <c r="Q823" s="221">
        <v>0</v>
      </c>
      <c r="R823" s="225">
        <v>0</v>
      </c>
      <c r="S823" s="221">
        <v>0</v>
      </c>
      <c r="T823" s="226">
        <v>0</v>
      </c>
      <c r="U823" s="291">
        <v>0</v>
      </c>
      <c r="V823" s="282"/>
      <c r="W823" s="282"/>
      <c r="X823" s="282"/>
    </row>
    <row r="824" spans="1:35" s="90" customFormat="1">
      <c r="A824" s="198">
        <v>245</v>
      </c>
      <c r="B824" s="219" t="s">
        <v>393</v>
      </c>
      <c r="C824" s="220">
        <v>1743478</v>
      </c>
      <c r="D824" s="220"/>
      <c r="E824" s="220"/>
      <c r="F824" s="220"/>
      <c r="G824" s="220"/>
      <c r="H824" s="220"/>
      <c r="I824" s="220"/>
      <c r="J824" s="220"/>
      <c r="K824" s="227">
        <v>0</v>
      </c>
      <c r="L824" s="208">
        <v>0</v>
      </c>
      <c r="M824" s="227">
        <v>0</v>
      </c>
      <c r="N824" s="228">
        <v>880</v>
      </c>
      <c r="O824" s="224">
        <v>1743478</v>
      </c>
      <c r="P824" s="225">
        <v>0</v>
      </c>
      <c r="Q824" s="221">
        <v>0</v>
      </c>
      <c r="R824" s="225">
        <v>0</v>
      </c>
      <c r="S824" s="221">
        <v>0</v>
      </c>
      <c r="T824" s="226">
        <v>0</v>
      </c>
      <c r="U824" s="291">
        <v>0</v>
      </c>
      <c r="V824" s="282"/>
      <c r="W824" s="282"/>
      <c r="X824" s="282"/>
      <c r="Y824" s="46"/>
      <c r="Z824" s="46"/>
      <c r="AA824" s="46"/>
      <c r="AB824" s="46"/>
      <c r="AC824" s="46"/>
      <c r="AD824" s="46"/>
      <c r="AE824" s="46"/>
      <c r="AF824" s="46"/>
      <c r="AG824" s="46"/>
      <c r="AH824" s="46"/>
      <c r="AI824" s="46"/>
    </row>
    <row r="825" spans="1:35" s="90" customFormat="1">
      <c r="A825" s="198">
        <v>246</v>
      </c>
      <c r="B825" s="219" t="s">
        <v>406</v>
      </c>
      <c r="C825" s="220">
        <v>2485001</v>
      </c>
      <c r="D825" s="220"/>
      <c r="E825" s="220"/>
      <c r="F825" s="220"/>
      <c r="G825" s="220"/>
      <c r="H825" s="220"/>
      <c r="I825" s="220"/>
      <c r="J825" s="220"/>
      <c r="K825" s="221">
        <v>0</v>
      </c>
      <c r="L825" s="222">
        <v>0</v>
      </c>
      <c r="M825" s="221">
        <v>0</v>
      </c>
      <c r="N825" s="229">
        <v>1268.4000000000001</v>
      </c>
      <c r="O825" s="224">
        <v>2485001</v>
      </c>
      <c r="P825" s="225">
        <v>0</v>
      </c>
      <c r="Q825" s="221">
        <v>0</v>
      </c>
      <c r="R825" s="225">
        <v>0</v>
      </c>
      <c r="S825" s="221">
        <v>0</v>
      </c>
      <c r="T825" s="226">
        <v>0</v>
      </c>
      <c r="U825" s="291">
        <v>0</v>
      </c>
      <c r="V825" s="282"/>
      <c r="W825" s="282"/>
      <c r="X825" s="282"/>
      <c r="Y825" s="46"/>
      <c r="Z825" s="46"/>
      <c r="AA825" s="46"/>
      <c r="AB825" s="46"/>
      <c r="AC825" s="46"/>
      <c r="AD825" s="46"/>
      <c r="AE825" s="46"/>
      <c r="AF825" s="46"/>
      <c r="AG825" s="46"/>
      <c r="AH825" s="46"/>
      <c r="AI825" s="46"/>
    </row>
    <row r="826" spans="1:35" s="46" customFormat="1">
      <c r="A826" s="198">
        <v>247</v>
      </c>
      <c r="B826" s="219" t="s">
        <v>402</v>
      </c>
      <c r="C826" s="220">
        <v>1237591</v>
      </c>
      <c r="D826" s="220"/>
      <c r="E826" s="220"/>
      <c r="F826" s="220"/>
      <c r="G826" s="220"/>
      <c r="H826" s="220"/>
      <c r="I826" s="220"/>
      <c r="J826" s="220"/>
      <c r="K826" s="221">
        <v>0</v>
      </c>
      <c r="L826" s="222">
        <v>0</v>
      </c>
      <c r="M826" s="221">
        <v>0</v>
      </c>
      <c r="N826" s="223">
        <v>620</v>
      </c>
      <c r="O826" s="224">
        <v>1237591</v>
      </c>
      <c r="P826" s="225">
        <v>0</v>
      </c>
      <c r="Q826" s="221">
        <v>0</v>
      </c>
      <c r="R826" s="225">
        <v>0</v>
      </c>
      <c r="S826" s="221">
        <v>0</v>
      </c>
      <c r="T826" s="226">
        <v>0</v>
      </c>
      <c r="U826" s="291">
        <v>0</v>
      </c>
      <c r="V826" s="282"/>
      <c r="W826" s="282"/>
      <c r="X826" s="282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</row>
    <row r="827" spans="1:35" s="42" customFormat="1">
      <c r="A827" s="198">
        <v>248</v>
      </c>
      <c r="B827" s="219" t="s">
        <v>397</v>
      </c>
      <c r="C827" s="220">
        <v>1448078</v>
      </c>
      <c r="D827" s="220"/>
      <c r="E827" s="220"/>
      <c r="F827" s="220"/>
      <c r="G827" s="220"/>
      <c r="H827" s="220"/>
      <c r="I827" s="220"/>
      <c r="J827" s="220"/>
      <c r="K827" s="221">
        <v>0</v>
      </c>
      <c r="L827" s="222">
        <v>0</v>
      </c>
      <c r="M827" s="221">
        <v>0</v>
      </c>
      <c r="N827" s="229">
        <v>729</v>
      </c>
      <c r="O827" s="224">
        <v>1448078</v>
      </c>
      <c r="P827" s="225">
        <v>0</v>
      </c>
      <c r="Q827" s="221">
        <v>0</v>
      </c>
      <c r="R827" s="225">
        <v>0</v>
      </c>
      <c r="S827" s="221">
        <v>0</v>
      </c>
      <c r="T827" s="226">
        <v>0</v>
      </c>
      <c r="U827" s="291">
        <v>0</v>
      </c>
      <c r="V827" s="282"/>
      <c r="W827" s="282"/>
      <c r="X827" s="282"/>
    </row>
    <row r="828" spans="1:35" s="46" customFormat="1">
      <c r="A828" s="198">
        <v>249</v>
      </c>
      <c r="B828" s="219" t="s">
        <v>398</v>
      </c>
      <c r="C828" s="220">
        <v>1963797</v>
      </c>
      <c r="D828" s="220"/>
      <c r="E828" s="220"/>
      <c r="F828" s="220"/>
      <c r="G828" s="220"/>
      <c r="H828" s="220"/>
      <c r="I828" s="220"/>
      <c r="J828" s="220"/>
      <c r="K828" s="221">
        <v>0</v>
      </c>
      <c r="L828" s="222">
        <v>0</v>
      </c>
      <c r="M828" s="221">
        <v>0</v>
      </c>
      <c r="N828" s="223">
        <v>991.4</v>
      </c>
      <c r="O828" s="224">
        <v>1963797</v>
      </c>
      <c r="P828" s="225">
        <v>0</v>
      </c>
      <c r="Q828" s="221">
        <v>0</v>
      </c>
      <c r="R828" s="225">
        <v>0</v>
      </c>
      <c r="S828" s="221">
        <v>0</v>
      </c>
      <c r="T828" s="226">
        <v>0</v>
      </c>
      <c r="U828" s="291">
        <v>0</v>
      </c>
      <c r="V828" s="282"/>
      <c r="W828" s="282"/>
      <c r="X828" s="282"/>
    </row>
    <row r="829" spans="1:35" s="46" customFormat="1">
      <c r="A829" s="198">
        <v>250</v>
      </c>
      <c r="B829" s="219" t="s">
        <v>399</v>
      </c>
      <c r="C829" s="220">
        <v>2119530</v>
      </c>
      <c r="D829" s="220"/>
      <c r="E829" s="220"/>
      <c r="F829" s="220"/>
      <c r="G829" s="220"/>
      <c r="H829" s="220"/>
      <c r="I829" s="220"/>
      <c r="J829" s="220"/>
      <c r="K829" s="221">
        <v>0</v>
      </c>
      <c r="L829" s="222">
        <v>0</v>
      </c>
      <c r="M829" s="221">
        <v>0</v>
      </c>
      <c r="N829" s="223">
        <v>1054.5</v>
      </c>
      <c r="O829" s="224">
        <v>2119530</v>
      </c>
      <c r="P829" s="225">
        <v>0</v>
      </c>
      <c r="Q829" s="221">
        <v>0</v>
      </c>
      <c r="R829" s="225">
        <v>0</v>
      </c>
      <c r="S829" s="221">
        <v>0</v>
      </c>
      <c r="T829" s="226">
        <v>0</v>
      </c>
      <c r="U829" s="291">
        <v>0</v>
      </c>
      <c r="V829" s="282"/>
      <c r="W829" s="282"/>
      <c r="X829" s="282"/>
    </row>
    <row r="830" spans="1:35" s="46" customFormat="1">
      <c r="A830" s="198">
        <v>251</v>
      </c>
      <c r="B830" s="219" t="s">
        <v>403</v>
      </c>
      <c r="C830" s="220">
        <v>1098163</v>
      </c>
      <c r="D830" s="220"/>
      <c r="E830" s="220"/>
      <c r="F830" s="220"/>
      <c r="G830" s="220"/>
      <c r="H830" s="220"/>
      <c r="I830" s="220"/>
      <c r="J830" s="220"/>
      <c r="K830" s="221">
        <v>0</v>
      </c>
      <c r="L830" s="222">
        <v>0</v>
      </c>
      <c r="M830" s="221">
        <v>0</v>
      </c>
      <c r="N830" s="223">
        <v>548</v>
      </c>
      <c r="O830" s="224">
        <v>1098163</v>
      </c>
      <c r="P830" s="225">
        <v>0</v>
      </c>
      <c r="Q830" s="221">
        <v>0</v>
      </c>
      <c r="R830" s="225">
        <v>0</v>
      </c>
      <c r="S830" s="221">
        <v>0</v>
      </c>
      <c r="T830" s="226">
        <v>0</v>
      </c>
      <c r="U830" s="291">
        <v>0</v>
      </c>
      <c r="V830" s="282"/>
      <c r="W830" s="282"/>
      <c r="X830" s="282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</row>
    <row r="831" spans="1:35" s="46" customFormat="1">
      <c r="A831" s="198">
        <v>252</v>
      </c>
      <c r="B831" s="219" t="s">
        <v>404</v>
      </c>
      <c r="C831" s="220">
        <v>1241309</v>
      </c>
      <c r="D831" s="220"/>
      <c r="E831" s="220"/>
      <c r="F831" s="220"/>
      <c r="G831" s="220"/>
      <c r="H831" s="220"/>
      <c r="I831" s="220"/>
      <c r="J831" s="220"/>
      <c r="K831" s="221">
        <v>0</v>
      </c>
      <c r="L831" s="222">
        <v>0</v>
      </c>
      <c r="M831" s="221">
        <v>0</v>
      </c>
      <c r="N831" s="223">
        <v>622</v>
      </c>
      <c r="O831" s="224">
        <v>1241309</v>
      </c>
      <c r="P831" s="225">
        <v>0</v>
      </c>
      <c r="Q831" s="221">
        <v>0</v>
      </c>
      <c r="R831" s="225">
        <v>0</v>
      </c>
      <c r="S831" s="221">
        <v>0</v>
      </c>
      <c r="T831" s="226">
        <v>0</v>
      </c>
      <c r="U831" s="291">
        <v>0</v>
      </c>
      <c r="V831" s="282"/>
      <c r="W831" s="282"/>
      <c r="X831" s="282"/>
    </row>
    <row r="832" spans="1:35" s="43" customFormat="1">
      <c r="A832" s="198">
        <v>253</v>
      </c>
      <c r="B832" s="219" t="s">
        <v>400</v>
      </c>
      <c r="C832" s="220">
        <v>1041360</v>
      </c>
      <c r="D832" s="220"/>
      <c r="E832" s="220"/>
      <c r="F832" s="220"/>
      <c r="G832" s="220"/>
      <c r="H832" s="220"/>
      <c r="I832" s="220"/>
      <c r="J832" s="220"/>
      <c r="K832" s="221">
        <v>0</v>
      </c>
      <c r="L832" s="222">
        <v>0</v>
      </c>
      <c r="M832" s="221">
        <v>0</v>
      </c>
      <c r="N832" s="223">
        <v>520</v>
      </c>
      <c r="O832" s="224">
        <v>1041360</v>
      </c>
      <c r="P832" s="225">
        <v>0</v>
      </c>
      <c r="Q832" s="221">
        <v>0</v>
      </c>
      <c r="R832" s="225">
        <v>0</v>
      </c>
      <c r="S832" s="221">
        <v>0</v>
      </c>
      <c r="T832" s="226">
        <v>0</v>
      </c>
      <c r="U832" s="291">
        <v>0</v>
      </c>
      <c r="V832" s="282"/>
      <c r="W832" s="282"/>
      <c r="X832" s="282"/>
      <c r="Y832" s="46"/>
      <c r="Z832" s="46"/>
      <c r="AA832" s="46"/>
      <c r="AB832" s="46"/>
      <c r="AC832" s="46"/>
      <c r="AD832" s="46"/>
      <c r="AE832" s="46"/>
      <c r="AF832" s="46"/>
      <c r="AG832" s="46"/>
      <c r="AH832" s="46"/>
      <c r="AI832" s="46"/>
    </row>
    <row r="833" spans="1:35" s="43" customFormat="1">
      <c r="A833" s="198">
        <v>254</v>
      </c>
      <c r="B833" s="219" t="s">
        <v>401</v>
      </c>
      <c r="C833" s="220">
        <v>1138866</v>
      </c>
      <c r="D833" s="220"/>
      <c r="E833" s="220"/>
      <c r="F833" s="220"/>
      <c r="G833" s="220"/>
      <c r="H833" s="220"/>
      <c r="I833" s="220"/>
      <c r="J833" s="220"/>
      <c r="K833" s="221">
        <v>0</v>
      </c>
      <c r="L833" s="222">
        <v>0</v>
      </c>
      <c r="M833" s="221">
        <v>0</v>
      </c>
      <c r="N833" s="223">
        <v>570</v>
      </c>
      <c r="O833" s="224">
        <v>1138866</v>
      </c>
      <c r="P833" s="225">
        <v>0</v>
      </c>
      <c r="Q833" s="221">
        <v>0</v>
      </c>
      <c r="R833" s="225">
        <v>0</v>
      </c>
      <c r="S833" s="221">
        <v>0</v>
      </c>
      <c r="T833" s="226">
        <v>0</v>
      </c>
      <c r="U833" s="291">
        <v>0</v>
      </c>
      <c r="V833" s="282"/>
      <c r="W833" s="282"/>
      <c r="X833" s="282"/>
      <c r="Y833" s="46"/>
      <c r="Z833" s="46"/>
      <c r="AA833" s="46"/>
      <c r="AB833" s="46"/>
      <c r="AC833" s="46"/>
      <c r="AD833" s="46"/>
      <c r="AE833" s="46"/>
      <c r="AF833" s="46"/>
      <c r="AG833" s="46"/>
      <c r="AH833" s="46"/>
      <c r="AI833" s="46"/>
    </row>
    <row r="834" spans="1:35" s="46" customFormat="1">
      <c r="A834" s="198">
        <v>255</v>
      </c>
      <c r="B834" s="219" t="s">
        <v>394</v>
      </c>
      <c r="C834" s="220">
        <v>848546</v>
      </c>
      <c r="D834" s="220"/>
      <c r="E834" s="220"/>
      <c r="F834" s="220"/>
      <c r="G834" s="220"/>
      <c r="H834" s="220"/>
      <c r="I834" s="220"/>
      <c r="J834" s="220"/>
      <c r="K834" s="221">
        <v>0</v>
      </c>
      <c r="L834" s="222">
        <v>0</v>
      </c>
      <c r="M834" s="221">
        <v>0</v>
      </c>
      <c r="N834" s="229">
        <v>421.2</v>
      </c>
      <c r="O834" s="224">
        <v>848546</v>
      </c>
      <c r="P834" s="225">
        <v>0</v>
      </c>
      <c r="Q834" s="221">
        <v>0</v>
      </c>
      <c r="R834" s="225">
        <v>0</v>
      </c>
      <c r="S834" s="221">
        <v>0</v>
      </c>
      <c r="T834" s="226">
        <v>0</v>
      </c>
      <c r="U834" s="291">
        <v>0</v>
      </c>
      <c r="V834" s="282"/>
      <c r="W834" s="282"/>
      <c r="X834" s="282"/>
      <c r="Y834" s="90"/>
      <c r="Z834" s="90"/>
      <c r="AA834" s="90"/>
      <c r="AB834" s="90"/>
      <c r="AC834" s="90"/>
      <c r="AD834" s="90"/>
      <c r="AE834" s="90"/>
      <c r="AF834" s="90"/>
      <c r="AG834" s="90"/>
      <c r="AH834" s="90"/>
      <c r="AI834" s="90"/>
    </row>
    <row r="835" spans="1:35" s="46" customFormat="1">
      <c r="A835" s="198">
        <v>256</v>
      </c>
      <c r="B835" s="219" t="s">
        <v>395</v>
      </c>
      <c r="C835" s="220">
        <v>848706</v>
      </c>
      <c r="D835" s="220"/>
      <c r="E835" s="220"/>
      <c r="F835" s="220"/>
      <c r="G835" s="220"/>
      <c r="H835" s="220"/>
      <c r="I835" s="220"/>
      <c r="J835" s="220"/>
      <c r="K835" s="221">
        <v>0</v>
      </c>
      <c r="L835" s="222">
        <v>0</v>
      </c>
      <c r="M835" s="221">
        <v>0</v>
      </c>
      <c r="N835" s="229">
        <v>421.2</v>
      </c>
      <c r="O835" s="224">
        <v>848706</v>
      </c>
      <c r="P835" s="225">
        <v>0</v>
      </c>
      <c r="Q835" s="221">
        <v>0</v>
      </c>
      <c r="R835" s="225">
        <v>0</v>
      </c>
      <c r="S835" s="221">
        <v>0</v>
      </c>
      <c r="T835" s="226">
        <v>0</v>
      </c>
      <c r="U835" s="291">
        <v>0</v>
      </c>
      <c r="V835" s="282"/>
      <c r="W835" s="282"/>
      <c r="X835" s="282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90"/>
    </row>
    <row r="836" spans="1:35" s="46" customFormat="1">
      <c r="A836" s="198">
        <v>257</v>
      </c>
      <c r="B836" s="219" t="s">
        <v>396</v>
      </c>
      <c r="C836" s="220">
        <v>1180083</v>
      </c>
      <c r="D836" s="220"/>
      <c r="E836" s="220"/>
      <c r="F836" s="220"/>
      <c r="G836" s="220"/>
      <c r="H836" s="220"/>
      <c r="I836" s="220"/>
      <c r="J836" s="220"/>
      <c r="K836" s="221">
        <v>0</v>
      </c>
      <c r="L836" s="222">
        <v>0</v>
      </c>
      <c r="M836" s="221">
        <v>0</v>
      </c>
      <c r="N836" s="229">
        <v>590</v>
      </c>
      <c r="O836" s="224">
        <v>1180083</v>
      </c>
      <c r="P836" s="225">
        <v>0</v>
      </c>
      <c r="Q836" s="221">
        <v>0</v>
      </c>
      <c r="R836" s="225">
        <v>0</v>
      </c>
      <c r="S836" s="221">
        <v>0</v>
      </c>
      <c r="T836" s="226">
        <v>0</v>
      </c>
      <c r="U836" s="291">
        <v>0</v>
      </c>
      <c r="V836" s="282"/>
      <c r="W836" s="282"/>
      <c r="X836" s="282"/>
    </row>
    <row r="837" spans="1:35" s="46" customFormat="1" ht="30">
      <c r="A837" s="198"/>
      <c r="B837" s="214" t="s">
        <v>210</v>
      </c>
      <c r="C837" s="220">
        <v>2336158</v>
      </c>
      <c r="D837" s="220"/>
      <c r="E837" s="220"/>
      <c r="F837" s="220"/>
      <c r="G837" s="220"/>
      <c r="H837" s="220"/>
      <c r="I837" s="220"/>
      <c r="J837" s="220"/>
      <c r="K837" s="220">
        <v>0</v>
      </c>
      <c r="L837" s="222">
        <v>0</v>
      </c>
      <c r="M837" s="220">
        <v>0</v>
      </c>
      <c r="N837" s="220">
        <v>1196</v>
      </c>
      <c r="O837" s="220">
        <v>2336158</v>
      </c>
      <c r="P837" s="230">
        <v>0</v>
      </c>
      <c r="Q837" s="220">
        <v>0</v>
      </c>
      <c r="R837" s="230">
        <v>0</v>
      </c>
      <c r="S837" s="220">
        <v>0</v>
      </c>
      <c r="T837" s="222">
        <v>0</v>
      </c>
      <c r="U837" s="292">
        <v>0</v>
      </c>
      <c r="V837" s="282"/>
      <c r="W837" s="282"/>
      <c r="X837" s="282"/>
    </row>
    <row r="838" spans="1:35" s="46" customFormat="1" ht="30">
      <c r="A838" s="198">
        <v>258</v>
      </c>
      <c r="B838" s="231" t="s">
        <v>407</v>
      </c>
      <c r="C838" s="220">
        <v>1168079</v>
      </c>
      <c r="D838" s="220"/>
      <c r="E838" s="220"/>
      <c r="F838" s="220"/>
      <c r="G838" s="220"/>
      <c r="H838" s="220"/>
      <c r="I838" s="220"/>
      <c r="J838" s="220"/>
      <c r="K838" s="221">
        <v>0</v>
      </c>
      <c r="L838" s="222">
        <v>0</v>
      </c>
      <c r="M838" s="221">
        <v>0</v>
      </c>
      <c r="N838" s="229">
        <v>598</v>
      </c>
      <c r="O838" s="224">
        <v>1168079</v>
      </c>
      <c r="P838" s="230">
        <v>0</v>
      </c>
      <c r="Q838" s="221">
        <v>0</v>
      </c>
      <c r="R838" s="230">
        <v>0</v>
      </c>
      <c r="S838" s="221">
        <v>0</v>
      </c>
      <c r="T838" s="222">
        <v>0</v>
      </c>
      <c r="U838" s="291">
        <v>0</v>
      </c>
      <c r="V838" s="282"/>
      <c r="W838" s="282"/>
      <c r="X838" s="282"/>
    </row>
    <row r="839" spans="1:35" s="46" customFormat="1" ht="30">
      <c r="A839" s="198">
        <v>259</v>
      </c>
      <c r="B839" s="231" t="s">
        <v>408</v>
      </c>
      <c r="C839" s="220">
        <v>1168079</v>
      </c>
      <c r="D839" s="220"/>
      <c r="E839" s="220"/>
      <c r="F839" s="220"/>
      <c r="G839" s="220"/>
      <c r="H839" s="220"/>
      <c r="I839" s="220"/>
      <c r="J839" s="220"/>
      <c r="K839" s="221">
        <v>0</v>
      </c>
      <c r="L839" s="222">
        <v>0</v>
      </c>
      <c r="M839" s="221">
        <v>0</v>
      </c>
      <c r="N839" s="229">
        <v>598</v>
      </c>
      <c r="O839" s="224">
        <v>1168079</v>
      </c>
      <c r="P839" s="230">
        <v>0</v>
      </c>
      <c r="Q839" s="221">
        <v>0</v>
      </c>
      <c r="R839" s="230">
        <v>0</v>
      </c>
      <c r="S839" s="221">
        <v>0</v>
      </c>
      <c r="T839" s="222">
        <v>0</v>
      </c>
      <c r="U839" s="291">
        <v>0</v>
      </c>
      <c r="V839" s="282"/>
      <c r="W839" s="282"/>
      <c r="X839" s="282"/>
    </row>
    <row r="840" spans="1:35" s="18" customFormat="1">
      <c r="A840" s="198"/>
      <c r="B840" s="216" t="s">
        <v>44</v>
      </c>
      <c r="C840" s="211">
        <v>4547180</v>
      </c>
      <c r="D840" s="211"/>
      <c r="E840" s="211"/>
      <c r="F840" s="211"/>
      <c r="G840" s="211"/>
      <c r="H840" s="211"/>
      <c r="I840" s="211"/>
      <c r="J840" s="211"/>
      <c r="K840" s="211">
        <v>0</v>
      </c>
      <c r="L840" s="212">
        <v>0</v>
      </c>
      <c r="M840" s="211">
        <v>0</v>
      </c>
      <c r="N840" s="211">
        <v>2270</v>
      </c>
      <c r="O840" s="211">
        <v>4547180</v>
      </c>
      <c r="P840" s="213">
        <v>0</v>
      </c>
      <c r="Q840" s="211">
        <v>0</v>
      </c>
      <c r="R840" s="213">
        <v>0</v>
      </c>
      <c r="S840" s="211">
        <v>0</v>
      </c>
      <c r="T840" s="212">
        <v>0</v>
      </c>
      <c r="U840" s="290">
        <v>0</v>
      </c>
      <c r="V840" s="282"/>
      <c r="W840" s="282"/>
      <c r="X840" s="282"/>
    </row>
    <row r="841" spans="1:35" ht="30">
      <c r="A841" s="198"/>
      <c r="B841" s="214" t="s">
        <v>435</v>
      </c>
      <c r="C841" s="211">
        <f>C842</f>
        <v>922687</v>
      </c>
      <c r="D841" s="211">
        <f t="shared" ref="D841:U841" si="123">D842</f>
        <v>0</v>
      </c>
      <c r="E841" s="211">
        <f t="shared" si="123"/>
        <v>0</v>
      </c>
      <c r="F841" s="211">
        <f t="shared" si="123"/>
        <v>0</v>
      </c>
      <c r="G841" s="211">
        <f t="shared" si="123"/>
        <v>0</v>
      </c>
      <c r="H841" s="211">
        <f t="shared" si="123"/>
        <v>0</v>
      </c>
      <c r="I841" s="211">
        <f t="shared" si="123"/>
        <v>0</v>
      </c>
      <c r="J841" s="211">
        <f t="shared" si="123"/>
        <v>0</v>
      </c>
      <c r="K841" s="211">
        <f t="shared" si="123"/>
        <v>0</v>
      </c>
      <c r="L841" s="211">
        <f t="shared" si="123"/>
        <v>0</v>
      </c>
      <c r="M841" s="211">
        <f t="shared" si="123"/>
        <v>0</v>
      </c>
      <c r="N841" s="211">
        <f t="shared" si="123"/>
        <v>285</v>
      </c>
      <c r="O841" s="211">
        <f t="shared" si="123"/>
        <v>922687</v>
      </c>
      <c r="P841" s="211">
        <f t="shared" si="123"/>
        <v>0</v>
      </c>
      <c r="Q841" s="211">
        <f t="shared" si="123"/>
        <v>0</v>
      </c>
      <c r="R841" s="211">
        <f t="shared" si="123"/>
        <v>0</v>
      </c>
      <c r="S841" s="211">
        <f t="shared" si="123"/>
        <v>0</v>
      </c>
      <c r="T841" s="211">
        <f t="shared" si="123"/>
        <v>0</v>
      </c>
      <c r="U841" s="211">
        <f t="shared" si="123"/>
        <v>0</v>
      </c>
      <c r="V841" s="211">
        <f t="shared" ref="V841" si="124">V842+V843</f>
        <v>0</v>
      </c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</row>
    <row r="842" spans="1:35">
      <c r="A842" s="487">
        <v>260</v>
      </c>
      <c r="B842" s="499" t="s">
        <v>767</v>
      </c>
      <c r="C842" s="498">
        <f>'часть 1'!L865</f>
        <v>922687</v>
      </c>
      <c r="D842" s="498">
        <v>0</v>
      </c>
      <c r="E842" s="498">
        <v>0</v>
      </c>
      <c r="F842" s="498">
        <v>0</v>
      </c>
      <c r="G842" s="498">
        <v>0</v>
      </c>
      <c r="H842" s="498">
        <v>0</v>
      </c>
      <c r="I842" s="498">
        <v>0</v>
      </c>
      <c r="J842" s="498">
        <v>0</v>
      </c>
      <c r="K842" s="498">
        <v>0</v>
      </c>
      <c r="L842" s="502">
        <v>0</v>
      </c>
      <c r="M842" s="498">
        <v>0</v>
      </c>
      <c r="N842" s="492">
        <v>285</v>
      </c>
      <c r="O842" s="498">
        <v>922687</v>
      </c>
      <c r="P842" s="503">
        <v>0</v>
      </c>
      <c r="Q842" s="498">
        <v>0</v>
      </c>
      <c r="R842" s="503">
        <v>0</v>
      </c>
      <c r="S842" s="498">
        <v>0</v>
      </c>
      <c r="T842" s="502">
        <v>0</v>
      </c>
      <c r="U842" s="504">
        <v>0</v>
      </c>
      <c r="V842" s="282"/>
      <c r="W842" s="282">
        <f>O842/N842</f>
        <v>3237.4982456140351</v>
      </c>
      <c r="X842" s="282"/>
    </row>
    <row r="843" spans="1:35">
      <c r="A843" s="487"/>
      <c r="B843" s="499"/>
      <c r="C843" s="498"/>
      <c r="D843" s="498"/>
      <c r="E843" s="498"/>
      <c r="F843" s="498"/>
      <c r="G843" s="498"/>
      <c r="H843" s="498"/>
      <c r="I843" s="498"/>
      <c r="J843" s="498"/>
      <c r="K843" s="498"/>
      <c r="L843" s="502"/>
      <c r="M843" s="498"/>
      <c r="N843" s="492"/>
      <c r="O843" s="498"/>
      <c r="P843" s="503"/>
      <c r="Q843" s="498"/>
      <c r="R843" s="503"/>
      <c r="S843" s="498"/>
      <c r="T843" s="502"/>
      <c r="U843" s="504"/>
      <c r="V843" s="282"/>
      <c r="W843" s="282"/>
      <c r="X843" s="282"/>
    </row>
    <row r="844" spans="1:35" ht="25.15" customHeight="1">
      <c r="A844" s="198"/>
      <c r="B844" s="216" t="s">
        <v>45</v>
      </c>
      <c r="C844" s="211">
        <f t="shared" ref="C844:V844" si="125">C845+C849+C851+C853+C855+C857</f>
        <v>8577331</v>
      </c>
      <c r="D844" s="211">
        <f t="shared" si="125"/>
        <v>0</v>
      </c>
      <c r="E844" s="211">
        <f t="shared" si="125"/>
        <v>0</v>
      </c>
      <c r="F844" s="211">
        <f t="shared" si="125"/>
        <v>0</v>
      </c>
      <c r="G844" s="211">
        <f t="shared" si="125"/>
        <v>0</v>
      </c>
      <c r="H844" s="211">
        <f t="shared" si="125"/>
        <v>0</v>
      </c>
      <c r="I844" s="211">
        <f t="shared" si="125"/>
        <v>0</v>
      </c>
      <c r="J844" s="211">
        <f t="shared" si="125"/>
        <v>0</v>
      </c>
      <c r="K844" s="211">
        <f t="shared" si="125"/>
        <v>0</v>
      </c>
      <c r="L844" s="211">
        <f t="shared" si="125"/>
        <v>0</v>
      </c>
      <c r="M844" s="211">
        <f t="shared" si="125"/>
        <v>0</v>
      </c>
      <c r="N844" s="211">
        <f t="shared" si="125"/>
        <v>2703.45</v>
      </c>
      <c r="O844" s="211">
        <f t="shared" si="125"/>
        <v>7668369</v>
      </c>
      <c r="P844" s="211">
        <f t="shared" si="125"/>
        <v>0</v>
      </c>
      <c r="Q844" s="211">
        <f t="shared" si="125"/>
        <v>0</v>
      </c>
      <c r="R844" s="211">
        <f t="shared" si="125"/>
        <v>595</v>
      </c>
      <c r="S844" s="211">
        <f t="shared" si="125"/>
        <v>908962</v>
      </c>
      <c r="T844" s="211">
        <f t="shared" si="125"/>
        <v>0</v>
      </c>
      <c r="U844" s="211">
        <f t="shared" si="125"/>
        <v>0</v>
      </c>
      <c r="V844" s="211" t="e">
        <f t="shared" si="125"/>
        <v>#REF!</v>
      </c>
      <c r="W844" s="282"/>
      <c r="X844" s="282"/>
    </row>
    <row r="845" spans="1:35" ht="30">
      <c r="A845" s="487"/>
      <c r="B845" s="499" t="s">
        <v>98</v>
      </c>
      <c r="C845" s="498">
        <f>C846+C847+C848</f>
        <v>3345596</v>
      </c>
      <c r="D845" s="498">
        <f t="shared" ref="D845:U845" si="126">D846+D847+D848</f>
        <v>0</v>
      </c>
      <c r="E845" s="498">
        <f t="shared" si="126"/>
        <v>0</v>
      </c>
      <c r="F845" s="498">
        <f t="shared" si="126"/>
        <v>0</v>
      </c>
      <c r="G845" s="498">
        <f t="shared" si="126"/>
        <v>0</v>
      </c>
      <c r="H845" s="498">
        <f t="shared" si="126"/>
        <v>0</v>
      </c>
      <c r="I845" s="498">
        <f t="shared" si="126"/>
        <v>0</v>
      </c>
      <c r="J845" s="498">
        <f t="shared" si="126"/>
        <v>0</v>
      </c>
      <c r="K845" s="498">
        <f t="shared" si="126"/>
        <v>0</v>
      </c>
      <c r="L845" s="498">
        <f t="shared" si="126"/>
        <v>0</v>
      </c>
      <c r="M845" s="498">
        <f t="shared" si="126"/>
        <v>0</v>
      </c>
      <c r="N845" s="498">
        <f t="shared" si="126"/>
        <v>1183.25</v>
      </c>
      <c r="O845" s="498">
        <f t="shared" si="126"/>
        <v>3345596</v>
      </c>
      <c r="P845" s="498">
        <f t="shared" si="126"/>
        <v>0</v>
      </c>
      <c r="Q845" s="498">
        <f t="shared" si="126"/>
        <v>0</v>
      </c>
      <c r="R845" s="498">
        <f t="shared" si="126"/>
        <v>0</v>
      </c>
      <c r="S845" s="498">
        <f t="shared" si="126"/>
        <v>0</v>
      </c>
      <c r="T845" s="498">
        <f t="shared" si="126"/>
        <v>0</v>
      </c>
      <c r="U845" s="498">
        <f t="shared" si="126"/>
        <v>0</v>
      </c>
      <c r="V845" s="282"/>
      <c r="W845" s="282"/>
      <c r="X845" s="282"/>
    </row>
    <row r="846" spans="1:35" ht="15.75">
      <c r="A846" s="487">
        <v>262</v>
      </c>
      <c r="B846" s="591" t="s">
        <v>795</v>
      </c>
      <c r="C846" s="498">
        <f>'часть 1'!L869</f>
        <v>1012287</v>
      </c>
      <c r="D846" s="498">
        <v>0</v>
      </c>
      <c r="E846" s="498">
        <v>0</v>
      </c>
      <c r="F846" s="498">
        <v>0</v>
      </c>
      <c r="G846" s="498">
        <v>0</v>
      </c>
      <c r="H846" s="498">
        <v>0</v>
      </c>
      <c r="I846" s="498">
        <v>0</v>
      </c>
      <c r="J846" s="498">
        <v>0</v>
      </c>
      <c r="K846" s="498">
        <v>0</v>
      </c>
      <c r="L846" s="502">
        <v>0</v>
      </c>
      <c r="M846" s="498">
        <v>0</v>
      </c>
      <c r="N846" s="492">
        <v>313.95</v>
      </c>
      <c r="O846" s="498">
        <v>1012287</v>
      </c>
      <c r="P846" s="503">
        <v>0</v>
      </c>
      <c r="Q846" s="498">
        <v>0</v>
      </c>
      <c r="R846" s="503">
        <v>0</v>
      </c>
      <c r="S846" s="498">
        <v>0</v>
      </c>
      <c r="T846" s="502">
        <v>0</v>
      </c>
      <c r="U846" s="504">
        <v>0</v>
      </c>
      <c r="V846" s="282"/>
      <c r="W846" s="282">
        <f>O846/N846</f>
        <v>3224.3573817486863</v>
      </c>
      <c r="X846" s="282"/>
    </row>
    <row r="847" spans="1:35" ht="15.75">
      <c r="A847" s="487">
        <v>263</v>
      </c>
      <c r="B847" s="591" t="s">
        <v>796</v>
      </c>
      <c r="C847" s="498">
        <f>'часть 1'!L870</f>
        <v>710003</v>
      </c>
      <c r="D847" s="498">
        <v>0</v>
      </c>
      <c r="E847" s="498">
        <v>0</v>
      </c>
      <c r="F847" s="498">
        <v>0</v>
      </c>
      <c r="G847" s="498">
        <v>0</v>
      </c>
      <c r="H847" s="498">
        <v>0</v>
      </c>
      <c r="I847" s="498">
        <v>0</v>
      </c>
      <c r="J847" s="498">
        <v>0</v>
      </c>
      <c r="K847" s="498">
        <v>0</v>
      </c>
      <c r="L847" s="502">
        <v>0</v>
      </c>
      <c r="M847" s="498">
        <v>0</v>
      </c>
      <c r="N847" s="492">
        <v>218.1</v>
      </c>
      <c r="O847" s="498">
        <v>710003</v>
      </c>
      <c r="P847" s="503">
        <v>0</v>
      </c>
      <c r="Q847" s="498">
        <v>0</v>
      </c>
      <c r="R847" s="503">
        <v>0</v>
      </c>
      <c r="S847" s="498">
        <v>0</v>
      </c>
      <c r="T847" s="502">
        <v>0</v>
      </c>
      <c r="U847" s="504">
        <v>0</v>
      </c>
      <c r="V847" s="282"/>
      <c r="W847" s="282">
        <f t="shared" ref="W847:W848" si="127">O847/N847</f>
        <v>3255.4011921137094</v>
      </c>
      <c r="X847" s="282"/>
    </row>
    <row r="848" spans="1:35" ht="15.75">
      <c r="A848" s="487">
        <v>264</v>
      </c>
      <c r="B848" s="591" t="s">
        <v>797</v>
      </c>
      <c r="C848" s="498">
        <f>'часть 1'!L871</f>
        <v>1623306</v>
      </c>
      <c r="D848" s="498">
        <v>0</v>
      </c>
      <c r="E848" s="498">
        <v>0</v>
      </c>
      <c r="F848" s="498">
        <v>0</v>
      </c>
      <c r="G848" s="498">
        <v>0</v>
      </c>
      <c r="H848" s="498">
        <v>0</v>
      </c>
      <c r="I848" s="498">
        <v>0</v>
      </c>
      <c r="J848" s="498">
        <v>0</v>
      </c>
      <c r="K848" s="498">
        <v>0</v>
      </c>
      <c r="L848" s="502">
        <v>0</v>
      </c>
      <c r="M848" s="498">
        <v>0</v>
      </c>
      <c r="N848" s="492">
        <v>651.20000000000005</v>
      </c>
      <c r="O848" s="498">
        <v>1623306</v>
      </c>
      <c r="P848" s="503">
        <v>0</v>
      </c>
      <c r="Q848" s="498">
        <v>0</v>
      </c>
      <c r="R848" s="503">
        <v>0</v>
      </c>
      <c r="S848" s="498">
        <v>0</v>
      </c>
      <c r="T848" s="502">
        <v>0</v>
      </c>
      <c r="U848" s="504">
        <v>0</v>
      </c>
      <c r="V848" s="282"/>
      <c r="W848" s="282">
        <f t="shared" si="127"/>
        <v>2492.7917690417689</v>
      </c>
      <c r="X848" s="282"/>
    </row>
    <row r="849" spans="1:24" ht="30">
      <c r="A849" s="487"/>
      <c r="B849" s="499" t="s">
        <v>688</v>
      </c>
      <c r="C849" s="498">
        <f>C850</f>
        <v>908962</v>
      </c>
      <c r="D849" s="498">
        <f t="shared" ref="D849:V849" si="128">D850</f>
        <v>0</v>
      </c>
      <c r="E849" s="498">
        <f t="shared" si="128"/>
        <v>0</v>
      </c>
      <c r="F849" s="498">
        <f t="shared" si="128"/>
        <v>0</v>
      </c>
      <c r="G849" s="498">
        <f t="shared" si="128"/>
        <v>0</v>
      </c>
      <c r="H849" s="498">
        <f t="shared" si="128"/>
        <v>0</v>
      </c>
      <c r="I849" s="498">
        <f t="shared" si="128"/>
        <v>0</v>
      </c>
      <c r="J849" s="498">
        <f t="shared" si="128"/>
        <v>0</v>
      </c>
      <c r="K849" s="498">
        <f t="shared" si="128"/>
        <v>0</v>
      </c>
      <c r="L849" s="498">
        <f t="shared" si="128"/>
        <v>0</v>
      </c>
      <c r="M849" s="498">
        <f t="shared" si="128"/>
        <v>0</v>
      </c>
      <c r="N849" s="498">
        <f t="shared" si="128"/>
        <v>0</v>
      </c>
      <c r="O849" s="498">
        <f t="shared" si="128"/>
        <v>0</v>
      </c>
      <c r="P849" s="498">
        <f t="shared" si="128"/>
        <v>0</v>
      </c>
      <c r="Q849" s="498">
        <f t="shared" si="128"/>
        <v>0</v>
      </c>
      <c r="R849" s="498">
        <f t="shared" si="128"/>
        <v>595</v>
      </c>
      <c r="S849" s="498">
        <f t="shared" si="128"/>
        <v>908962</v>
      </c>
      <c r="T849" s="498">
        <f t="shared" si="128"/>
        <v>0</v>
      </c>
      <c r="U849" s="498">
        <f t="shared" si="128"/>
        <v>0</v>
      </c>
      <c r="V849" s="498">
        <f t="shared" si="128"/>
        <v>0</v>
      </c>
      <c r="W849" s="282"/>
      <c r="X849" s="282"/>
    </row>
    <row r="850" spans="1:24" ht="30">
      <c r="A850" s="487"/>
      <c r="B850" s="499" t="s">
        <v>692</v>
      </c>
      <c r="C850" s="498">
        <f>'часть 1'!L873</f>
        <v>908962</v>
      </c>
      <c r="D850" s="498">
        <v>0</v>
      </c>
      <c r="E850" s="498">
        <v>0</v>
      </c>
      <c r="F850" s="498">
        <v>0</v>
      </c>
      <c r="G850" s="498">
        <v>0</v>
      </c>
      <c r="H850" s="498">
        <v>0</v>
      </c>
      <c r="I850" s="498">
        <v>0</v>
      </c>
      <c r="J850" s="498">
        <v>0</v>
      </c>
      <c r="K850" s="498">
        <v>0</v>
      </c>
      <c r="L850" s="502">
        <v>0</v>
      </c>
      <c r="M850" s="498">
        <v>0</v>
      </c>
      <c r="N850" s="492">
        <v>0</v>
      </c>
      <c r="O850" s="498">
        <v>0</v>
      </c>
      <c r="P850" s="503">
        <v>0</v>
      </c>
      <c r="Q850" s="498">
        <v>0</v>
      </c>
      <c r="R850" s="503">
        <v>595</v>
      </c>
      <c r="S850" s="498">
        <v>908962</v>
      </c>
      <c r="T850" s="502">
        <v>0</v>
      </c>
      <c r="U850" s="504">
        <v>0</v>
      </c>
      <c r="V850" s="282"/>
      <c r="W850" s="282"/>
      <c r="X850" s="282">
        <f>S850/R850</f>
        <v>1527.6672268907564</v>
      </c>
    </row>
    <row r="851" spans="1:24" ht="30">
      <c r="A851" s="487"/>
      <c r="B851" s="499" t="s">
        <v>99</v>
      </c>
      <c r="C851" s="498">
        <f>C852</f>
        <v>655569</v>
      </c>
      <c r="D851" s="498">
        <f t="shared" ref="D851:V851" si="129">D852</f>
        <v>0</v>
      </c>
      <c r="E851" s="498">
        <f t="shared" si="129"/>
        <v>0</v>
      </c>
      <c r="F851" s="498">
        <f t="shared" si="129"/>
        <v>0</v>
      </c>
      <c r="G851" s="498">
        <f t="shared" si="129"/>
        <v>0</v>
      </c>
      <c r="H851" s="498">
        <f t="shared" si="129"/>
        <v>0</v>
      </c>
      <c r="I851" s="498">
        <f t="shared" si="129"/>
        <v>0</v>
      </c>
      <c r="J851" s="498">
        <f t="shared" si="129"/>
        <v>0</v>
      </c>
      <c r="K851" s="498">
        <f t="shared" si="129"/>
        <v>0</v>
      </c>
      <c r="L851" s="498">
        <f t="shared" si="129"/>
        <v>0</v>
      </c>
      <c r="M851" s="498">
        <f t="shared" si="129"/>
        <v>0</v>
      </c>
      <c r="N851" s="498">
        <f t="shared" si="129"/>
        <v>200.3</v>
      </c>
      <c r="O851" s="498">
        <f t="shared" si="129"/>
        <v>655569</v>
      </c>
      <c r="P851" s="498">
        <f t="shared" si="129"/>
        <v>0</v>
      </c>
      <c r="Q851" s="498">
        <f t="shared" si="129"/>
        <v>0</v>
      </c>
      <c r="R851" s="498">
        <f t="shared" si="129"/>
        <v>0</v>
      </c>
      <c r="S851" s="498">
        <f t="shared" si="129"/>
        <v>0</v>
      </c>
      <c r="T851" s="498">
        <f t="shared" si="129"/>
        <v>0</v>
      </c>
      <c r="U851" s="498">
        <f t="shared" si="129"/>
        <v>0</v>
      </c>
      <c r="V851" s="211">
        <f t="shared" si="129"/>
        <v>0</v>
      </c>
      <c r="W851" s="282"/>
      <c r="X851" s="282"/>
    </row>
    <row r="852" spans="1:24" s="951" customFormat="1" ht="31.5">
      <c r="A852" s="321">
        <v>265</v>
      </c>
      <c r="B852" s="946" t="s">
        <v>805</v>
      </c>
      <c r="C852" s="344">
        <f>'часть 1'!L875</f>
        <v>655569</v>
      </c>
      <c r="D852" s="344">
        <v>0</v>
      </c>
      <c r="E852" s="344">
        <v>0</v>
      </c>
      <c r="F852" s="344">
        <v>0</v>
      </c>
      <c r="G852" s="344">
        <v>0</v>
      </c>
      <c r="H852" s="344">
        <v>0</v>
      </c>
      <c r="I852" s="344">
        <v>0</v>
      </c>
      <c r="J852" s="344">
        <v>0</v>
      </c>
      <c r="K852" s="344">
        <v>0</v>
      </c>
      <c r="L852" s="342">
        <v>0</v>
      </c>
      <c r="M852" s="344">
        <v>0</v>
      </c>
      <c r="N852" s="379">
        <v>200.3</v>
      </c>
      <c r="O852" s="344">
        <v>655569</v>
      </c>
      <c r="P852" s="343">
        <v>0</v>
      </c>
      <c r="Q852" s="344">
        <v>0</v>
      </c>
      <c r="R852" s="343">
        <v>0</v>
      </c>
      <c r="S852" s="344">
        <v>0</v>
      </c>
      <c r="T852" s="342">
        <v>0</v>
      </c>
      <c r="U852" s="949">
        <v>0</v>
      </c>
      <c r="V852" s="950"/>
      <c r="W852" s="950">
        <f>O852/N852</f>
        <v>3272.9355966050921</v>
      </c>
      <c r="X852" s="950"/>
    </row>
    <row r="853" spans="1:24" ht="30">
      <c r="A853" s="487"/>
      <c r="B853" s="499" t="s">
        <v>100</v>
      </c>
      <c r="C853" s="498">
        <f>C854</f>
        <v>2020412</v>
      </c>
      <c r="D853" s="498">
        <f t="shared" ref="D853:U853" si="130">D854</f>
        <v>0</v>
      </c>
      <c r="E853" s="498">
        <f t="shared" si="130"/>
        <v>0</v>
      </c>
      <c r="F853" s="498">
        <f t="shared" si="130"/>
        <v>0</v>
      </c>
      <c r="G853" s="498">
        <f t="shared" si="130"/>
        <v>0</v>
      </c>
      <c r="H853" s="498">
        <f t="shared" si="130"/>
        <v>0</v>
      </c>
      <c r="I853" s="498">
        <f t="shared" si="130"/>
        <v>0</v>
      </c>
      <c r="J853" s="498">
        <f t="shared" si="130"/>
        <v>0</v>
      </c>
      <c r="K853" s="498">
        <f t="shared" si="130"/>
        <v>0</v>
      </c>
      <c r="L853" s="498">
        <f t="shared" si="130"/>
        <v>0</v>
      </c>
      <c r="M853" s="498">
        <f t="shared" si="130"/>
        <v>0</v>
      </c>
      <c r="N853" s="498">
        <f t="shared" si="130"/>
        <v>804.7</v>
      </c>
      <c r="O853" s="498">
        <f t="shared" si="130"/>
        <v>2020412</v>
      </c>
      <c r="P853" s="498">
        <f t="shared" si="130"/>
        <v>0</v>
      </c>
      <c r="Q853" s="498">
        <f t="shared" si="130"/>
        <v>0</v>
      </c>
      <c r="R853" s="498">
        <f t="shared" si="130"/>
        <v>0</v>
      </c>
      <c r="S853" s="498">
        <f t="shared" si="130"/>
        <v>0</v>
      </c>
      <c r="T853" s="498">
        <f t="shared" si="130"/>
        <v>0</v>
      </c>
      <c r="U853" s="498">
        <f t="shared" si="130"/>
        <v>0</v>
      </c>
      <c r="V853" s="282"/>
      <c r="W853" s="282"/>
      <c r="X853" s="282"/>
    </row>
    <row r="854" spans="1:24" ht="30">
      <c r="A854" s="487">
        <v>267</v>
      </c>
      <c r="B854" s="499" t="s">
        <v>696</v>
      </c>
      <c r="C854" s="498">
        <v>2020412</v>
      </c>
      <c r="D854" s="498">
        <v>0</v>
      </c>
      <c r="E854" s="498">
        <v>0</v>
      </c>
      <c r="F854" s="498">
        <v>0</v>
      </c>
      <c r="G854" s="498">
        <v>0</v>
      </c>
      <c r="H854" s="498">
        <v>0</v>
      </c>
      <c r="I854" s="498">
        <v>0</v>
      </c>
      <c r="J854" s="498">
        <v>0</v>
      </c>
      <c r="K854" s="498">
        <v>0</v>
      </c>
      <c r="L854" s="502">
        <v>0</v>
      </c>
      <c r="M854" s="498">
        <v>0</v>
      </c>
      <c r="N854" s="492">
        <v>804.7</v>
      </c>
      <c r="O854" s="498">
        <v>2020412</v>
      </c>
      <c r="P854" s="503">
        <v>0</v>
      </c>
      <c r="Q854" s="498">
        <v>0</v>
      </c>
      <c r="R854" s="503">
        <v>0</v>
      </c>
      <c r="S854" s="498">
        <v>0</v>
      </c>
      <c r="T854" s="502">
        <v>0</v>
      </c>
      <c r="U854" s="504">
        <v>0</v>
      </c>
      <c r="V854" s="282"/>
      <c r="W854" s="282">
        <f>O854/N854</f>
        <v>2510.7642599726605</v>
      </c>
      <c r="X854" s="282"/>
    </row>
    <row r="855" spans="1:24" ht="30">
      <c r="A855" s="487"/>
      <c r="B855" s="499" t="s">
        <v>101</v>
      </c>
      <c r="C855" s="498">
        <f>C856</f>
        <v>1646792</v>
      </c>
      <c r="D855" s="498">
        <f t="shared" ref="D855:U855" si="131">D856</f>
        <v>0</v>
      </c>
      <c r="E855" s="498">
        <f t="shared" si="131"/>
        <v>0</v>
      </c>
      <c r="F855" s="498">
        <f t="shared" si="131"/>
        <v>0</v>
      </c>
      <c r="G855" s="498">
        <f t="shared" si="131"/>
        <v>0</v>
      </c>
      <c r="H855" s="498">
        <f t="shared" si="131"/>
        <v>0</v>
      </c>
      <c r="I855" s="498">
        <f t="shared" si="131"/>
        <v>0</v>
      </c>
      <c r="J855" s="498">
        <f t="shared" si="131"/>
        <v>0</v>
      </c>
      <c r="K855" s="498">
        <f t="shared" si="131"/>
        <v>0</v>
      </c>
      <c r="L855" s="498">
        <f t="shared" si="131"/>
        <v>0</v>
      </c>
      <c r="M855" s="498">
        <f t="shared" si="131"/>
        <v>0</v>
      </c>
      <c r="N855" s="498">
        <f t="shared" si="131"/>
        <v>515.20000000000005</v>
      </c>
      <c r="O855" s="498">
        <f t="shared" si="131"/>
        <v>1646792</v>
      </c>
      <c r="P855" s="498">
        <f t="shared" si="131"/>
        <v>0</v>
      </c>
      <c r="Q855" s="498">
        <f t="shared" si="131"/>
        <v>0</v>
      </c>
      <c r="R855" s="498">
        <f t="shared" si="131"/>
        <v>0</v>
      </c>
      <c r="S855" s="498">
        <f t="shared" si="131"/>
        <v>0</v>
      </c>
      <c r="T855" s="498">
        <f t="shared" si="131"/>
        <v>0</v>
      </c>
      <c r="U855" s="498">
        <f t="shared" si="131"/>
        <v>0</v>
      </c>
      <c r="V855" s="282"/>
      <c r="W855" s="282"/>
      <c r="X855" s="282"/>
    </row>
    <row r="856" spans="1:24" ht="30">
      <c r="A856" s="487">
        <v>268</v>
      </c>
      <c r="B856" s="499" t="s">
        <v>925</v>
      </c>
      <c r="C856" s="498">
        <f>'часть 1'!L879</f>
        <v>1646792</v>
      </c>
      <c r="D856" s="498">
        <v>0</v>
      </c>
      <c r="E856" s="498">
        <v>0</v>
      </c>
      <c r="F856" s="498">
        <v>0</v>
      </c>
      <c r="G856" s="498">
        <v>0</v>
      </c>
      <c r="H856" s="498">
        <v>0</v>
      </c>
      <c r="I856" s="498">
        <v>0</v>
      </c>
      <c r="J856" s="498">
        <v>0</v>
      </c>
      <c r="K856" s="498">
        <v>0</v>
      </c>
      <c r="L856" s="502">
        <v>0</v>
      </c>
      <c r="M856" s="498">
        <v>0</v>
      </c>
      <c r="N856" s="492">
        <v>515.20000000000005</v>
      </c>
      <c r="O856" s="498">
        <v>1646792</v>
      </c>
      <c r="P856" s="503">
        <v>0</v>
      </c>
      <c r="Q856" s="498">
        <v>0</v>
      </c>
      <c r="R856" s="503">
        <v>0</v>
      </c>
      <c r="S856" s="498">
        <v>0</v>
      </c>
      <c r="T856" s="502">
        <v>0</v>
      </c>
      <c r="U856" s="504">
        <v>0</v>
      </c>
      <c r="V856" s="282"/>
      <c r="W856" s="282">
        <f>O856/N856</f>
        <v>3196.4130434782605</v>
      </c>
      <c r="X856" s="282"/>
    </row>
    <row r="857" spans="1:24" ht="30">
      <c r="A857" s="487"/>
      <c r="B857" s="499" t="s">
        <v>126</v>
      </c>
      <c r="C857" s="498">
        <v>0</v>
      </c>
      <c r="D857" s="498">
        <v>0</v>
      </c>
      <c r="E857" s="498">
        <v>0</v>
      </c>
      <c r="F857" s="498">
        <v>0</v>
      </c>
      <c r="G857" s="498">
        <v>0</v>
      </c>
      <c r="H857" s="498">
        <v>0</v>
      </c>
      <c r="I857" s="498">
        <v>0</v>
      </c>
      <c r="J857" s="498">
        <v>0</v>
      </c>
      <c r="K857" s="498">
        <v>0</v>
      </c>
      <c r="L857" s="498">
        <v>0</v>
      </c>
      <c r="M857" s="498">
        <v>0</v>
      </c>
      <c r="N857" s="498">
        <v>0</v>
      </c>
      <c r="O857" s="498">
        <v>0</v>
      </c>
      <c r="P857" s="498">
        <v>0</v>
      </c>
      <c r="Q857" s="498">
        <v>0</v>
      </c>
      <c r="R857" s="498">
        <v>0</v>
      </c>
      <c r="S857" s="498">
        <v>0</v>
      </c>
      <c r="T857" s="498">
        <v>0</v>
      </c>
      <c r="U857" s="498">
        <v>0</v>
      </c>
      <c r="V857" s="498" t="e">
        <f>#REF!</f>
        <v>#REF!</v>
      </c>
      <c r="W857" s="282"/>
      <c r="X857" s="282"/>
    </row>
    <row r="858" spans="1:24">
      <c r="A858" s="198"/>
      <c r="B858" s="216" t="s">
        <v>46</v>
      </c>
      <c r="C858" s="211">
        <f>C859</f>
        <v>674133</v>
      </c>
      <c r="D858" s="211">
        <f t="shared" ref="D858:V858" si="132">D859</f>
        <v>0</v>
      </c>
      <c r="E858" s="211">
        <f t="shared" si="132"/>
        <v>0</v>
      </c>
      <c r="F858" s="211">
        <f t="shared" si="132"/>
        <v>0</v>
      </c>
      <c r="G858" s="211">
        <f t="shared" si="132"/>
        <v>0</v>
      </c>
      <c r="H858" s="211">
        <f t="shared" si="132"/>
        <v>0</v>
      </c>
      <c r="I858" s="211">
        <f t="shared" si="132"/>
        <v>0</v>
      </c>
      <c r="J858" s="211">
        <f t="shared" si="132"/>
        <v>0</v>
      </c>
      <c r="K858" s="211">
        <f t="shared" si="132"/>
        <v>0</v>
      </c>
      <c r="L858" s="211">
        <f t="shared" si="132"/>
        <v>0</v>
      </c>
      <c r="M858" s="211">
        <f t="shared" si="132"/>
        <v>0</v>
      </c>
      <c r="N858" s="211">
        <f t="shared" si="132"/>
        <v>0</v>
      </c>
      <c r="O858" s="211">
        <f t="shared" si="132"/>
        <v>0</v>
      </c>
      <c r="P858" s="211">
        <f t="shared" si="132"/>
        <v>0</v>
      </c>
      <c r="Q858" s="211">
        <f t="shared" si="132"/>
        <v>0</v>
      </c>
      <c r="R858" s="211">
        <f t="shared" si="132"/>
        <v>438.6</v>
      </c>
      <c r="S858" s="211">
        <f t="shared" si="132"/>
        <v>674133</v>
      </c>
      <c r="T858" s="211">
        <f t="shared" si="132"/>
        <v>0</v>
      </c>
      <c r="U858" s="211">
        <f t="shared" si="132"/>
        <v>0</v>
      </c>
      <c r="V858" s="211">
        <f t="shared" si="132"/>
        <v>0</v>
      </c>
      <c r="W858" s="282"/>
      <c r="X858" s="282"/>
    </row>
    <row r="859" spans="1:24" ht="30">
      <c r="A859" s="194"/>
      <c r="B859" s="214" t="s">
        <v>102</v>
      </c>
      <c r="C859" s="211">
        <f>C860</f>
        <v>674133</v>
      </c>
      <c r="D859" s="211">
        <f t="shared" ref="D859:U859" si="133">D860</f>
        <v>0</v>
      </c>
      <c r="E859" s="211">
        <f t="shared" si="133"/>
        <v>0</v>
      </c>
      <c r="F859" s="211">
        <f t="shared" si="133"/>
        <v>0</v>
      </c>
      <c r="G859" s="211">
        <f t="shared" si="133"/>
        <v>0</v>
      </c>
      <c r="H859" s="211">
        <f t="shared" si="133"/>
        <v>0</v>
      </c>
      <c r="I859" s="211">
        <f t="shared" si="133"/>
        <v>0</v>
      </c>
      <c r="J859" s="211">
        <f t="shared" si="133"/>
        <v>0</v>
      </c>
      <c r="K859" s="211">
        <f t="shared" si="133"/>
        <v>0</v>
      </c>
      <c r="L859" s="211">
        <f t="shared" si="133"/>
        <v>0</v>
      </c>
      <c r="M859" s="211">
        <f t="shared" si="133"/>
        <v>0</v>
      </c>
      <c r="N859" s="211">
        <f t="shared" si="133"/>
        <v>0</v>
      </c>
      <c r="O859" s="211">
        <f t="shared" si="133"/>
        <v>0</v>
      </c>
      <c r="P859" s="211">
        <f t="shared" si="133"/>
        <v>0</v>
      </c>
      <c r="Q859" s="211">
        <f t="shared" si="133"/>
        <v>0</v>
      </c>
      <c r="R859" s="211">
        <f t="shared" si="133"/>
        <v>438.6</v>
      </c>
      <c r="S859" s="211">
        <f t="shared" si="133"/>
        <v>674133</v>
      </c>
      <c r="T859" s="211">
        <f t="shared" si="133"/>
        <v>0</v>
      </c>
      <c r="U859" s="211">
        <f t="shared" si="133"/>
        <v>0</v>
      </c>
      <c r="V859" s="282"/>
      <c r="W859" s="282"/>
      <c r="X859" s="282"/>
    </row>
    <row r="860" spans="1:24">
      <c r="A860" s="487">
        <v>271</v>
      </c>
      <c r="B860" s="499" t="s">
        <v>484</v>
      </c>
      <c r="C860" s="498">
        <f>'часть 1'!L884</f>
        <v>674133</v>
      </c>
      <c r="D860" s="498">
        <v>0</v>
      </c>
      <c r="E860" s="498">
        <v>0</v>
      </c>
      <c r="F860" s="498">
        <v>0</v>
      </c>
      <c r="G860" s="498">
        <v>0</v>
      </c>
      <c r="H860" s="498">
        <v>0</v>
      </c>
      <c r="I860" s="498">
        <v>0</v>
      </c>
      <c r="J860" s="498">
        <v>0</v>
      </c>
      <c r="K860" s="498">
        <v>0</v>
      </c>
      <c r="L860" s="502">
        <v>0</v>
      </c>
      <c r="M860" s="498">
        <v>0</v>
      </c>
      <c r="N860" s="489">
        <v>0</v>
      </c>
      <c r="O860" s="498">
        <v>0</v>
      </c>
      <c r="P860" s="503">
        <v>0</v>
      </c>
      <c r="Q860" s="498">
        <v>0</v>
      </c>
      <c r="R860" s="498">
        <v>438.6</v>
      </c>
      <c r="S860" s="498">
        <v>674133</v>
      </c>
      <c r="T860" s="502">
        <v>0</v>
      </c>
      <c r="U860" s="504">
        <v>0</v>
      </c>
      <c r="V860" s="282"/>
      <c r="W860" s="282"/>
      <c r="X860" s="282">
        <f>S860/R860</f>
        <v>1537.0109439124485</v>
      </c>
    </row>
    <row r="861" spans="1:24">
      <c r="A861" s="487"/>
      <c r="B861" s="499"/>
      <c r="C861" s="498"/>
      <c r="D861" s="498"/>
      <c r="E861" s="498"/>
      <c r="F861" s="498"/>
      <c r="G861" s="498"/>
      <c r="H861" s="498"/>
      <c r="I861" s="498"/>
      <c r="J861" s="498"/>
      <c r="K861" s="498"/>
      <c r="L861" s="502"/>
      <c r="M861" s="498"/>
      <c r="N861" s="498"/>
      <c r="O861" s="498"/>
      <c r="P861" s="503"/>
      <c r="Q861" s="498"/>
      <c r="R861" s="503"/>
      <c r="S861" s="498"/>
      <c r="T861" s="502"/>
      <c r="U861" s="504"/>
      <c r="V861" s="282"/>
      <c r="W861" s="282"/>
      <c r="X861" s="282"/>
    </row>
    <row r="862" spans="1:24" s="18" customFormat="1" ht="24" customHeight="1">
      <c r="A862" s="198"/>
      <c r="B862" s="216" t="s">
        <v>47</v>
      </c>
      <c r="C862" s="211">
        <f>C863</f>
        <v>1786109</v>
      </c>
      <c r="D862" s="211">
        <f t="shared" ref="D862:V862" si="134">D863</f>
        <v>0</v>
      </c>
      <c r="E862" s="211">
        <f t="shared" si="134"/>
        <v>0</v>
      </c>
      <c r="F862" s="211">
        <f t="shared" si="134"/>
        <v>0</v>
      </c>
      <c r="G862" s="211">
        <f t="shared" si="134"/>
        <v>0</v>
      </c>
      <c r="H862" s="211">
        <f t="shared" si="134"/>
        <v>0</v>
      </c>
      <c r="I862" s="211">
        <f t="shared" si="134"/>
        <v>0</v>
      </c>
      <c r="J862" s="211">
        <f t="shared" si="134"/>
        <v>0</v>
      </c>
      <c r="K862" s="211">
        <f t="shared" si="134"/>
        <v>0</v>
      </c>
      <c r="L862" s="211">
        <f t="shared" si="134"/>
        <v>0</v>
      </c>
      <c r="M862" s="211">
        <f t="shared" si="134"/>
        <v>0</v>
      </c>
      <c r="N862" s="211">
        <f t="shared" si="134"/>
        <v>560</v>
      </c>
      <c r="O862" s="211">
        <f t="shared" si="134"/>
        <v>1786109</v>
      </c>
      <c r="P862" s="211">
        <f t="shared" si="134"/>
        <v>0</v>
      </c>
      <c r="Q862" s="211">
        <f t="shared" si="134"/>
        <v>0</v>
      </c>
      <c r="R862" s="211">
        <f t="shared" si="134"/>
        <v>0</v>
      </c>
      <c r="S862" s="211">
        <f t="shared" si="134"/>
        <v>0</v>
      </c>
      <c r="T862" s="211">
        <f t="shared" si="134"/>
        <v>0</v>
      </c>
      <c r="U862" s="211">
        <f t="shared" si="134"/>
        <v>0</v>
      </c>
      <c r="V862" s="211">
        <f t="shared" si="134"/>
        <v>0</v>
      </c>
      <c r="W862" s="282"/>
      <c r="X862" s="282"/>
    </row>
    <row r="863" spans="1:24" ht="30">
      <c r="A863" s="487"/>
      <c r="B863" s="499" t="s">
        <v>103</v>
      </c>
      <c r="C863" s="498">
        <f>C864</f>
        <v>1786109</v>
      </c>
      <c r="D863" s="498">
        <f t="shared" ref="D863:U863" si="135">D864</f>
        <v>0</v>
      </c>
      <c r="E863" s="498">
        <f t="shared" si="135"/>
        <v>0</v>
      </c>
      <c r="F863" s="498">
        <f t="shared" si="135"/>
        <v>0</v>
      </c>
      <c r="G863" s="498">
        <f t="shared" si="135"/>
        <v>0</v>
      </c>
      <c r="H863" s="498">
        <f t="shared" si="135"/>
        <v>0</v>
      </c>
      <c r="I863" s="498">
        <f t="shared" si="135"/>
        <v>0</v>
      </c>
      <c r="J863" s="498">
        <f t="shared" si="135"/>
        <v>0</v>
      </c>
      <c r="K863" s="498">
        <f t="shared" si="135"/>
        <v>0</v>
      </c>
      <c r="L863" s="498">
        <f t="shared" si="135"/>
        <v>0</v>
      </c>
      <c r="M863" s="498">
        <f t="shared" si="135"/>
        <v>0</v>
      </c>
      <c r="N863" s="498">
        <f t="shared" si="135"/>
        <v>560</v>
      </c>
      <c r="O863" s="498">
        <f t="shared" si="135"/>
        <v>1786109</v>
      </c>
      <c r="P863" s="498">
        <f t="shared" si="135"/>
        <v>0</v>
      </c>
      <c r="Q863" s="498">
        <f t="shared" si="135"/>
        <v>0</v>
      </c>
      <c r="R863" s="498">
        <f t="shared" si="135"/>
        <v>0</v>
      </c>
      <c r="S863" s="498">
        <f t="shared" si="135"/>
        <v>0</v>
      </c>
      <c r="T863" s="498">
        <f t="shared" si="135"/>
        <v>0</v>
      </c>
      <c r="U863" s="498">
        <f t="shared" si="135"/>
        <v>0</v>
      </c>
      <c r="V863" s="282"/>
      <c r="W863" s="282"/>
      <c r="X863" s="282"/>
    </row>
    <row r="864" spans="1:24" ht="22.9" customHeight="1">
      <c r="A864" s="487">
        <v>273</v>
      </c>
      <c r="B864" s="499" t="s">
        <v>878</v>
      </c>
      <c r="C864" s="498">
        <f>'часть 1'!L888</f>
        <v>1786109</v>
      </c>
      <c r="D864" s="498">
        <v>0</v>
      </c>
      <c r="E864" s="498">
        <v>0</v>
      </c>
      <c r="F864" s="498">
        <v>0</v>
      </c>
      <c r="G864" s="498">
        <v>0</v>
      </c>
      <c r="H864" s="498">
        <v>0</v>
      </c>
      <c r="I864" s="498">
        <v>0</v>
      </c>
      <c r="J864" s="498">
        <v>0</v>
      </c>
      <c r="K864" s="498">
        <v>0</v>
      </c>
      <c r="L864" s="502">
        <v>0</v>
      </c>
      <c r="M864" s="498">
        <v>0</v>
      </c>
      <c r="N864" s="498">
        <v>560</v>
      </c>
      <c r="O864" s="498">
        <v>1786109</v>
      </c>
      <c r="P864" s="503">
        <v>0</v>
      </c>
      <c r="Q864" s="498">
        <v>0</v>
      </c>
      <c r="R864" s="503">
        <v>0</v>
      </c>
      <c r="S864" s="498">
        <v>0</v>
      </c>
      <c r="T864" s="502">
        <v>0</v>
      </c>
      <c r="U864" s="504">
        <v>0</v>
      </c>
      <c r="V864" s="282"/>
      <c r="W864" s="282">
        <f>O864/N864</f>
        <v>3189.480357142857</v>
      </c>
      <c r="X864" s="282"/>
    </row>
    <row r="865" spans="1:27" s="91" customFormat="1">
      <c r="A865" s="198"/>
      <c r="B865" s="216" t="s">
        <v>48</v>
      </c>
      <c r="C865" s="211">
        <v>3947863</v>
      </c>
      <c r="D865" s="211"/>
      <c r="E865" s="211"/>
      <c r="F865" s="211"/>
      <c r="G865" s="211"/>
      <c r="H865" s="211"/>
      <c r="I865" s="211"/>
      <c r="J865" s="211"/>
      <c r="K865" s="211">
        <v>163315</v>
      </c>
      <c r="L865" s="212">
        <v>0</v>
      </c>
      <c r="M865" s="211">
        <v>0</v>
      </c>
      <c r="N865" s="211">
        <v>1314.93</v>
      </c>
      <c r="O865" s="211">
        <v>2673179</v>
      </c>
      <c r="P865" s="213">
        <v>0</v>
      </c>
      <c r="Q865" s="211">
        <v>0</v>
      </c>
      <c r="R865" s="211">
        <v>759.4</v>
      </c>
      <c r="S865" s="211">
        <v>1111369</v>
      </c>
      <c r="T865" s="212">
        <v>0</v>
      </c>
      <c r="U865" s="290">
        <v>0</v>
      </c>
      <c r="V865" s="282"/>
      <c r="W865" s="282"/>
      <c r="X865" s="282"/>
    </row>
    <row r="866" spans="1:27" ht="30">
      <c r="A866" s="487"/>
      <c r="B866" s="499" t="s">
        <v>107</v>
      </c>
      <c r="C866" s="498">
        <f>C867+C868</f>
        <v>2303204</v>
      </c>
      <c r="D866" s="498">
        <f t="shared" ref="D866:V866" si="136">D867+D868</f>
        <v>730832</v>
      </c>
      <c r="E866" s="498">
        <f t="shared" si="136"/>
        <v>0</v>
      </c>
      <c r="F866" s="498">
        <f t="shared" si="136"/>
        <v>730832</v>
      </c>
      <c r="G866" s="498">
        <f t="shared" si="136"/>
        <v>0</v>
      </c>
      <c r="H866" s="498">
        <f t="shared" si="136"/>
        <v>0</v>
      </c>
      <c r="I866" s="498">
        <f t="shared" si="136"/>
        <v>0</v>
      </c>
      <c r="J866" s="498">
        <f t="shared" si="136"/>
        <v>0</v>
      </c>
      <c r="K866" s="498">
        <f t="shared" si="136"/>
        <v>0</v>
      </c>
      <c r="L866" s="498">
        <f t="shared" si="136"/>
        <v>0</v>
      </c>
      <c r="M866" s="498">
        <f t="shared" si="136"/>
        <v>0</v>
      </c>
      <c r="N866" s="498">
        <f t="shared" si="136"/>
        <v>492.1</v>
      </c>
      <c r="O866" s="498">
        <f t="shared" si="136"/>
        <v>1572372</v>
      </c>
      <c r="P866" s="498">
        <f t="shared" si="136"/>
        <v>0</v>
      </c>
      <c r="Q866" s="498">
        <f t="shared" si="136"/>
        <v>0</v>
      </c>
      <c r="R866" s="498">
        <f t="shared" si="136"/>
        <v>0</v>
      </c>
      <c r="S866" s="498">
        <f t="shared" si="136"/>
        <v>0</v>
      </c>
      <c r="T866" s="498">
        <f t="shared" si="136"/>
        <v>0</v>
      </c>
      <c r="U866" s="498">
        <f t="shared" si="136"/>
        <v>0</v>
      </c>
      <c r="V866" s="498">
        <f t="shared" si="136"/>
        <v>0</v>
      </c>
      <c r="W866" s="282"/>
      <c r="X866" s="282"/>
    </row>
    <row r="867" spans="1:27">
      <c r="A867" s="487">
        <v>277</v>
      </c>
      <c r="B867" s="499" t="s">
        <v>772</v>
      </c>
      <c r="C867" s="498">
        <f>'часть 1'!L891</f>
        <v>1572372</v>
      </c>
      <c r="D867" s="498">
        <f>E867+F867+G867+H867+I867+J867+K867</f>
        <v>0</v>
      </c>
      <c r="E867" s="498">
        <v>0</v>
      </c>
      <c r="F867" s="498">
        <v>0</v>
      </c>
      <c r="G867" s="498">
        <v>0</v>
      </c>
      <c r="H867" s="498">
        <v>0</v>
      </c>
      <c r="I867" s="498">
        <v>0</v>
      </c>
      <c r="J867" s="498">
        <v>0</v>
      </c>
      <c r="K867" s="510">
        <v>0</v>
      </c>
      <c r="L867" s="496">
        <v>0</v>
      </c>
      <c r="M867" s="510">
        <v>0</v>
      </c>
      <c r="N867" s="510">
        <v>492.1</v>
      </c>
      <c r="O867" s="507">
        <v>1572372</v>
      </c>
      <c r="P867" s="572">
        <v>0</v>
      </c>
      <c r="Q867" s="510">
        <v>0</v>
      </c>
      <c r="R867" s="510">
        <v>0</v>
      </c>
      <c r="S867" s="510">
        <v>0</v>
      </c>
      <c r="T867" s="496">
        <v>0</v>
      </c>
      <c r="U867" s="497">
        <v>0</v>
      </c>
      <c r="V867" s="282"/>
      <c r="W867" s="282">
        <f>O867/N867</f>
        <v>3195.2286120707172</v>
      </c>
      <c r="X867" s="282"/>
      <c r="Y867" s="25"/>
      <c r="Z867" s="25"/>
    </row>
    <row r="868" spans="1:27">
      <c r="A868" s="487">
        <v>278</v>
      </c>
      <c r="B868" s="499" t="s">
        <v>773</v>
      </c>
      <c r="C868" s="498">
        <f>'часть 1'!L892</f>
        <v>730832</v>
      </c>
      <c r="D868" s="498">
        <f>E868+F868+G868+H868+I868+J868+K868</f>
        <v>730832</v>
      </c>
      <c r="E868" s="498">
        <v>0</v>
      </c>
      <c r="F868" s="498">
        <v>730832</v>
      </c>
      <c r="G868" s="498">
        <v>0</v>
      </c>
      <c r="H868" s="498">
        <v>0</v>
      </c>
      <c r="I868" s="498">
        <v>0</v>
      </c>
      <c r="J868" s="498">
        <v>0</v>
      </c>
      <c r="K868" s="510">
        <v>0</v>
      </c>
      <c r="L868" s="502">
        <v>0</v>
      </c>
      <c r="M868" s="498">
        <v>0</v>
      </c>
      <c r="N868" s="510">
        <v>0</v>
      </c>
      <c r="O868" s="507">
        <v>0</v>
      </c>
      <c r="P868" s="503">
        <v>0</v>
      </c>
      <c r="Q868" s="498">
        <v>0</v>
      </c>
      <c r="R868" s="510">
        <v>0</v>
      </c>
      <c r="S868" s="510">
        <v>0</v>
      </c>
      <c r="T868" s="502">
        <v>0</v>
      </c>
      <c r="U868" s="504">
        <v>0</v>
      </c>
      <c r="V868" s="282"/>
      <c r="W868" s="282"/>
      <c r="X868" s="282"/>
      <c r="Y868" s="25"/>
      <c r="Z868" s="25"/>
      <c r="AA868" s="1">
        <f>F868/'часть 1'!I892</f>
        <v>1001.5513224612854</v>
      </c>
    </row>
    <row r="869" spans="1:27" ht="30">
      <c r="A869" s="198"/>
      <c r="B869" s="214" t="s">
        <v>104</v>
      </c>
      <c r="C869" s="211">
        <v>553839</v>
      </c>
      <c r="D869" s="211"/>
      <c r="E869" s="211"/>
      <c r="F869" s="211"/>
      <c r="G869" s="211"/>
      <c r="H869" s="211"/>
      <c r="I869" s="211"/>
      <c r="J869" s="211"/>
      <c r="K869" s="211">
        <v>0</v>
      </c>
      <c r="L869" s="212">
        <v>0</v>
      </c>
      <c r="M869" s="211">
        <v>0</v>
      </c>
      <c r="N869" s="211">
        <v>270.93</v>
      </c>
      <c r="O869" s="211">
        <v>553839</v>
      </c>
      <c r="P869" s="213">
        <v>0</v>
      </c>
      <c r="Q869" s="211">
        <v>0</v>
      </c>
      <c r="R869" s="213">
        <v>0</v>
      </c>
      <c r="S869" s="211">
        <v>0</v>
      </c>
      <c r="T869" s="212">
        <v>0</v>
      </c>
      <c r="U869" s="290">
        <v>0</v>
      </c>
      <c r="V869" s="282"/>
      <c r="W869" s="282"/>
      <c r="X869" s="282"/>
    </row>
    <row r="870" spans="1:27" ht="30">
      <c r="A870" s="198">
        <v>280</v>
      </c>
      <c r="B870" s="214" t="s">
        <v>452</v>
      </c>
      <c r="C870" s="211">
        <v>553839</v>
      </c>
      <c r="D870" s="211"/>
      <c r="E870" s="211"/>
      <c r="F870" s="211"/>
      <c r="G870" s="211"/>
      <c r="H870" s="211"/>
      <c r="I870" s="211"/>
      <c r="J870" s="211"/>
      <c r="K870" s="211">
        <v>0</v>
      </c>
      <c r="L870" s="212">
        <v>0</v>
      </c>
      <c r="M870" s="211">
        <v>0</v>
      </c>
      <c r="N870" s="199">
        <v>270.93</v>
      </c>
      <c r="O870" s="211">
        <v>553839</v>
      </c>
      <c r="P870" s="213">
        <v>0</v>
      </c>
      <c r="Q870" s="211">
        <v>0</v>
      </c>
      <c r="R870" s="213">
        <v>0</v>
      </c>
      <c r="S870" s="211">
        <v>0</v>
      </c>
      <c r="T870" s="212">
        <v>0</v>
      </c>
      <c r="U870" s="290">
        <v>0</v>
      </c>
      <c r="V870" s="282"/>
      <c r="W870" s="282"/>
      <c r="X870" s="282"/>
    </row>
    <row r="871" spans="1:27">
      <c r="A871" s="198"/>
      <c r="B871" s="216" t="s">
        <v>49</v>
      </c>
      <c r="C871" s="211">
        <v>8949722</v>
      </c>
      <c r="D871" s="211"/>
      <c r="E871" s="211"/>
      <c r="F871" s="211"/>
      <c r="G871" s="211"/>
      <c r="H871" s="211"/>
      <c r="I871" s="211"/>
      <c r="J871" s="211"/>
      <c r="K871" s="211">
        <v>0</v>
      </c>
      <c r="L871" s="212">
        <v>0</v>
      </c>
      <c r="M871" s="211">
        <v>0</v>
      </c>
      <c r="N871" s="211">
        <v>3313.5</v>
      </c>
      <c r="O871" s="211">
        <v>6652861</v>
      </c>
      <c r="P871" s="213">
        <v>0</v>
      </c>
      <c r="Q871" s="211">
        <v>0</v>
      </c>
      <c r="R871" s="211">
        <v>1589</v>
      </c>
      <c r="S871" s="211">
        <v>2296861</v>
      </c>
      <c r="T871" s="212">
        <v>0</v>
      </c>
      <c r="U871" s="290">
        <v>0</v>
      </c>
      <c r="V871" s="282"/>
      <c r="W871" s="282"/>
      <c r="X871" s="282"/>
    </row>
    <row r="872" spans="1:27" ht="30">
      <c r="A872" s="198"/>
      <c r="B872" s="214" t="s">
        <v>105</v>
      </c>
      <c r="C872" s="211">
        <f>C873</f>
        <v>1753559</v>
      </c>
      <c r="D872" s="211">
        <f t="shared" ref="D872:U872" si="137">D873</f>
        <v>0</v>
      </c>
      <c r="E872" s="211">
        <f t="shared" si="137"/>
        <v>0</v>
      </c>
      <c r="F872" s="211">
        <f t="shared" si="137"/>
        <v>0</v>
      </c>
      <c r="G872" s="211">
        <f t="shared" si="137"/>
        <v>0</v>
      </c>
      <c r="H872" s="211">
        <f t="shared" si="137"/>
        <v>0</v>
      </c>
      <c r="I872" s="211">
        <f t="shared" si="137"/>
        <v>0</v>
      </c>
      <c r="J872" s="211">
        <f t="shared" si="137"/>
        <v>0</v>
      </c>
      <c r="K872" s="211">
        <f t="shared" si="137"/>
        <v>0</v>
      </c>
      <c r="L872" s="211">
        <f t="shared" si="137"/>
        <v>0</v>
      </c>
      <c r="M872" s="211">
        <f t="shared" si="137"/>
        <v>0</v>
      </c>
      <c r="N872" s="211">
        <f t="shared" si="137"/>
        <v>549.20000000000005</v>
      </c>
      <c r="O872" s="211">
        <f t="shared" si="137"/>
        <v>1753559</v>
      </c>
      <c r="P872" s="211">
        <f t="shared" si="137"/>
        <v>0</v>
      </c>
      <c r="Q872" s="211">
        <f t="shared" si="137"/>
        <v>0</v>
      </c>
      <c r="R872" s="211">
        <f t="shared" si="137"/>
        <v>0</v>
      </c>
      <c r="S872" s="211">
        <f t="shared" si="137"/>
        <v>0</v>
      </c>
      <c r="T872" s="211">
        <f t="shared" si="137"/>
        <v>0</v>
      </c>
      <c r="U872" s="211">
        <f t="shared" si="137"/>
        <v>0</v>
      </c>
      <c r="V872" s="282"/>
      <c r="W872" s="282"/>
      <c r="X872" s="282"/>
    </row>
    <row r="873" spans="1:27" s="18" customFormat="1">
      <c r="A873" s="487">
        <v>281</v>
      </c>
      <c r="B873" s="501" t="s">
        <v>482</v>
      </c>
      <c r="C873" s="498">
        <v>1753559</v>
      </c>
      <c r="D873" s="498">
        <v>0</v>
      </c>
      <c r="E873" s="498">
        <v>0</v>
      </c>
      <c r="F873" s="498">
        <v>0</v>
      </c>
      <c r="G873" s="498">
        <v>0</v>
      </c>
      <c r="H873" s="498">
        <v>0</v>
      </c>
      <c r="I873" s="498">
        <v>0</v>
      </c>
      <c r="J873" s="498">
        <v>0</v>
      </c>
      <c r="K873" s="498">
        <v>0</v>
      </c>
      <c r="L873" s="502">
        <v>0</v>
      </c>
      <c r="M873" s="498">
        <v>0</v>
      </c>
      <c r="N873" s="498">
        <v>549.20000000000005</v>
      </c>
      <c r="O873" s="498">
        <v>1753559</v>
      </c>
      <c r="P873" s="503">
        <v>0</v>
      </c>
      <c r="Q873" s="498">
        <v>0</v>
      </c>
      <c r="R873" s="503">
        <v>0</v>
      </c>
      <c r="S873" s="498">
        <v>0</v>
      </c>
      <c r="T873" s="502">
        <v>0</v>
      </c>
      <c r="U873" s="504">
        <v>0</v>
      </c>
      <c r="V873" s="282"/>
      <c r="W873" s="282">
        <f>O873/N873</f>
        <v>3192.9333576110703</v>
      </c>
      <c r="X873" s="282"/>
    </row>
    <row r="874" spans="1:27" s="18" customFormat="1">
      <c r="A874" s="487"/>
      <c r="B874" s="501"/>
      <c r="C874" s="498"/>
      <c r="D874" s="498"/>
      <c r="E874" s="498"/>
      <c r="F874" s="498"/>
      <c r="G874" s="498"/>
      <c r="H874" s="498"/>
      <c r="I874" s="498"/>
      <c r="J874" s="498"/>
      <c r="K874" s="498"/>
      <c r="L874" s="502"/>
      <c r="M874" s="498"/>
      <c r="N874" s="498"/>
      <c r="O874" s="498"/>
      <c r="P874" s="503"/>
      <c r="Q874" s="498"/>
      <c r="R874" s="503"/>
      <c r="S874" s="498"/>
      <c r="T874" s="502"/>
      <c r="U874" s="504"/>
      <c r="V874" s="282"/>
      <c r="W874" s="282"/>
      <c r="X874" s="282"/>
    </row>
    <row r="875" spans="1:27" s="18" customFormat="1" ht="30">
      <c r="A875" s="198"/>
      <c r="B875" s="214" t="s">
        <v>188</v>
      </c>
      <c r="C875" s="211">
        <v>1905804</v>
      </c>
      <c r="D875" s="211"/>
      <c r="E875" s="211"/>
      <c r="F875" s="211"/>
      <c r="G875" s="211"/>
      <c r="H875" s="211"/>
      <c r="I875" s="211"/>
      <c r="J875" s="211"/>
      <c r="K875" s="211">
        <v>0</v>
      </c>
      <c r="L875" s="212">
        <v>0</v>
      </c>
      <c r="M875" s="211">
        <v>0</v>
      </c>
      <c r="N875" s="211">
        <v>968.7</v>
      </c>
      <c r="O875" s="211">
        <v>1905804</v>
      </c>
      <c r="P875" s="213">
        <v>0</v>
      </c>
      <c r="Q875" s="211">
        <v>0</v>
      </c>
      <c r="R875" s="213">
        <v>0</v>
      </c>
      <c r="S875" s="211">
        <v>0</v>
      </c>
      <c r="T875" s="212">
        <v>0</v>
      </c>
      <c r="U875" s="290">
        <v>0</v>
      </c>
      <c r="V875" s="282"/>
      <c r="W875" s="282"/>
      <c r="X875" s="282"/>
    </row>
    <row r="876" spans="1:27" s="18" customFormat="1">
      <c r="A876" s="198">
        <v>283</v>
      </c>
      <c r="B876" s="214" t="s">
        <v>410</v>
      </c>
      <c r="C876" s="211">
        <v>958459</v>
      </c>
      <c r="D876" s="211"/>
      <c r="E876" s="211"/>
      <c r="F876" s="211"/>
      <c r="G876" s="211"/>
      <c r="H876" s="211"/>
      <c r="I876" s="211"/>
      <c r="J876" s="211"/>
      <c r="K876" s="211">
        <v>0</v>
      </c>
      <c r="L876" s="212">
        <v>0</v>
      </c>
      <c r="M876" s="211">
        <v>0</v>
      </c>
      <c r="N876" s="211">
        <v>487.2</v>
      </c>
      <c r="O876" s="211">
        <v>958459</v>
      </c>
      <c r="P876" s="213">
        <v>0</v>
      </c>
      <c r="Q876" s="211">
        <v>0</v>
      </c>
      <c r="R876" s="213">
        <v>0</v>
      </c>
      <c r="S876" s="211">
        <v>0</v>
      </c>
      <c r="T876" s="212">
        <v>0</v>
      </c>
      <c r="U876" s="290">
        <v>0</v>
      </c>
      <c r="V876" s="282"/>
      <c r="W876" s="282"/>
      <c r="X876" s="282"/>
    </row>
    <row r="877" spans="1:27" s="18" customFormat="1">
      <c r="A877" s="198">
        <v>284</v>
      </c>
      <c r="B877" s="214" t="s">
        <v>411</v>
      </c>
      <c r="C877" s="211">
        <v>947345</v>
      </c>
      <c r="D877" s="211"/>
      <c r="E877" s="211"/>
      <c r="F877" s="211"/>
      <c r="G877" s="211"/>
      <c r="H877" s="211"/>
      <c r="I877" s="211"/>
      <c r="J877" s="211"/>
      <c r="K877" s="211">
        <v>0</v>
      </c>
      <c r="L877" s="212">
        <v>0</v>
      </c>
      <c r="M877" s="211">
        <v>0</v>
      </c>
      <c r="N877" s="211">
        <v>481.5</v>
      </c>
      <c r="O877" s="211">
        <v>947345</v>
      </c>
      <c r="P877" s="213">
        <v>0</v>
      </c>
      <c r="Q877" s="211">
        <v>0</v>
      </c>
      <c r="R877" s="213">
        <v>0</v>
      </c>
      <c r="S877" s="211">
        <v>0</v>
      </c>
      <c r="T877" s="212">
        <v>0</v>
      </c>
      <c r="U877" s="290">
        <v>0</v>
      </c>
      <c r="V877" s="282"/>
      <c r="W877" s="282"/>
      <c r="X877" s="282"/>
    </row>
    <row r="878" spans="1:27" s="18" customFormat="1" ht="30">
      <c r="A878" s="198"/>
      <c r="B878" s="214" t="s">
        <v>189</v>
      </c>
      <c r="C878" s="211">
        <v>820660</v>
      </c>
      <c r="D878" s="211"/>
      <c r="E878" s="211"/>
      <c r="F878" s="211"/>
      <c r="G878" s="211"/>
      <c r="H878" s="211"/>
      <c r="I878" s="211"/>
      <c r="J878" s="211"/>
      <c r="K878" s="211">
        <v>0</v>
      </c>
      <c r="L878" s="212">
        <v>0</v>
      </c>
      <c r="M878" s="211">
        <v>0</v>
      </c>
      <c r="N878" s="211">
        <v>406.8</v>
      </c>
      <c r="O878" s="211">
        <v>820660</v>
      </c>
      <c r="P878" s="213">
        <v>0</v>
      </c>
      <c r="Q878" s="211">
        <v>0</v>
      </c>
      <c r="R878" s="213">
        <v>0</v>
      </c>
      <c r="S878" s="211">
        <v>0</v>
      </c>
      <c r="T878" s="212">
        <v>0</v>
      </c>
      <c r="U878" s="290">
        <v>0</v>
      </c>
      <c r="V878" s="282"/>
      <c r="W878" s="282"/>
      <c r="X878" s="282"/>
    </row>
    <row r="879" spans="1:27" s="18" customFormat="1">
      <c r="A879" s="198">
        <v>285</v>
      </c>
      <c r="B879" s="214" t="s">
        <v>412</v>
      </c>
      <c r="C879" s="211">
        <v>820660</v>
      </c>
      <c r="D879" s="211"/>
      <c r="E879" s="211"/>
      <c r="F879" s="211"/>
      <c r="G879" s="211"/>
      <c r="H879" s="211"/>
      <c r="I879" s="211"/>
      <c r="J879" s="211"/>
      <c r="K879" s="211">
        <v>0</v>
      </c>
      <c r="L879" s="212">
        <v>0</v>
      </c>
      <c r="M879" s="211">
        <v>0</v>
      </c>
      <c r="N879" s="211">
        <v>406.8</v>
      </c>
      <c r="O879" s="211">
        <v>820660</v>
      </c>
      <c r="P879" s="213">
        <v>0</v>
      </c>
      <c r="Q879" s="211">
        <v>0</v>
      </c>
      <c r="R879" s="213">
        <v>0</v>
      </c>
      <c r="S879" s="211">
        <v>0</v>
      </c>
      <c r="T879" s="212">
        <v>0</v>
      </c>
      <c r="U879" s="290">
        <v>0</v>
      </c>
      <c r="V879" s="282"/>
      <c r="W879" s="282"/>
      <c r="X879" s="282"/>
    </row>
    <row r="880" spans="1:27" s="18" customFormat="1" ht="30">
      <c r="A880" s="198"/>
      <c r="B880" s="214" t="s">
        <v>131</v>
      </c>
      <c r="C880" s="211">
        <f>C881</f>
        <v>1805899</v>
      </c>
      <c r="D880" s="211">
        <f t="shared" ref="D880:U880" si="138">D881</f>
        <v>0</v>
      </c>
      <c r="E880" s="211">
        <f t="shared" si="138"/>
        <v>0</v>
      </c>
      <c r="F880" s="211">
        <f t="shared" si="138"/>
        <v>0</v>
      </c>
      <c r="G880" s="211">
        <f t="shared" si="138"/>
        <v>0</v>
      </c>
      <c r="H880" s="211">
        <f t="shared" si="138"/>
        <v>0</v>
      </c>
      <c r="I880" s="211">
        <f t="shared" si="138"/>
        <v>0</v>
      </c>
      <c r="J880" s="211">
        <f t="shared" si="138"/>
        <v>0</v>
      </c>
      <c r="K880" s="211">
        <f t="shared" si="138"/>
        <v>0</v>
      </c>
      <c r="L880" s="211">
        <f t="shared" si="138"/>
        <v>0</v>
      </c>
      <c r="M880" s="211">
        <f t="shared" si="138"/>
        <v>0</v>
      </c>
      <c r="N880" s="211">
        <f t="shared" si="138"/>
        <v>0</v>
      </c>
      <c r="O880" s="211">
        <f t="shared" si="138"/>
        <v>0</v>
      </c>
      <c r="P880" s="211">
        <f t="shared" si="138"/>
        <v>0</v>
      </c>
      <c r="Q880" s="211">
        <f t="shared" si="138"/>
        <v>0</v>
      </c>
      <c r="R880" s="211">
        <f t="shared" si="138"/>
        <v>1453</v>
      </c>
      <c r="S880" s="211">
        <f t="shared" si="138"/>
        <v>1805899</v>
      </c>
      <c r="T880" s="211">
        <f t="shared" si="138"/>
        <v>0</v>
      </c>
      <c r="U880" s="211">
        <f t="shared" si="138"/>
        <v>0</v>
      </c>
      <c r="V880" s="282"/>
      <c r="W880" s="282"/>
      <c r="X880" s="282"/>
    </row>
    <row r="881" spans="1:24" s="18" customFormat="1">
      <c r="A881" s="198">
        <v>286</v>
      </c>
      <c r="B881" s="214" t="s">
        <v>660</v>
      </c>
      <c r="C881" s="211">
        <v>1805899</v>
      </c>
      <c r="D881" s="211">
        <v>0</v>
      </c>
      <c r="E881" s="211">
        <v>0</v>
      </c>
      <c r="F881" s="211">
        <v>0</v>
      </c>
      <c r="G881" s="211">
        <v>0</v>
      </c>
      <c r="H881" s="211">
        <v>0</v>
      </c>
      <c r="I881" s="211">
        <v>0</v>
      </c>
      <c r="J881" s="211">
        <v>0</v>
      </c>
      <c r="K881" s="211">
        <v>0</v>
      </c>
      <c r="L881" s="212">
        <v>0</v>
      </c>
      <c r="M881" s="211">
        <v>0</v>
      </c>
      <c r="N881" s="233">
        <v>0</v>
      </c>
      <c r="O881" s="211">
        <v>0</v>
      </c>
      <c r="P881" s="213">
        <v>0</v>
      </c>
      <c r="Q881" s="211">
        <v>0</v>
      </c>
      <c r="R881" s="213">
        <v>1453</v>
      </c>
      <c r="S881" s="211">
        <v>1805899</v>
      </c>
      <c r="T881" s="212">
        <v>0</v>
      </c>
      <c r="U881" s="290">
        <v>0</v>
      </c>
      <c r="V881" s="282"/>
      <c r="W881" s="282"/>
      <c r="X881" s="282">
        <f>S881/R881</f>
        <v>1242.8761183757742</v>
      </c>
    </row>
    <row r="882" spans="1:24" s="18" customFormat="1">
      <c r="A882" s="198"/>
      <c r="B882" s="214"/>
      <c r="C882" s="211"/>
      <c r="D882" s="211"/>
      <c r="E882" s="211"/>
      <c r="F882" s="211"/>
      <c r="G882" s="211"/>
      <c r="H882" s="211"/>
      <c r="I882" s="211"/>
      <c r="J882" s="211"/>
      <c r="K882" s="211"/>
      <c r="L882" s="212"/>
      <c r="M882" s="211"/>
      <c r="N882" s="211"/>
      <c r="O882" s="211"/>
      <c r="P882" s="213"/>
      <c r="Q882" s="211"/>
      <c r="R882" s="215"/>
      <c r="S882" s="211"/>
      <c r="T882" s="212"/>
      <c r="U882" s="290"/>
      <c r="V882" s="282"/>
      <c r="W882" s="282"/>
      <c r="X882" s="282"/>
    </row>
    <row r="883" spans="1:24" s="17" customFormat="1">
      <c r="A883" s="198"/>
      <c r="B883" s="216" t="s">
        <v>50</v>
      </c>
      <c r="C883" s="211">
        <v>13937333</v>
      </c>
      <c r="D883" s="211"/>
      <c r="E883" s="211"/>
      <c r="F883" s="211"/>
      <c r="G883" s="211"/>
      <c r="H883" s="211"/>
      <c r="I883" s="211"/>
      <c r="J883" s="211"/>
      <c r="K883" s="211">
        <v>0</v>
      </c>
      <c r="L883" s="212">
        <v>0</v>
      </c>
      <c r="M883" s="211">
        <v>0</v>
      </c>
      <c r="N883" s="211">
        <v>7009.65</v>
      </c>
      <c r="O883" s="211">
        <v>13937333</v>
      </c>
      <c r="P883" s="213">
        <v>0</v>
      </c>
      <c r="Q883" s="211">
        <v>0</v>
      </c>
      <c r="R883" s="213">
        <v>0</v>
      </c>
      <c r="S883" s="211">
        <v>0</v>
      </c>
      <c r="T883" s="212">
        <v>0</v>
      </c>
      <c r="U883" s="290">
        <v>0</v>
      </c>
      <c r="V883" s="282"/>
      <c r="W883" s="282"/>
      <c r="X883" s="282"/>
    </row>
    <row r="884" spans="1:24" ht="30">
      <c r="A884" s="198"/>
      <c r="B884" s="214" t="s">
        <v>106</v>
      </c>
      <c r="C884" s="211">
        <f>C885+C886+C887+C888+C889+C890</f>
        <v>13535827</v>
      </c>
      <c r="D884" s="211">
        <f t="shared" ref="D884:V884" si="139">D885+D886+D887+D888+D889+D890</f>
        <v>0</v>
      </c>
      <c r="E884" s="211">
        <f t="shared" si="139"/>
        <v>0</v>
      </c>
      <c r="F884" s="211">
        <f t="shared" si="139"/>
        <v>0</v>
      </c>
      <c r="G884" s="211">
        <f t="shared" si="139"/>
        <v>0</v>
      </c>
      <c r="H884" s="211">
        <f t="shared" si="139"/>
        <v>0</v>
      </c>
      <c r="I884" s="211">
        <f t="shared" si="139"/>
        <v>0</v>
      </c>
      <c r="J884" s="211">
        <f t="shared" si="139"/>
        <v>0</v>
      </c>
      <c r="K884" s="211">
        <f t="shared" si="139"/>
        <v>0</v>
      </c>
      <c r="L884" s="211">
        <f t="shared" si="139"/>
        <v>0</v>
      </c>
      <c r="M884" s="211">
        <f t="shared" si="139"/>
        <v>0</v>
      </c>
      <c r="N884" s="211">
        <f t="shared" si="139"/>
        <v>4858.8500000000004</v>
      </c>
      <c r="O884" s="211">
        <f t="shared" si="139"/>
        <v>13535827</v>
      </c>
      <c r="P884" s="211">
        <f t="shared" si="139"/>
        <v>0</v>
      </c>
      <c r="Q884" s="211">
        <f t="shared" si="139"/>
        <v>0</v>
      </c>
      <c r="R884" s="211">
        <f t="shared" si="139"/>
        <v>0</v>
      </c>
      <c r="S884" s="211">
        <f t="shared" si="139"/>
        <v>0</v>
      </c>
      <c r="T884" s="211">
        <f t="shared" si="139"/>
        <v>0</v>
      </c>
      <c r="U884" s="211">
        <f t="shared" si="139"/>
        <v>0</v>
      </c>
      <c r="V884" s="211">
        <f t="shared" si="139"/>
        <v>0</v>
      </c>
      <c r="W884" s="282"/>
      <c r="X884" s="282"/>
    </row>
    <row r="885" spans="1:24" ht="15.75">
      <c r="A885" s="198">
        <v>288</v>
      </c>
      <c r="B885" s="165" t="s">
        <v>843</v>
      </c>
      <c r="C885" s="211">
        <f>'часть 1'!L910</f>
        <v>2331667</v>
      </c>
      <c r="D885" s="211">
        <v>0</v>
      </c>
      <c r="E885" s="211">
        <v>0</v>
      </c>
      <c r="F885" s="211">
        <v>0</v>
      </c>
      <c r="G885" s="211">
        <v>0</v>
      </c>
      <c r="H885" s="211">
        <v>0</v>
      </c>
      <c r="I885" s="211">
        <v>0</v>
      </c>
      <c r="J885" s="211">
        <v>0</v>
      </c>
      <c r="K885" s="211">
        <v>0</v>
      </c>
      <c r="L885" s="212">
        <v>0</v>
      </c>
      <c r="M885" s="211">
        <v>0</v>
      </c>
      <c r="N885" s="234">
        <v>930.25</v>
      </c>
      <c r="O885" s="211">
        <v>2331667</v>
      </c>
      <c r="P885" s="213">
        <v>0</v>
      </c>
      <c r="Q885" s="211">
        <v>0</v>
      </c>
      <c r="R885" s="213">
        <v>0</v>
      </c>
      <c r="S885" s="211">
        <v>0</v>
      </c>
      <c r="T885" s="212">
        <v>0</v>
      </c>
      <c r="U885" s="290">
        <v>0</v>
      </c>
      <c r="V885" s="282"/>
      <c r="W885" s="282">
        <f>O885/N885</f>
        <v>2506.4950282182208</v>
      </c>
      <c r="X885" s="282"/>
    </row>
    <row r="886" spans="1:24" ht="15.75">
      <c r="A886" s="198">
        <v>289</v>
      </c>
      <c r="B886" s="165" t="s">
        <v>847</v>
      </c>
      <c r="C886" s="211">
        <f>'часть 1'!L911</f>
        <v>2406324</v>
      </c>
      <c r="D886" s="211">
        <v>0</v>
      </c>
      <c r="E886" s="211">
        <v>0</v>
      </c>
      <c r="F886" s="211">
        <v>0</v>
      </c>
      <c r="G886" s="211">
        <v>0</v>
      </c>
      <c r="H886" s="211">
        <v>0</v>
      </c>
      <c r="I886" s="211">
        <v>0</v>
      </c>
      <c r="J886" s="211">
        <v>0</v>
      </c>
      <c r="K886" s="211">
        <v>0</v>
      </c>
      <c r="L886" s="212">
        <v>0</v>
      </c>
      <c r="M886" s="211">
        <v>0</v>
      </c>
      <c r="N886" s="234">
        <v>757</v>
      </c>
      <c r="O886" s="211">
        <v>2406324</v>
      </c>
      <c r="P886" s="213">
        <v>0</v>
      </c>
      <c r="Q886" s="211">
        <v>0</v>
      </c>
      <c r="R886" s="213">
        <v>0</v>
      </c>
      <c r="S886" s="211">
        <v>0</v>
      </c>
      <c r="T886" s="212">
        <v>0</v>
      </c>
      <c r="U886" s="290">
        <v>0</v>
      </c>
      <c r="V886" s="282"/>
      <c r="W886" s="282">
        <f t="shared" ref="W886:W890" si="140">O886/N886</f>
        <v>3178.7635402906208</v>
      </c>
      <c r="X886" s="282"/>
    </row>
    <row r="887" spans="1:24" ht="15.75">
      <c r="A887" s="198">
        <v>290</v>
      </c>
      <c r="B887" s="165" t="s">
        <v>848</v>
      </c>
      <c r="C887" s="211">
        <f>'часть 1'!L912</f>
        <v>1559913</v>
      </c>
      <c r="D887" s="211">
        <v>0</v>
      </c>
      <c r="E887" s="211">
        <v>0</v>
      </c>
      <c r="F887" s="211">
        <v>0</v>
      </c>
      <c r="G887" s="211">
        <v>0</v>
      </c>
      <c r="H887" s="211">
        <v>0</v>
      </c>
      <c r="I887" s="211">
        <v>0</v>
      </c>
      <c r="J887" s="211">
        <v>0</v>
      </c>
      <c r="K887" s="211">
        <v>0</v>
      </c>
      <c r="L887" s="212">
        <v>0</v>
      </c>
      <c r="M887" s="211">
        <v>0</v>
      </c>
      <c r="N887" s="234">
        <v>488</v>
      </c>
      <c r="O887" s="211">
        <v>1559913</v>
      </c>
      <c r="P887" s="213">
        <v>0</v>
      </c>
      <c r="Q887" s="211">
        <v>0</v>
      </c>
      <c r="R887" s="213">
        <v>0</v>
      </c>
      <c r="S887" s="211">
        <v>0</v>
      </c>
      <c r="T887" s="212">
        <v>0</v>
      </c>
      <c r="U887" s="290">
        <v>0</v>
      </c>
      <c r="V887" s="282"/>
      <c r="W887" s="282">
        <f t="shared" si="140"/>
        <v>3196.5430327868853</v>
      </c>
      <c r="X887" s="282"/>
    </row>
    <row r="888" spans="1:24" ht="15.75">
      <c r="A888" s="198">
        <v>291</v>
      </c>
      <c r="B888" s="165" t="s">
        <v>849</v>
      </c>
      <c r="C888" s="211">
        <f>'часть 1'!L913</f>
        <v>1511041</v>
      </c>
      <c r="D888" s="211">
        <v>0</v>
      </c>
      <c r="E888" s="211">
        <v>0</v>
      </c>
      <c r="F888" s="211">
        <v>0</v>
      </c>
      <c r="G888" s="211">
        <v>0</v>
      </c>
      <c r="H888" s="211">
        <v>0</v>
      </c>
      <c r="I888" s="211">
        <v>0</v>
      </c>
      <c r="J888" s="211">
        <v>0</v>
      </c>
      <c r="K888" s="211">
        <v>0</v>
      </c>
      <c r="L888" s="212">
        <v>0</v>
      </c>
      <c r="M888" s="211">
        <v>0</v>
      </c>
      <c r="N888" s="234">
        <v>472.6</v>
      </c>
      <c r="O888" s="211">
        <v>1511041</v>
      </c>
      <c r="P888" s="213">
        <v>0</v>
      </c>
      <c r="Q888" s="211">
        <v>0</v>
      </c>
      <c r="R888" s="213">
        <v>0</v>
      </c>
      <c r="S888" s="211">
        <v>0</v>
      </c>
      <c r="T888" s="212">
        <v>0</v>
      </c>
      <c r="U888" s="290">
        <v>0</v>
      </c>
      <c r="V888" s="282"/>
      <c r="W888" s="282">
        <f t="shared" si="140"/>
        <v>3197.2936944561998</v>
      </c>
      <c r="X888" s="282"/>
    </row>
    <row r="889" spans="1:24" ht="15.75">
      <c r="A889" s="198">
        <v>292</v>
      </c>
      <c r="B889" s="165" t="s">
        <v>851</v>
      </c>
      <c r="C889" s="211">
        <f>'часть 1'!L914</f>
        <v>936676</v>
      </c>
      <c r="D889" s="211">
        <v>0</v>
      </c>
      <c r="E889" s="211">
        <v>0</v>
      </c>
      <c r="F889" s="211">
        <v>0</v>
      </c>
      <c r="G889" s="211">
        <v>0</v>
      </c>
      <c r="H889" s="211">
        <v>0</v>
      </c>
      <c r="I889" s="211">
        <v>0</v>
      </c>
      <c r="J889" s="211">
        <v>0</v>
      </c>
      <c r="K889" s="211">
        <v>0</v>
      </c>
      <c r="L889" s="212">
        <v>0</v>
      </c>
      <c r="M889" s="211">
        <v>0</v>
      </c>
      <c r="N889" s="234">
        <v>290</v>
      </c>
      <c r="O889" s="211">
        <v>936676</v>
      </c>
      <c r="P889" s="213">
        <v>0</v>
      </c>
      <c r="Q889" s="211">
        <v>0</v>
      </c>
      <c r="R889" s="213">
        <v>0</v>
      </c>
      <c r="S889" s="211">
        <v>0</v>
      </c>
      <c r="T889" s="212">
        <v>0</v>
      </c>
      <c r="U889" s="290">
        <v>0</v>
      </c>
      <c r="V889" s="282"/>
      <c r="W889" s="282">
        <f t="shared" si="140"/>
        <v>3229.9172413793103</v>
      </c>
      <c r="X889" s="282"/>
    </row>
    <row r="890" spans="1:24" ht="15.75">
      <c r="A890" s="198">
        <v>293</v>
      </c>
      <c r="B890" s="165" t="s">
        <v>844</v>
      </c>
      <c r="C890" s="211">
        <f>'часть 1'!L915</f>
        <v>4790206</v>
      </c>
      <c r="D890" s="211">
        <v>0</v>
      </c>
      <c r="E890" s="211">
        <v>0</v>
      </c>
      <c r="F890" s="211">
        <v>0</v>
      </c>
      <c r="G890" s="211">
        <v>0</v>
      </c>
      <c r="H890" s="211">
        <v>0</v>
      </c>
      <c r="I890" s="211">
        <v>0</v>
      </c>
      <c r="J890" s="211">
        <v>0</v>
      </c>
      <c r="K890" s="211">
        <v>0</v>
      </c>
      <c r="L890" s="212">
        <v>0</v>
      </c>
      <c r="M890" s="211">
        <v>0</v>
      </c>
      <c r="N890" s="234">
        <v>1921</v>
      </c>
      <c r="O890" s="211">
        <v>4790206</v>
      </c>
      <c r="P890" s="213">
        <v>0</v>
      </c>
      <c r="Q890" s="211">
        <v>0</v>
      </c>
      <c r="R890" s="213">
        <v>0</v>
      </c>
      <c r="S890" s="211">
        <v>0</v>
      </c>
      <c r="T890" s="212">
        <v>0</v>
      </c>
      <c r="U890" s="290">
        <v>0</v>
      </c>
      <c r="V890" s="282"/>
      <c r="W890" s="282">
        <f t="shared" si="140"/>
        <v>2493.6002082248829</v>
      </c>
      <c r="X890" s="282"/>
    </row>
    <row r="891" spans="1:24">
      <c r="A891" s="198"/>
      <c r="B891" s="216" t="s">
        <v>51</v>
      </c>
      <c r="C891" s="211">
        <f>'часть 1'!L916</f>
        <v>11085155</v>
      </c>
      <c r="D891" s="211"/>
      <c r="E891" s="211"/>
      <c r="F891" s="211"/>
      <c r="G891" s="211"/>
      <c r="H891" s="211"/>
      <c r="I891" s="211"/>
      <c r="J891" s="211"/>
      <c r="K891" s="211">
        <v>148073</v>
      </c>
      <c r="L891" s="212">
        <v>0</v>
      </c>
      <c r="M891" s="211">
        <v>0</v>
      </c>
      <c r="N891" s="211">
        <v>6258.7000000000007</v>
      </c>
      <c r="O891" s="211">
        <v>12532204</v>
      </c>
      <c r="P891" s="213">
        <v>0</v>
      </c>
      <c r="Q891" s="211">
        <v>0</v>
      </c>
      <c r="R891" s="211">
        <v>440.1</v>
      </c>
      <c r="S891" s="211">
        <v>641555</v>
      </c>
      <c r="T891" s="212">
        <v>0</v>
      </c>
      <c r="U891" s="290">
        <v>0</v>
      </c>
      <c r="V891" s="282"/>
      <c r="W891" s="282"/>
      <c r="X891" s="282"/>
    </row>
    <row r="892" spans="1:24" ht="30">
      <c r="A892" s="198"/>
      <c r="B892" s="214" t="s">
        <v>108</v>
      </c>
      <c r="C892" s="211">
        <f>C893+C894+C895+C896+C897+C898+C899+C900</f>
        <v>11085155</v>
      </c>
      <c r="D892" s="211">
        <f t="shared" ref="D892:U892" si="141">D893+D894+D895+D896+D897+D898+D899+D900</f>
        <v>0</v>
      </c>
      <c r="E892" s="211">
        <f t="shared" si="141"/>
        <v>0</v>
      </c>
      <c r="F892" s="211">
        <f t="shared" si="141"/>
        <v>0</v>
      </c>
      <c r="G892" s="211">
        <f t="shared" si="141"/>
        <v>0</v>
      </c>
      <c r="H892" s="211">
        <f t="shared" si="141"/>
        <v>0</v>
      </c>
      <c r="I892" s="211">
        <f t="shared" si="141"/>
        <v>0</v>
      </c>
      <c r="J892" s="211">
        <f t="shared" si="141"/>
        <v>0</v>
      </c>
      <c r="K892" s="211">
        <f t="shared" si="141"/>
        <v>0</v>
      </c>
      <c r="L892" s="211">
        <f t="shared" si="141"/>
        <v>0</v>
      </c>
      <c r="M892" s="211">
        <f t="shared" si="141"/>
        <v>0</v>
      </c>
      <c r="N892" s="211">
        <f t="shared" si="141"/>
        <v>3775</v>
      </c>
      <c r="O892" s="211">
        <f t="shared" si="141"/>
        <v>11085155</v>
      </c>
      <c r="P892" s="211">
        <f t="shared" si="141"/>
        <v>0</v>
      </c>
      <c r="Q892" s="211">
        <f t="shared" si="141"/>
        <v>0</v>
      </c>
      <c r="R892" s="211">
        <f t="shared" si="141"/>
        <v>0</v>
      </c>
      <c r="S892" s="211">
        <f t="shared" si="141"/>
        <v>0</v>
      </c>
      <c r="T892" s="211">
        <f t="shared" si="141"/>
        <v>0</v>
      </c>
      <c r="U892" s="211">
        <f t="shared" si="141"/>
        <v>0</v>
      </c>
      <c r="V892" s="282"/>
      <c r="W892" s="282"/>
      <c r="X892" s="282"/>
    </row>
    <row r="893" spans="1:24" ht="15.75">
      <c r="A893" s="198">
        <v>298</v>
      </c>
      <c r="B893" s="947" t="s">
        <v>1006</v>
      </c>
      <c r="C893" s="211">
        <f>'часть 1'!L918</f>
        <v>2338689</v>
      </c>
      <c r="D893" s="211">
        <v>0</v>
      </c>
      <c r="E893" s="211">
        <v>0</v>
      </c>
      <c r="F893" s="211">
        <v>0</v>
      </c>
      <c r="G893" s="211">
        <v>0</v>
      </c>
      <c r="H893" s="211">
        <v>0</v>
      </c>
      <c r="I893" s="211">
        <v>0</v>
      </c>
      <c r="J893" s="211">
        <v>0</v>
      </c>
      <c r="K893" s="211">
        <v>0</v>
      </c>
      <c r="L893" s="212">
        <v>0</v>
      </c>
      <c r="M893" s="211">
        <v>0</v>
      </c>
      <c r="N893" s="211">
        <v>944.5</v>
      </c>
      <c r="O893" s="211">
        <f>'часть 1'!L918</f>
        <v>2338689</v>
      </c>
      <c r="P893" s="213">
        <v>0</v>
      </c>
      <c r="Q893" s="211">
        <v>0</v>
      </c>
      <c r="R893" s="213">
        <v>0</v>
      </c>
      <c r="S893" s="211">
        <v>0</v>
      </c>
      <c r="T893" s="212">
        <v>0</v>
      </c>
      <c r="U893" s="290">
        <v>0</v>
      </c>
      <c r="V893" s="282"/>
      <c r="W893" s="282">
        <f>O893/N893</f>
        <v>2476.1132874536793</v>
      </c>
      <c r="X893" s="282"/>
    </row>
    <row r="894" spans="1:24" ht="15.75">
      <c r="A894" s="198">
        <v>299</v>
      </c>
      <c r="B894" s="947" t="s">
        <v>1007</v>
      </c>
      <c r="C894" s="211">
        <f>'часть 1'!L919</f>
        <v>533628</v>
      </c>
      <c r="D894" s="211">
        <v>0</v>
      </c>
      <c r="E894" s="211">
        <v>0</v>
      </c>
      <c r="F894" s="211">
        <v>0</v>
      </c>
      <c r="G894" s="211">
        <v>0</v>
      </c>
      <c r="H894" s="211">
        <v>0</v>
      </c>
      <c r="I894" s="211">
        <v>0</v>
      </c>
      <c r="J894" s="211">
        <v>0</v>
      </c>
      <c r="K894" s="211">
        <v>0</v>
      </c>
      <c r="L894" s="212">
        <v>0</v>
      </c>
      <c r="M894" s="211">
        <v>0</v>
      </c>
      <c r="N894" s="211">
        <v>164.1</v>
      </c>
      <c r="O894" s="211">
        <f>'часть 1'!L919</f>
        <v>533628</v>
      </c>
      <c r="P894" s="213">
        <v>0</v>
      </c>
      <c r="Q894" s="211">
        <v>0</v>
      </c>
      <c r="R894" s="213">
        <v>0</v>
      </c>
      <c r="S894" s="211">
        <v>0</v>
      </c>
      <c r="T894" s="212">
        <v>0</v>
      </c>
      <c r="U894" s="290">
        <v>0</v>
      </c>
      <c r="V894" s="282"/>
      <c r="W894" s="282">
        <f t="shared" ref="W894:W900" si="142">O894/N894</f>
        <v>3251.8464351005487</v>
      </c>
      <c r="X894" s="282"/>
    </row>
    <row r="895" spans="1:24" ht="15.75">
      <c r="A895" s="198">
        <v>300</v>
      </c>
      <c r="B895" s="947" t="s">
        <v>1008</v>
      </c>
      <c r="C895" s="211">
        <f>'часть 1'!L920</f>
        <v>966865</v>
      </c>
      <c r="D895" s="211">
        <v>0</v>
      </c>
      <c r="E895" s="211">
        <v>0</v>
      </c>
      <c r="F895" s="211">
        <v>0</v>
      </c>
      <c r="G895" s="211">
        <v>0</v>
      </c>
      <c r="H895" s="211">
        <v>0</v>
      </c>
      <c r="I895" s="211">
        <v>0</v>
      </c>
      <c r="J895" s="211">
        <v>0</v>
      </c>
      <c r="K895" s="211">
        <v>0</v>
      </c>
      <c r="L895" s="212">
        <v>0</v>
      </c>
      <c r="M895" s="211">
        <v>0</v>
      </c>
      <c r="N895" s="211">
        <v>303.5</v>
      </c>
      <c r="O895" s="211">
        <f>'часть 1'!L920</f>
        <v>966865</v>
      </c>
      <c r="P895" s="213">
        <v>0</v>
      </c>
      <c r="Q895" s="211">
        <v>0</v>
      </c>
      <c r="R895" s="213">
        <v>0</v>
      </c>
      <c r="S895" s="211">
        <v>0</v>
      </c>
      <c r="T895" s="212">
        <v>0</v>
      </c>
      <c r="U895" s="290">
        <v>0</v>
      </c>
      <c r="V895" s="282"/>
      <c r="W895" s="282">
        <f t="shared" si="142"/>
        <v>3185.7166392092258</v>
      </c>
      <c r="X895" s="282"/>
    </row>
    <row r="896" spans="1:24" ht="15.75">
      <c r="A896" s="198">
        <v>301</v>
      </c>
      <c r="B896" s="947" t="s">
        <v>1009</v>
      </c>
      <c r="C896" s="211">
        <f>'часть 1'!L921</f>
        <v>947700</v>
      </c>
      <c r="D896" s="211">
        <v>0</v>
      </c>
      <c r="E896" s="211">
        <v>0</v>
      </c>
      <c r="F896" s="211">
        <v>0</v>
      </c>
      <c r="G896" s="211">
        <v>0</v>
      </c>
      <c r="H896" s="211">
        <v>0</v>
      </c>
      <c r="I896" s="211">
        <v>0</v>
      </c>
      <c r="J896" s="211">
        <v>0</v>
      </c>
      <c r="K896" s="211">
        <v>0</v>
      </c>
      <c r="L896" s="212">
        <v>0</v>
      </c>
      <c r="M896" s="211">
        <v>0</v>
      </c>
      <c r="N896" s="211">
        <v>297.2</v>
      </c>
      <c r="O896" s="211">
        <f>'часть 1'!L921</f>
        <v>947700</v>
      </c>
      <c r="P896" s="213">
        <v>0</v>
      </c>
      <c r="Q896" s="211">
        <v>0</v>
      </c>
      <c r="R896" s="213">
        <v>0</v>
      </c>
      <c r="S896" s="211">
        <v>0</v>
      </c>
      <c r="T896" s="212">
        <v>0</v>
      </c>
      <c r="U896" s="290">
        <v>0</v>
      </c>
      <c r="V896" s="282"/>
      <c r="W896" s="282">
        <f t="shared" si="142"/>
        <v>3188.7617765814266</v>
      </c>
      <c r="X896" s="282"/>
    </row>
    <row r="897" spans="1:25" ht="15.75">
      <c r="A897" s="198">
        <v>302</v>
      </c>
      <c r="B897" s="947" t="s">
        <v>1010</v>
      </c>
      <c r="C897" s="211">
        <f>'часть 1'!L922</f>
        <v>853104</v>
      </c>
      <c r="D897" s="211">
        <v>0</v>
      </c>
      <c r="E897" s="211">
        <v>0</v>
      </c>
      <c r="F897" s="211">
        <v>0</v>
      </c>
      <c r="G897" s="211">
        <v>0</v>
      </c>
      <c r="H897" s="211">
        <v>0</v>
      </c>
      <c r="I897" s="211">
        <v>0</v>
      </c>
      <c r="J897" s="211">
        <v>0</v>
      </c>
      <c r="K897" s="211">
        <v>0</v>
      </c>
      <c r="L897" s="212">
        <v>0</v>
      </c>
      <c r="M897" s="211">
        <v>0</v>
      </c>
      <c r="N897" s="211">
        <v>260.89999999999998</v>
      </c>
      <c r="O897" s="211">
        <f>'часть 1'!L922</f>
        <v>853104</v>
      </c>
      <c r="P897" s="213">
        <v>0</v>
      </c>
      <c r="Q897" s="211">
        <v>0</v>
      </c>
      <c r="R897" s="213">
        <v>0</v>
      </c>
      <c r="S897" s="211">
        <v>0</v>
      </c>
      <c r="T897" s="212">
        <v>0</v>
      </c>
      <c r="U897" s="290">
        <v>0</v>
      </c>
      <c r="V897" s="282"/>
      <c r="W897" s="282">
        <f t="shared" si="142"/>
        <v>3269.8505174396323</v>
      </c>
      <c r="X897" s="282"/>
    </row>
    <row r="898" spans="1:25" ht="15.75">
      <c r="A898" s="198">
        <v>303</v>
      </c>
      <c r="B898" s="567" t="s">
        <v>1011</v>
      </c>
      <c r="C898" s="211">
        <f>'часть 1'!L923</f>
        <v>789420</v>
      </c>
      <c r="D898" s="211">
        <v>0</v>
      </c>
      <c r="E898" s="211">
        <v>0</v>
      </c>
      <c r="F898" s="211">
        <v>0</v>
      </c>
      <c r="G898" s="211">
        <v>0</v>
      </c>
      <c r="H898" s="211">
        <v>0</v>
      </c>
      <c r="I898" s="211">
        <v>0</v>
      </c>
      <c r="J898" s="211">
        <v>0</v>
      </c>
      <c r="K898" s="211">
        <v>0</v>
      </c>
      <c r="L898" s="212">
        <v>0</v>
      </c>
      <c r="M898" s="211">
        <v>0</v>
      </c>
      <c r="N898" s="211">
        <v>246.3</v>
      </c>
      <c r="O898" s="211">
        <f>'часть 1'!L923</f>
        <v>789420</v>
      </c>
      <c r="P898" s="213">
        <v>0</v>
      </c>
      <c r="Q898" s="211">
        <v>0</v>
      </c>
      <c r="R898" s="213">
        <v>0</v>
      </c>
      <c r="S898" s="211">
        <v>0</v>
      </c>
      <c r="T898" s="212">
        <v>0</v>
      </c>
      <c r="U898" s="290">
        <v>0</v>
      </c>
      <c r="V898" s="282"/>
      <c r="W898" s="282">
        <f t="shared" si="142"/>
        <v>3205.1157125456757</v>
      </c>
      <c r="X898" s="282"/>
    </row>
    <row r="899" spans="1:25" ht="15.75">
      <c r="A899" s="198">
        <v>304</v>
      </c>
      <c r="B899" s="947" t="s">
        <v>1012</v>
      </c>
      <c r="C899" s="211">
        <f>'часть 1'!L924</f>
        <v>3688049</v>
      </c>
      <c r="D899" s="211">
        <v>0</v>
      </c>
      <c r="E899" s="211">
        <v>0</v>
      </c>
      <c r="F899" s="211">
        <v>0</v>
      </c>
      <c r="G899" s="211">
        <v>0</v>
      </c>
      <c r="H899" s="211">
        <v>0</v>
      </c>
      <c r="I899" s="211">
        <v>0</v>
      </c>
      <c r="J899" s="211">
        <v>0</v>
      </c>
      <c r="K899" s="211">
        <v>0</v>
      </c>
      <c r="L899" s="212">
        <v>0</v>
      </c>
      <c r="M899" s="211">
        <v>0</v>
      </c>
      <c r="N899" s="211">
        <v>1168.5999999999999</v>
      </c>
      <c r="O899" s="211">
        <f>'часть 1'!L924</f>
        <v>3688049</v>
      </c>
      <c r="P899" s="213">
        <v>0</v>
      </c>
      <c r="Q899" s="211">
        <v>0</v>
      </c>
      <c r="R899" s="213">
        <v>0</v>
      </c>
      <c r="S899" s="211">
        <v>0</v>
      </c>
      <c r="T899" s="212">
        <v>0</v>
      </c>
      <c r="U899" s="290">
        <v>0</v>
      </c>
      <c r="V899" s="282"/>
      <c r="W899" s="282">
        <f t="shared" si="142"/>
        <v>3155.9549888755778</v>
      </c>
      <c r="X899" s="282"/>
    </row>
    <row r="900" spans="1:25" ht="15.75">
      <c r="A900" s="198">
        <v>305</v>
      </c>
      <c r="B900" s="947" t="s">
        <v>1013</v>
      </c>
      <c r="C900" s="211">
        <f>'часть 1'!L925</f>
        <v>967700</v>
      </c>
      <c r="D900" s="211">
        <v>0</v>
      </c>
      <c r="E900" s="211">
        <v>0</v>
      </c>
      <c r="F900" s="211">
        <v>0</v>
      </c>
      <c r="G900" s="211">
        <v>0</v>
      </c>
      <c r="H900" s="211">
        <v>0</v>
      </c>
      <c r="I900" s="211">
        <v>0</v>
      </c>
      <c r="J900" s="211">
        <v>0</v>
      </c>
      <c r="K900" s="211">
        <v>0</v>
      </c>
      <c r="L900" s="212">
        <v>0</v>
      </c>
      <c r="M900" s="211">
        <v>0</v>
      </c>
      <c r="N900" s="211">
        <v>389.9</v>
      </c>
      <c r="O900" s="211">
        <f>'часть 1'!L925</f>
        <v>967700</v>
      </c>
      <c r="P900" s="213">
        <v>0</v>
      </c>
      <c r="Q900" s="211">
        <v>0</v>
      </c>
      <c r="R900" s="213">
        <v>0</v>
      </c>
      <c r="S900" s="211">
        <v>0</v>
      </c>
      <c r="T900" s="212">
        <v>0</v>
      </c>
      <c r="U900" s="290">
        <v>0</v>
      </c>
      <c r="V900" s="282"/>
      <c r="W900" s="282">
        <f t="shared" si="142"/>
        <v>2481.9184406258018</v>
      </c>
      <c r="X900" s="282"/>
    </row>
    <row r="901" spans="1:25" ht="30">
      <c r="A901" s="487"/>
      <c r="B901" s="499" t="s">
        <v>882</v>
      </c>
      <c r="C901" s="498">
        <f>C902+C903</f>
        <v>1029285</v>
      </c>
      <c r="D901" s="498">
        <f t="shared" ref="D901:V901" si="143">D902+D903</f>
        <v>247569</v>
      </c>
      <c r="E901" s="498">
        <f t="shared" si="143"/>
        <v>247569</v>
      </c>
      <c r="F901" s="498">
        <f t="shared" si="143"/>
        <v>0</v>
      </c>
      <c r="G901" s="498">
        <f t="shared" si="143"/>
        <v>0</v>
      </c>
      <c r="H901" s="498">
        <f t="shared" si="143"/>
        <v>0</v>
      </c>
      <c r="I901" s="498">
        <f t="shared" si="143"/>
        <v>0</v>
      </c>
      <c r="J901" s="498">
        <f t="shared" si="143"/>
        <v>0</v>
      </c>
      <c r="K901" s="498">
        <f t="shared" si="143"/>
        <v>0</v>
      </c>
      <c r="L901" s="498">
        <f t="shared" si="143"/>
        <v>0</v>
      </c>
      <c r="M901" s="498">
        <f t="shared" si="143"/>
        <v>0</v>
      </c>
      <c r="N901" s="498">
        <f t="shared" si="143"/>
        <v>0</v>
      </c>
      <c r="O901" s="498">
        <f t="shared" si="143"/>
        <v>0</v>
      </c>
      <c r="P901" s="498">
        <f t="shared" si="143"/>
        <v>0</v>
      </c>
      <c r="Q901" s="498">
        <f t="shared" si="143"/>
        <v>0</v>
      </c>
      <c r="R901" s="498">
        <f t="shared" si="143"/>
        <v>510.17</v>
      </c>
      <c r="S901" s="498">
        <f t="shared" si="143"/>
        <v>781716</v>
      </c>
      <c r="T901" s="498">
        <f t="shared" si="143"/>
        <v>0</v>
      </c>
      <c r="U901" s="498">
        <f t="shared" si="143"/>
        <v>0</v>
      </c>
      <c r="V901" s="211">
        <f t="shared" si="143"/>
        <v>0</v>
      </c>
      <c r="W901" s="282"/>
      <c r="X901" s="282"/>
    </row>
    <row r="902" spans="1:25">
      <c r="A902" s="487"/>
      <c r="B902" s="499" t="s">
        <v>884</v>
      </c>
      <c r="C902" s="498">
        <f>'часть 1'!L927</f>
        <v>781716</v>
      </c>
      <c r="D902" s="498">
        <f>E902+F902+G902+H902+I902+J902+K902</f>
        <v>0</v>
      </c>
      <c r="E902" s="498">
        <v>0</v>
      </c>
      <c r="F902" s="498">
        <v>0</v>
      </c>
      <c r="G902" s="498">
        <v>0</v>
      </c>
      <c r="H902" s="498">
        <v>0</v>
      </c>
      <c r="I902" s="498">
        <v>0</v>
      </c>
      <c r="J902" s="498">
        <v>0</v>
      </c>
      <c r="K902" s="498">
        <v>0</v>
      </c>
      <c r="L902" s="502">
        <v>0</v>
      </c>
      <c r="M902" s="498">
        <v>0</v>
      </c>
      <c r="N902" s="498">
        <v>0</v>
      </c>
      <c r="O902" s="498">
        <v>0</v>
      </c>
      <c r="P902" s="503">
        <v>0</v>
      </c>
      <c r="Q902" s="498">
        <v>0</v>
      </c>
      <c r="R902" s="498">
        <v>510.17</v>
      </c>
      <c r="S902" s="498">
        <v>781716</v>
      </c>
      <c r="T902" s="502">
        <v>0</v>
      </c>
      <c r="U902" s="504">
        <v>0</v>
      </c>
      <c r="V902" s="282"/>
      <c r="W902" s="282"/>
      <c r="X902" s="282">
        <f>S902/R902</f>
        <v>1532.2657153497853</v>
      </c>
    </row>
    <row r="903" spans="1:25">
      <c r="A903" s="487"/>
      <c r="B903" s="499" t="s">
        <v>885</v>
      </c>
      <c r="C903" s="498">
        <f>'часть 1'!L928</f>
        <v>247569</v>
      </c>
      <c r="D903" s="498">
        <f>E903+F903+G903+H903+I903+J903+K903</f>
        <v>247569</v>
      </c>
      <c r="E903" s="498">
        <v>247569</v>
      </c>
      <c r="F903" s="498">
        <v>0</v>
      </c>
      <c r="G903" s="498">
        <v>0</v>
      </c>
      <c r="H903" s="498">
        <v>0</v>
      </c>
      <c r="I903" s="498">
        <v>0</v>
      </c>
      <c r="J903" s="498">
        <v>0</v>
      </c>
      <c r="K903" s="498">
        <v>0</v>
      </c>
      <c r="L903" s="502">
        <v>0</v>
      </c>
      <c r="M903" s="498">
        <v>0</v>
      </c>
      <c r="N903" s="498">
        <v>0</v>
      </c>
      <c r="O903" s="498">
        <v>0</v>
      </c>
      <c r="P903" s="503">
        <v>0</v>
      </c>
      <c r="Q903" s="498">
        <v>0</v>
      </c>
      <c r="R903" s="498">
        <v>0</v>
      </c>
      <c r="S903" s="498">
        <v>0</v>
      </c>
      <c r="T903" s="502">
        <v>0</v>
      </c>
      <c r="U903" s="504">
        <v>0</v>
      </c>
      <c r="V903" s="282"/>
      <c r="W903" s="282"/>
      <c r="X903" s="282"/>
      <c r="Y903" s="1">
        <f>E903/'часть 1'!I928</f>
        <v>506.58686310620016</v>
      </c>
    </row>
    <row r="904" spans="1:25" s="17" customFormat="1">
      <c r="A904" s="198"/>
      <c r="B904" s="216" t="s">
        <v>52</v>
      </c>
      <c r="C904" s="211">
        <v>3908951</v>
      </c>
      <c r="D904" s="211"/>
      <c r="E904" s="211"/>
      <c r="F904" s="211"/>
      <c r="G904" s="211"/>
      <c r="H904" s="211"/>
      <c r="I904" s="211"/>
      <c r="J904" s="211"/>
      <c r="K904" s="211">
        <v>201010</v>
      </c>
      <c r="L904" s="212">
        <v>0</v>
      </c>
      <c r="M904" s="211">
        <v>0</v>
      </c>
      <c r="N904" s="211">
        <v>1869.42</v>
      </c>
      <c r="O904" s="211">
        <v>3707941</v>
      </c>
      <c r="P904" s="213">
        <v>0</v>
      </c>
      <c r="Q904" s="211">
        <v>0</v>
      </c>
      <c r="R904" s="213">
        <v>0</v>
      </c>
      <c r="S904" s="211">
        <v>0</v>
      </c>
      <c r="T904" s="212">
        <v>0</v>
      </c>
      <c r="U904" s="290">
        <v>0</v>
      </c>
      <c r="V904" s="282"/>
      <c r="W904" s="282"/>
      <c r="X904" s="282"/>
    </row>
    <row r="905" spans="1:25" s="18" customFormat="1" ht="30">
      <c r="A905" s="487"/>
      <c r="B905" s="499" t="s">
        <v>130</v>
      </c>
      <c r="C905" s="498">
        <f>C906</f>
        <v>1851309</v>
      </c>
      <c r="D905" s="498">
        <f t="shared" ref="D905:V905" si="144">D906</f>
        <v>0</v>
      </c>
      <c r="E905" s="498">
        <f t="shared" si="144"/>
        <v>0</v>
      </c>
      <c r="F905" s="498">
        <f t="shared" si="144"/>
        <v>0</v>
      </c>
      <c r="G905" s="498">
        <f t="shared" si="144"/>
        <v>0</v>
      </c>
      <c r="H905" s="498">
        <f t="shared" si="144"/>
        <v>0</v>
      </c>
      <c r="I905" s="498">
        <f t="shared" si="144"/>
        <v>0</v>
      </c>
      <c r="J905" s="498">
        <f t="shared" si="144"/>
        <v>0</v>
      </c>
      <c r="K905" s="498">
        <f t="shared" si="144"/>
        <v>0</v>
      </c>
      <c r="L905" s="498">
        <f t="shared" si="144"/>
        <v>0</v>
      </c>
      <c r="M905" s="498">
        <f t="shared" si="144"/>
        <v>0</v>
      </c>
      <c r="N905" s="498">
        <f t="shared" si="144"/>
        <v>581</v>
      </c>
      <c r="O905" s="498">
        <f t="shared" si="144"/>
        <v>1851309</v>
      </c>
      <c r="P905" s="498">
        <f t="shared" si="144"/>
        <v>0</v>
      </c>
      <c r="Q905" s="498">
        <f t="shared" si="144"/>
        <v>0</v>
      </c>
      <c r="R905" s="498">
        <f t="shared" si="144"/>
        <v>0</v>
      </c>
      <c r="S905" s="498">
        <f t="shared" si="144"/>
        <v>0</v>
      </c>
      <c r="T905" s="498">
        <f t="shared" si="144"/>
        <v>0</v>
      </c>
      <c r="U905" s="498">
        <f t="shared" si="144"/>
        <v>0</v>
      </c>
      <c r="V905" s="211">
        <f t="shared" si="144"/>
        <v>0</v>
      </c>
      <c r="W905" s="282"/>
      <c r="X905" s="282"/>
    </row>
    <row r="906" spans="1:25" s="17" customFormat="1">
      <c r="A906" s="487">
        <v>312</v>
      </c>
      <c r="B906" s="499" t="s">
        <v>673</v>
      </c>
      <c r="C906" s="498">
        <v>1851309</v>
      </c>
      <c r="D906" s="498">
        <v>0</v>
      </c>
      <c r="E906" s="498">
        <v>0</v>
      </c>
      <c r="F906" s="498">
        <v>0</v>
      </c>
      <c r="G906" s="498">
        <v>0</v>
      </c>
      <c r="H906" s="498">
        <v>0</v>
      </c>
      <c r="I906" s="498">
        <v>0</v>
      </c>
      <c r="J906" s="498">
        <v>0</v>
      </c>
      <c r="K906" s="498">
        <v>0</v>
      </c>
      <c r="L906" s="503">
        <v>0</v>
      </c>
      <c r="M906" s="498">
        <v>0</v>
      </c>
      <c r="N906" s="492">
        <v>581</v>
      </c>
      <c r="O906" s="498">
        <v>1851309</v>
      </c>
      <c r="P906" s="503">
        <v>0</v>
      </c>
      <c r="Q906" s="498">
        <v>0</v>
      </c>
      <c r="R906" s="503">
        <v>0</v>
      </c>
      <c r="S906" s="498">
        <v>0</v>
      </c>
      <c r="T906" s="503">
        <v>0</v>
      </c>
      <c r="U906" s="504">
        <v>0</v>
      </c>
      <c r="V906" s="282"/>
      <c r="W906" s="282">
        <f>O906/N906</f>
        <v>3186.4182444061962</v>
      </c>
      <c r="X906" s="282"/>
    </row>
    <row r="907" spans="1:25" s="17" customFormat="1">
      <c r="A907" s="487"/>
      <c r="B907" s="499"/>
      <c r="C907" s="498"/>
      <c r="D907" s="498"/>
      <c r="E907" s="498"/>
      <c r="F907" s="498"/>
      <c r="G907" s="498"/>
      <c r="H907" s="498"/>
      <c r="I907" s="498"/>
      <c r="J907" s="498"/>
      <c r="K907" s="498"/>
      <c r="L907" s="503"/>
      <c r="M907" s="498"/>
      <c r="N907" s="492"/>
      <c r="O907" s="498"/>
      <c r="P907" s="503"/>
      <c r="Q907" s="498"/>
      <c r="R907" s="503"/>
      <c r="S907" s="498"/>
      <c r="T907" s="503"/>
      <c r="U907" s="504"/>
      <c r="V907" s="282"/>
      <c r="W907" s="282"/>
      <c r="X907" s="282"/>
    </row>
    <row r="908" spans="1:25" ht="30">
      <c r="A908" s="198"/>
      <c r="B908" s="214" t="s">
        <v>109</v>
      </c>
      <c r="C908" s="211">
        <v>201010</v>
      </c>
      <c r="D908" s="211"/>
      <c r="E908" s="211"/>
      <c r="F908" s="211"/>
      <c r="G908" s="211"/>
      <c r="H908" s="211"/>
      <c r="I908" s="211"/>
      <c r="J908" s="211"/>
      <c r="K908" s="211">
        <v>201010</v>
      </c>
      <c r="L908" s="212">
        <v>0</v>
      </c>
      <c r="M908" s="211">
        <v>0</v>
      </c>
      <c r="N908" s="211">
        <v>0</v>
      </c>
      <c r="O908" s="211">
        <v>0</v>
      </c>
      <c r="P908" s="213">
        <v>0</v>
      </c>
      <c r="Q908" s="211">
        <v>0</v>
      </c>
      <c r="R908" s="213">
        <v>0</v>
      </c>
      <c r="S908" s="211">
        <v>0</v>
      </c>
      <c r="T908" s="212">
        <v>0</v>
      </c>
      <c r="U908" s="290">
        <v>0</v>
      </c>
      <c r="V908" s="282"/>
      <c r="W908" s="282"/>
      <c r="X908" s="282"/>
    </row>
    <row r="909" spans="1:25">
      <c r="A909" s="198">
        <v>314</v>
      </c>
      <c r="B909" s="216" t="s">
        <v>414</v>
      </c>
      <c r="C909" s="211">
        <v>201010</v>
      </c>
      <c r="D909" s="211"/>
      <c r="E909" s="211"/>
      <c r="F909" s="211"/>
      <c r="G909" s="211"/>
      <c r="H909" s="211"/>
      <c r="I909" s="211"/>
      <c r="J909" s="211"/>
      <c r="K909" s="211">
        <v>201010</v>
      </c>
      <c r="L909" s="212">
        <v>0</v>
      </c>
      <c r="M909" s="211">
        <v>0</v>
      </c>
      <c r="N909" s="211">
        <v>0</v>
      </c>
      <c r="O909" s="211">
        <v>0</v>
      </c>
      <c r="P909" s="213">
        <v>0</v>
      </c>
      <c r="Q909" s="211">
        <v>0</v>
      </c>
      <c r="R909" s="213">
        <v>0</v>
      </c>
      <c r="S909" s="211">
        <v>0</v>
      </c>
      <c r="T909" s="212">
        <v>0</v>
      </c>
      <c r="U909" s="290">
        <v>0</v>
      </c>
      <c r="V909" s="282"/>
      <c r="W909" s="282"/>
      <c r="X909" s="282"/>
    </row>
    <row r="910" spans="1:25" ht="30">
      <c r="A910" s="198"/>
      <c r="B910" s="214" t="s">
        <v>198</v>
      </c>
      <c r="C910" s="211">
        <v>1091336</v>
      </c>
      <c r="D910" s="211"/>
      <c r="E910" s="211"/>
      <c r="F910" s="211"/>
      <c r="G910" s="211"/>
      <c r="H910" s="211"/>
      <c r="I910" s="211"/>
      <c r="J910" s="211"/>
      <c r="K910" s="211">
        <v>0</v>
      </c>
      <c r="L910" s="212">
        <v>0</v>
      </c>
      <c r="M910" s="211">
        <v>0</v>
      </c>
      <c r="N910" s="211">
        <v>554.41999999999996</v>
      </c>
      <c r="O910" s="211">
        <v>1091336</v>
      </c>
      <c r="P910" s="213">
        <v>0</v>
      </c>
      <c r="Q910" s="211">
        <v>0</v>
      </c>
      <c r="R910" s="213">
        <v>0</v>
      </c>
      <c r="S910" s="211">
        <v>0</v>
      </c>
      <c r="T910" s="212">
        <v>0</v>
      </c>
      <c r="U910" s="290">
        <v>0</v>
      </c>
      <c r="V910" s="282"/>
      <c r="W910" s="282"/>
      <c r="X910" s="282"/>
    </row>
    <row r="911" spans="1:25" ht="30">
      <c r="A911" s="198">
        <v>315</v>
      </c>
      <c r="B911" s="214" t="s">
        <v>444</v>
      </c>
      <c r="C911" s="211">
        <v>1091336</v>
      </c>
      <c r="D911" s="211"/>
      <c r="E911" s="211"/>
      <c r="F911" s="211"/>
      <c r="G911" s="211"/>
      <c r="H911" s="211"/>
      <c r="I911" s="211"/>
      <c r="J911" s="211"/>
      <c r="K911" s="211">
        <v>0</v>
      </c>
      <c r="L911" s="212">
        <v>0</v>
      </c>
      <c r="M911" s="211">
        <v>0</v>
      </c>
      <c r="N911" s="211">
        <v>554.41999999999996</v>
      </c>
      <c r="O911" s="211">
        <v>1091336</v>
      </c>
      <c r="P911" s="213">
        <v>0</v>
      </c>
      <c r="Q911" s="211">
        <v>0</v>
      </c>
      <c r="R911" s="213">
        <v>0</v>
      </c>
      <c r="S911" s="211">
        <v>0</v>
      </c>
      <c r="T911" s="212">
        <v>0</v>
      </c>
      <c r="U911" s="290">
        <v>0</v>
      </c>
      <c r="V911" s="282"/>
      <c r="W911" s="282"/>
      <c r="X911" s="282"/>
    </row>
    <row r="912" spans="1:25" s="17" customFormat="1">
      <c r="A912" s="198"/>
      <c r="B912" s="216" t="s">
        <v>53</v>
      </c>
      <c r="C912" s="211">
        <f>C913+C929+C931+C934+C941+C943+C946+C948</f>
        <v>46439075.920000002</v>
      </c>
      <c r="D912" s="211">
        <f t="shared" ref="D912:V912" si="145">D913+D929+D931+D934+D941+D943+D946+D948</f>
        <v>0</v>
      </c>
      <c r="E912" s="211">
        <f t="shared" si="145"/>
        <v>0</v>
      </c>
      <c r="F912" s="211">
        <f t="shared" si="145"/>
        <v>0</v>
      </c>
      <c r="G912" s="211">
        <f t="shared" si="145"/>
        <v>0</v>
      </c>
      <c r="H912" s="211">
        <f t="shared" si="145"/>
        <v>0</v>
      </c>
      <c r="I912" s="211">
        <f t="shared" si="145"/>
        <v>0</v>
      </c>
      <c r="J912" s="211">
        <f t="shared" si="145"/>
        <v>0</v>
      </c>
      <c r="K912" s="211">
        <f t="shared" si="145"/>
        <v>0</v>
      </c>
      <c r="L912" s="211">
        <f t="shared" si="145"/>
        <v>15</v>
      </c>
      <c r="M912" s="211">
        <f t="shared" si="145"/>
        <v>29383642</v>
      </c>
      <c r="N912" s="211">
        <f t="shared" si="145"/>
        <v>5801.5</v>
      </c>
      <c r="O912" s="211">
        <f t="shared" si="145"/>
        <v>15367425.92</v>
      </c>
      <c r="P912" s="211">
        <f t="shared" si="145"/>
        <v>0</v>
      </c>
      <c r="Q912" s="211">
        <f t="shared" si="145"/>
        <v>0</v>
      </c>
      <c r="R912" s="211">
        <f t="shared" si="145"/>
        <v>1097.2</v>
      </c>
      <c r="S912" s="211">
        <f t="shared" si="145"/>
        <v>1688008</v>
      </c>
      <c r="T912" s="211">
        <f t="shared" si="145"/>
        <v>0</v>
      </c>
      <c r="U912" s="211">
        <f t="shared" si="145"/>
        <v>0</v>
      </c>
      <c r="V912" s="211">
        <f t="shared" si="145"/>
        <v>0</v>
      </c>
      <c r="W912" s="282"/>
      <c r="X912" s="282"/>
    </row>
    <row r="913" spans="1:32" ht="30">
      <c r="A913" s="487"/>
      <c r="B913" s="499" t="s">
        <v>88</v>
      </c>
      <c r="C913" s="498">
        <f>C914+C915+C916+C917+C918+C919</f>
        <v>29383642</v>
      </c>
      <c r="D913" s="498">
        <f t="shared" ref="D913:U913" si="146">D914+D915+D916+D917+D918+D919</f>
        <v>0</v>
      </c>
      <c r="E913" s="498">
        <f t="shared" si="146"/>
        <v>0</v>
      </c>
      <c r="F913" s="498">
        <f t="shared" si="146"/>
        <v>0</v>
      </c>
      <c r="G913" s="498">
        <f t="shared" si="146"/>
        <v>0</v>
      </c>
      <c r="H913" s="498">
        <f t="shared" si="146"/>
        <v>0</v>
      </c>
      <c r="I913" s="498">
        <f t="shared" si="146"/>
        <v>0</v>
      </c>
      <c r="J913" s="498">
        <f t="shared" si="146"/>
        <v>0</v>
      </c>
      <c r="K913" s="498">
        <f t="shared" si="146"/>
        <v>0</v>
      </c>
      <c r="L913" s="498">
        <f t="shared" si="146"/>
        <v>15</v>
      </c>
      <c r="M913" s="498">
        <f t="shared" si="146"/>
        <v>29383642</v>
      </c>
      <c r="N913" s="498">
        <f t="shared" si="146"/>
        <v>0</v>
      </c>
      <c r="O913" s="498">
        <f t="shared" si="146"/>
        <v>0</v>
      </c>
      <c r="P913" s="498">
        <f t="shared" si="146"/>
        <v>0</v>
      </c>
      <c r="Q913" s="498">
        <f t="shared" si="146"/>
        <v>0</v>
      </c>
      <c r="R913" s="498">
        <f t="shared" si="146"/>
        <v>0</v>
      </c>
      <c r="S913" s="498">
        <f t="shared" si="146"/>
        <v>0</v>
      </c>
      <c r="T913" s="498">
        <f t="shared" si="146"/>
        <v>0</v>
      </c>
      <c r="U913" s="498">
        <f t="shared" si="146"/>
        <v>0</v>
      </c>
      <c r="V913" s="282"/>
      <c r="W913" s="282"/>
      <c r="X913" s="282"/>
      <c r="Y913" s="10"/>
      <c r="Z913" s="10"/>
      <c r="AA913" s="10"/>
      <c r="AB913" s="10"/>
    </row>
    <row r="914" spans="1:32" s="19" customFormat="1" ht="15.75">
      <c r="A914" s="487">
        <v>316</v>
      </c>
      <c r="B914" s="851" t="s">
        <v>748</v>
      </c>
      <c r="C914" s="498">
        <f>'часть 1'!L939</f>
        <v>5877687</v>
      </c>
      <c r="D914" s="498">
        <v>0</v>
      </c>
      <c r="E914" s="498">
        <v>0</v>
      </c>
      <c r="F914" s="498">
        <v>0</v>
      </c>
      <c r="G914" s="498">
        <v>0</v>
      </c>
      <c r="H914" s="498">
        <v>0</v>
      </c>
      <c r="I914" s="498">
        <v>0</v>
      </c>
      <c r="J914" s="498">
        <v>0</v>
      </c>
      <c r="K914" s="498">
        <v>0</v>
      </c>
      <c r="L914" s="502">
        <v>3</v>
      </c>
      <c r="M914" s="498">
        <f>C914</f>
        <v>5877687</v>
      </c>
      <c r="N914" s="498">
        <v>0</v>
      </c>
      <c r="O914" s="498">
        <v>0</v>
      </c>
      <c r="P914" s="503">
        <v>0</v>
      </c>
      <c r="Q914" s="498">
        <v>0</v>
      </c>
      <c r="R914" s="503">
        <v>0</v>
      </c>
      <c r="S914" s="498">
        <v>0</v>
      </c>
      <c r="T914" s="502">
        <v>0</v>
      </c>
      <c r="U914" s="504">
        <v>0</v>
      </c>
      <c r="V914" s="282"/>
      <c r="W914" s="282"/>
      <c r="X914" s="282"/>
      <c r="Y914" s="27"/>
      <c r="Z914" s="27"/>
      <c r="AA914" s="27"/>
      <c r="AB914" s="27"/>
      <c r="AF914" s="84">
        <f>M914/L914</f>
        <v>1959229</v>
      </c>
    </row>
    <row r="915" spans="1:32" s="19" customFormat="1" ht="15.75">
      <c r="A915" s="487">
        <v>317</v>
      </c>
      <c r="B915" s="851" t="s">
        <v>749</v>
      </c>
      <c r="C915" s="498">
        <f>'часть 1'!L940</f>
        <v>3911300</v>
      </c>
      <c r="D915" s="498">
        <v>0</v>
      </c>
      <c r="E915" s="498">
        <v>0</v>
      </c>
      <c r="F915" s="498">
        <v>0</v>
      </c>
      <c r="G915" s="498">
        <v>0</v>
      </c>
      <c r="H915" s="498">
        <v>0</v>
      </c>
      <c r="I915" s="498">
        <v>0</v>
      </c>
      <c r="J915" s="498">
        <v>0</v>
      </c>
      <c r="K915" s="498">
        <v>0</v>
      </c>
      <c r="L915" s="502">
        <v>2</v>
      </c>
      <c r="M915" s="498">
        <f t="shared" ref="M915:M919" si="147">C915</f>
        <v>3911300</v>
      </c>
      <c r="N915" s="498">
        <v>0</v>
      </c>
      <c r="O915" s="498">
        <v>0</v>
      </c>
      <c r="P915" s="503">
        <v>0</v>
      </c>
      <c r="Q915" s="498">
        <v>0</v>
      </c>
      <c r="R915" s="503">
        <v>0</v>
      </c>
      <c r="S915" s="498">
        <v>0</v>
      </c>
      <c r="T915" s="502">
        <v>0</v>
      </c>
      <c r="U915" s="504">
        <v>0</v>
      </c>
      <c r="V915" s="282"/>
      <c r="W915" s="282"/>
      <c r="X915" s="282"/>
      <c r="Y915" s="27"/>
      <c r="Z915" s="27"/>
      <c r="AA915" s="27"/>
      <c r="AB915" s="27"/>
      <c r="AF915" s="84">
        <f t="shared" ref="AF915:AF919" si="148">M915/L915</f>
        <v>1955650</v>
      </c>
    </row>
    <row r="916" spans="1:32" s="19" customFormat="1" ht="15.75">
      <c r="A916" s="487">
        <v>318</v>
      </c>
      <c r="B916" s="851" t="s">
        <v>750</v>
      </c>
      <c r="C916" s="498">
        <f>'часть 1'!L941</f>
        <v>5873712</v>
      </c>
      <c r="D916" s="507">
        <v>0</v>
      </c>
      <c r="E916" s="507">
        <v>0</v>
      </c>
      <c r="F916" s="507">
        <v>0</v>
      </c>
      <c r="G916" s="507">
        <v>0</v>
      </c>
      <c r="H916" s="507">
        <v>0</v>
      </c>
      <c r="I916" s="507">
        <v>0</v>
      </c>
      <c r="J916" s="507">
        <v>0</v>
      </c>
      <c r="K916" s="862">
        <v>0</v>
      </c>
      <c r="L916" s="502">
        <v>3</v>
      </c>
      <c r="M916" s="498">
        <f t="shared" si="147"/>
        <v>5873712</v>
      </c>
      <c r="N916" s="507">
        <v>0</v>
      </c>
      <c r="O916" s="507">
        <v>0</v>
      </c>
      <c r="P916" s="503">
        <v>0</v>
      </c>
      <c r="Q916" s="498">
        <v>0</v>
      </c>
      <c r="R916" s="503">
        <v>0</v>
      </c>
      <c r="S916" s="498">
        <v>0</v>
      </c>
      <c r="T916" s="502">
        <v>0</v>
      </c>
      <c r="U916" s="504">
        <v>0</v>
      </c>
      <c r="V916" s="282"/>
      <c r="W916" s="282"/>
      <c r="X916" s="282"/>
      <c r="Y916" s="27"/>
      <c r="Z916" s="27"/>
      <c r="AA916" s="27"/>
      <c r="AB916" s="27"/>
      <c r="AF916" s="84">
        <f t="shared" si="148"/>
        <v>1957904</v>
      </c>
    </row>
    <row r="917" spans="1:32" s="19" customFormat="1" ht="15.75">
      <c r="A917" s="487">
        <v>319</v>
      </c>
      <c r="B917" s="851" t="s">
        <v>751</v>
      </c>
      <c r="C917" s="498">
        <f>'часть 1'!L942</f>
        <v>5872977</v>
      </c>
      <c r="D917" s="498">
        <v>0</v>
      </c>
      <c r="E917" s="498">
        <v>0</v>
      </c>
      <c r="F917" s="498">
        <v>0</v>
      </c>
      <c r="G917" s="498">
        <v>0</v>
      </c>
      <c r="H917" s="498">
        <v>0</v>
      </c>
      <c r="I917" s="498">
        <v>0</v>
      </c>
      <c r="J917" s="498">
        <v>0</v>
      </c>
      <c r="K917" s="498">
        <v>0</v>
      </c>
      <c r="L917" s="502">
        <v>3</v>
      </c>
      <c r="M917" s="498">
        <f t="shared" si="147"/>
        <v>5872977</v>
      </c>
      <c r="N917" s="498">
        <v>0</v>
      </c>
      <c r="O917" s="498">
        <v>0</v>
      </c>
      <c r="P917" s="503">
        <v>0</v>
      </c>
      <c r="Q917" s="498">
        <v>0</v>
      </c>
      <c r="R917" s="498">
        <v>0</v>
      </c>
      <c r="S917" s="498">
        <v>0</v>
      </c>
      <c r="T917" s="502">
        <v>0</v>
      </c>
      <c r="U917" s="504">
        <v>0</v>
      </c>
      <c r="V917" s="282"/>
      <c r="W917" s="282"/>
      <c r="X917" s="282"/>
      <c r="Y917" s="27"/>
      <c r="Z917" s="27"/>
      <c r="AA917" s="27"/>
      <c r="AB917" s="27"/>
      <c r="AF917" s="84">
        <f t="shared" si="148"/>
        <v>1957659</v>
      </c>
    </row>
    <row r="918" spans="1:32" s="19" customFormat="1" ht="15.75">
      <c r="A918" s="487">
        <v>320</v>
      </c>
      <c r="B918" s="851" t="s">
        <v>752</v>
      </c>
      <c r="C918" s="498">
        <f>'часть 1'!L943</f>
        <v>5882933</v>
      </c>
      <c r="D918" s="507">
        <v>0</v>
      </c>
      <c r="E918" s="507">
        <v>0</v>
      </c>
      <c r="F918" s="507">
        <v>0</v>
      </c>
      <c r="G918" s="507">
        <v>0</v>
      </c>
      <c r="H918" s="507">
        <v>0</v>
      </c>
      <c r="I918" s="507">
        <v>0</v>
      </c>
      <c r="J918" s="507">
        <v>0</v>
      </c>
      <c r="K918" s="510">
        <v>0</v>
      </c>
      <c r="L918" s="496">
        <v>3</v>
      </c>
      <c r="M918" s="498">
        <f t="shared" si="147"/>
        <v>5882933</v>
      </c>
      <c r="N918" s="498">
        <v>0</v>
      </c>
      <c r="O918" s="498">
        <v>0</v>
      </c>
      <c r="P918" s="503">
        <v>0</v>
      </c>
      <c r="Q918" s="498">
        <v>0</v>
      </c>
      <c r="R918" s="503">
        <v>0</v>
      </c>
      <c r="S918" s="498">
        <v>0</v>
      </c>
      <c r="T918" s="502">
        <v>0</v>
      </c>
      <c r="U918" s="504">
        <v>0</v>
      </c>
      <c r="V918" s="282"/>
      <c r="W918" s="282"/>
      <c r="X918" s="282"/>
      <c r="Y918" s="6"/>
      <c r="Z918" s="6"/>
      <c r="AA918" s="26"/>
      <c r="AB918" s="26"/>
      <c r="AF918" s="84">
        <f t="shared" si="148"/>
        <v>1960977.6666666667</v>
      </c>
    </row>
    <row r="919" spans="1:32" s="19" customFormat="1" ht="15.75">
      <c r="A919" s="487">
        <v>321</v>
      </c>
      <c r="B919" s="843" t="s">
        <v>753</v>
      </c>
      <c r="C919" s="498">
        <f>'часть 1'!L944</f>
        <v>1965033</v>
      </c>
      <c r="D919" s="507">
        <v>0</v>
      </c>
      <c r="E919" s="507">
        <v>0</v>
      </c>
      <c r="F919" s="507">
        <v>0</v>
      </c>
      <c r="G919" s="507">
        <v>0</v>
      </c>
      <c r="H919" s="507">
        <v>0</v>
      </c>
      <c r="I919" s="507">
        <v>0</v>
      </c>
      <c r="J919" s="507">
        <v>0</v>
      </c>
      <c r="K919" s="510">
        <v>0</v>
      </c>
      <c r="L919" s="496">
        <v>1</v>
      </c>
      <c r="M919" s="498">
        <f t="shared" si="147"/>
        <v>1965033</v>
      </c>
      <c r="N919" s="498">
        <v>0</v>
      </c>
      <c r="O919" s="498">
        <v>0</v>
      </c>
      <c r="P919" s="503">
        <v>0</v>
      </c>
      <c r="Q919" s="498">
        <v>0</v>
      </c>
      <c r="R919" s="503">
        <v>0</v>
      </c>
      <c r="S919" s="498">
        <v>0</v>
      </c>
      <c r="T919" s="502">
        <v>0</v>
      </c>
      <c r="U919" s="504">
        <v>0</v>
      </c>
      <c r="V919" s="282"/>
      <c r="W919" s="282"/>
      <c r="X919" s="282"/>
      <c r="Y919" s="6"/>
      <c r="Z919" s="6"/>
      <c r="AA919" s="26"/>
      <c r="AB919" s="26"/>
      <c r="AF919" s="84">
        <f t="shared" si="148"/>
        <v>1965033</v>
      </c>
    </row>
    <row r="920" spans="1:32" s="19" customFormat="1">
      <c r="A920" s="487"/>
      <c r="B920" s="488"/>
      <c r="C920" s="498"/>
      <c r="D920" s="507"/>
      <c r="E920" s="507"/>
      <c r="F920" s="507"/>
      <c r="G920" s="507"/>
      <c r="H920" s="507"/>
      <c r="I920" s="507"/>
      <c r="J920" s="507"/>
      <c r="K920" s="510"/>
      <c r="L920" s="496"/>
      <c r="M920" s="507"/>
      <c r="N920" s="498"/>
      <c r="O920" s="498"/>
      <c r="P920" s="503"/>
      <c r="Q920" s="498"/>
      <c r="R920" s="503"/>
      <c r="S920" s="498"/>
      <c r="T920" s="502"/>
      <c r="U920" s="504"/>
      <c r="V920" s="282"/>
      <c r="W920" s="282"/>
      <c r="X920" s="282"/>
      <c r="Y920" s="6"/>
      <c r="Z920" s="6"/>
      <c r="AA920" s="26"/>
      <c r="AB920" s="26"/>
    </row>
    <row r="921" spans="1:32" s="19" customFormat="1">
      <c r="A921" s="487"/>
      <c r="B921" s="863"/>
      <c r="C921" s="498"/>
      <c r="D921" s="498"/>
      <c r="E921" s="498"/>
      <c r="F921" s="498"/>
      <c r="G921" s="498"/>
      <c r="H921" s="498"/>
      <c r="I921" s="498"/>
      <c r="J921" s="498"/>
      <c r="K921" s="498"/>
      <c r="L921" s="502"/>
      <c r="M921" s="498"/>
      <c r="N921" s="498"/>
      <c r="O921" s="498"/>
      <c r="P921" s="503"/>
      <c r="Q921" s="498"/>
      <c r="R921" s="498"/>
      <c r="S921" s="498"/>
      <c r="T921" s="502"/>
      <c r="U921" s="504"/>
      <c r="V921" s="282"/>
      <c r="W921" s="282"/>
      <c r="X921" s="282"/>
      <c r="Y921" s="27"/>
      <c r="Z921" s="27"/>
      <c r="AA921" s="27"/>
      <c r="AB921" s="27"/>
    </row>
    <row r="922" spans="1:32" s="19" customFormat="1">
      <c r="A922" s="487"/>
      <c r="B922" s="863"/>
      <c r="C922" s="498"/>
      <c r="D922" s="507"/>
      <c r="E922" s="507"/>
      <c r="F922" s="507"/>
      <c r="G922" s="507"/>
      <c r="H922" s="507"/>
      <c r="I922" s="507"/>
      <c r="J922" s="507"/>
      <c r="K922" s="510"/>
      <c r="L922" s="496"/>
      <c r="M922" s="492"/>
      <c r="N922" s="498"/>
      <c r="O922" s="498"/>
      <c r="P922" s="503"/>
      <c r="Q922" s="498"/>
      <c r="R922" s="503"/>
      <c r="S922" s="498"/>
      <c r="T922" s="502"/>
      <c r="U922" s="504"/>
      <c r="V922" s="282"/>
      <c r="W922" s="282"/>
      <c r="X922" s="282"/>
      <c r="Y922" s="6"/>
      <c r="Z922" s="6"/>
      <c r="AA922" s="26"/>
      <c r="AB922" s="26"/>
    </row>
    <row r="923" spans="1:32" s="19" customFormat="1">
      <c r="A923" s="487"/>
      <c r="B923" s="488"/>
      <c r="C923" s="498"/>
      <c r="D923" s="507"/>
      <c r="E923" s="507"/>
      <c r="F923" s="507"/>
      <c r="G923" s="507"/>
      <c r="H923" s="507"/>
      <c r="I923" s="507"/>
      <c r="J923" s="507"/>
      <c r="K923" s="510"/>
      <c r="L923" s="496"/>
      <c r="M923" s="507"/>
      <c r="N923" s="498"/>
      <c r="O923" s="498"/>
      <c r="P923" s="503"/>
      <c r="Q923" s="498"/>
      <c r="R923" s="503"/>
      <c r="S923" s="498"/>
      <c r="T923" s="502"/>
      <c r="U923" s="504"/>
      <c r="V923" s="282"/>
      <c r="W923" s="282"/>
      <c r="X923" s="282"/>
      <c r="Y923" s="6"/>
      <c r="Z923" s="6"/>
      <c r="AA923" s="26"/>
      <c r="AB923" s="26"/>
    </row>
    <row r="924" spans="1:32" s="19" customFormat="1">
      <c r="A924" s="487"/>
      <c r="B924" s="499"/>
      <c r="C924" s="507"/>
      <c r="D924" s="507"/>
      <c r="E924" s="507"/>
      <c r="F924" s="507"/>
      <c r="G924" s="507"/>
      <c r="H924" s="507"/>
      <c r="I924" s="507"/>
      <c r="J924" s="507"/>
      <c r="K924" s="510"/>
      <c r="L924" s="496"/>
      <c r="M924" s="510"/>
      <c r="N924" s="498"/>
      <c r="O924" s="498"/>
      <c r="P924" s="503"/>
      <c r="Q924" s="498"/>
      <c r="R924" s="503"/>
      <c r="S924" s="498"/>
      <c r="T924" s="502"/>
      <c r="U924" s="504"/>
      <c r="V924" s="282"/>
      <c r="W924" s="282"/>
      <c r="X924" s="282"/>
      <c r="Y924" s="6"/>
      <c r="Z924" s="6"/>
      <c r="AA924" s="26"/>
      <c r="AB924" s="26"/>
    </row>
    <row r="925" spans="1:32" s="19" customFormat="1">
      <c r="A925" s="487"/>
      <c r="B925" s="660"/>
      <c r="C925" s="507"/>
      <c r="D925" s="507"/>
      <c r="E925" s="507"/>
      <c r="F925" s="507"/>
      <c r="G925" s="507"/>
      <c r="H925" s="507"/>
      <c r="I925" s="507"/>
      <c r="J925" s="507"/>
      <c r="K925" s="507"/>
      <c r="L925" s="502"/>
      <c r="M925" s="498"/>
      <c r="N925" s="498"/>
      <c r="O925" s="498"/>
      <c r="P925" s="503"/>
      <c r="Q925" s="498"/>
      <c r="R925" s="503"/>
      <c r="S925" s="498"/>
      <c r="T925" s="502"/>
      <c r="U925" s="504"/>
      <c r="V925" s="282"/>
      <c r="W925" s="282"/>
      <c r="X925" s="282"/>
      <c r="Y925" s="27"/>
      <c r="Z925" s="27"/>
      <c r="AA925" s="27"/>
      <c r="AB925" s="27"/>
    </row>
    <row r="926" spans="1:32" s="19" customFormat="1">
      <c r="A926" s="487"/>
      <c r="B926" s="499"/>
      <c r="C926" s="507"/>
      <c r="D926" s="507"/>
      <c r="E926" s="507"/>
      <c r="F926" s="507"/>
      <c r="G926" s="507"/>
      <c r="H926" s="507"/>
      <c r="I926" s="507"/>
      <c r="J926" s="507"/>
      <c r="K926" s="510"/>
      <c r="L926" s="496"/>
      <c r="M926" s="510"/>
      <c r="N926" s="498"/>
      <c r="O926" s="498"/>
      <c r="P926" s="503"/>
      <c r="Q926" s="498"/>
      <c r="R926" s="503"/>
      <c r="S926" s="498"/>
      <c r="T926" s="502"/>
      <c r="U926" s="504"/>
      <c r="V926" s="282"/>
      <c r="W926" s="282"/>
      <c r="X926" s="282"/>
      <c r="Y926" s="6"/>
      <c r="Z926" s="6"/>
      <c r="AA926" s="26"/>
      <c r="AB926" s="26"/>
    </row>
    <row r="927" spans="1:32" s="19" customFormat="1">
      <c r="A927" s="487"/>
      <c r="B927" s="499"/>
      <c r="C927" s="507"/>
      <c r="D927" s="507"/>
      <c r="E927" s="507"/>
      <c r="F927" s="507"/>
      <c r="G927" s="507"/>
      <c r="H927" s="507"/>
      <c r="I927" s="507"/>
      <c r="J927" s="507"/>
      <c r="K927" s="510"/>
      <c r="L927" s="496"/>
      <c r="M927" s="507"/>
      <c r="N927" s="498"/>
      <c r="O927" s="498"/>
      <c r="P927" s="503"/>
      <c r="Q927" s="498"/>
      <c r="R927" s="503"/>
      <c r="S927" s="498"/>
      <c r="T927" s="502"/>
      <c r="U927" s="504"/>
      <c r="V927" s="282"/>
      <c r="W927" s="282"/>
      <c r="X927" s="282"/>
      <c r="Y927" s="6"/>
      <c r="Z927" s="6"/>
      <c r="AA927" s="26"/>
      <c r="AB927" s="26"/>
    </row>
    <row r="928" spans="1:32" s="19" customFormat="1">
      <c r="A928" s="487"/>
      <c r="B928" s="661"/>
      <c r="C928" s="498"/>
      <c r="D928" s="498"/>
      <c r="E928" s="498"/>
      <c r="F928" s="498"/>
      <c r="G928" s="498"/>
      <c r="H928" s="498"/>
      <c r="I928" s="498"/>
      <c r="J928" s="498"/>
      <c r="K928" s="498"/>
      <c r="L928" s="502"/>
      <c r="M928" s="498"/>
      <c r="N928" s="498"/>
      <c r="O928" s="498"/>
      <c r="P928" s="503"/>
      <c r="Q928" s="498"/>
      <c r="R928" s="498"/>
      <c r="S928" s="498"/>
      <c r="T928" s="502"/>
      <c r="U928" s="504"/>
      <c r="V928" s="282"/>
      <c r="W928" s="282"/>
      <c r="X928" s="282"/>
      <c r="Y928" s="27"/>
      <c r="Z928" s="27"/>
      <c r="AA928" s="27"/>
      <c r="AB928" s="27"/>
    </row>
    <row r="929" spans="1:28" ht="30">
      <c r="A929" s="198"/>
      <c r="B929" s="214" t="s">
        <v>132</v>
      </c>
      <c r="C929" s="211">
        <f>C930</f>
        <v>1107622</v>
      </c>
      <c r="D929" s="211">
        <f t="shared" ref="D929:U929" si="149">D930</f>
        <v>0</v>
      </c>
      <c r="E929" s="211">
        <f t="shared" si="149"/>
        <v>0</v>
      </c>
      <c r="F929" s="211">
        <f t="shared" si="149"/>
        <v>0</v>
      </c>
      <c r="G929" s="211">
        <f t="shared" si="149"/>
        <v>0</v>
      </c>
      <c r="H929" s="211">
        <f t="shared" si="149"/>
        <v>0</v>
      </c>
      <c r="I929" s="211">
        <f t="shared" si="149"/>
        <v>0</v>
      </c>
      <c r="J929" s="211">
        <f t="shared" si="149"/>
        <v>0</v>
      </c>
      <c r="K929" s="211">
        <f t="shared" si="149"/>
        <v>0</v>
      </c>
      <c r="L929" s="211">
        <f t="shared" si="149"/>
        <v>0</v>
      </c>
      <c r="M929" s="211">
        <f t="shared" si="149"/>
        <v>0</v>
      </c>
      <c r="N929" s="211">
        <f t="shared" si="149"/>
        <v>0</v>
      </c>
      <c r="O929" s="211">
        <f t="shared" si="149"/>
        <v>0</v>
      </c>
      <c r="P929" s="211">
        <f t="shared" si="149"/>
        <v>0</v>
      </c>
      <c r="Q929" s="211">
        <f t="shared" si="149"/>
        <v>0</v>
      </c>
      <c r="R929" s="211">
        <f t="shared" si="149"/>
        <v>726.2</v>
      </c>
      <c r="S929" s="211">
        <f t="shared" si="149"/>
        <v>1107622</v>
      </c>
      <c r="T929" s="211">
        <f t="shared" si="149"/>
        <v>0</v>
      </c>
      <c r="U929" s="211">
        <f t="shared" si="149"/>
        <v>0</v>
      </c>
      <c r="V929" s="282"/>
      <c r="W929" s="282"/>
      <c r="X929" s="282"/>
      <c r="Y929" s="10"/>
      <c r="Z929" s="10"/>
      <c r="AA929" s="10"/>
      <c r="AB929" s="10"/>
    </row>
    <row r="930" spans="1:28" ht="30">
      <c r="A930" s="487">
        <v>331</v>
      </c>
      <c r="B930" s="499" t="s">
        <v>701</v>
      </c>
      <c r="C930" s="498">
        <f>'часть 1'!L946</f>
        <v>1107622</v>
      </c>
      <c r="D930" s="498">
        <v>0</v>
      </c>
      <c r="E930" s="498">
        <v>0</v>
      </c>
      <c r="F930" s="498">
        <v>0</v>
      </c>
      <c r="G930" s="498">
        <v>0</v>
      </c>
      <c r="H930" s="498">
        <v>0</v>
      </c>
      <c r="I930" s="498">
        <v>0</v>
      </c>
      <c r="J930" s="498">
        <v>0</v>
      </c>
      <c r="K930" s="498">
        <v>0</v>
      </c>
      <c r="L930" s="502">
        <v>0</v>
      </c>
      <c r="M930" s="498">
        <v>0</v>
      </c>
      <c r="N930" s="498">
        <v>0</v>
      </c>
      <c r="O930" s="498">
        <v>0</v>
      </c>
      <c r="P930" s="503">
        <v>0</v>
      </c>
      <c r="Q930" s="498">
        <v>0</v>
      </c>
      <c r="R930" s="819">
        <v>726.2</v>
      </c>
      <c r="S930" s="498">
        <v>1107622</v>
      </c>
      <c r="T930" s="502">
        <v>0</v>
      </c>
      <c r="U930" s="504">
        <v>0</v>
      </c>
      <c r="V930" s="282"/>
      <c r="W930" s="282"/>
      <c r="X930" s="282">
        <f>S930/R930</f>
        <v>1525.2299641971908</v>
      </c>
      <c r="Y930" s="10"/>
      <c r="Z930" s="10"/>
      <c r="AA930" s="10"/>
      <c r="AB930" s="10"/>
    </row>
    <row r="931" spans="1:28" ht="30">
      <c r="A931" s="198"/>
      <c r="B931" s="214" t="s">
        <v>110</v>
      </c>
      <c r="C931" s="211">
        <f>C932</f>
        <v>2348226</v>
      </c>
      <c r="D931" s="211">
        <f t="shared" ref="D931:U931" si="150">D932</f>
        <v>0</v>
      </c>
      <c r="E931" s="211">
        <f t="shared" si="150"/>
        <v>0</v>
      </c>
      <c r="F931" s="211">
        <f t="shared" si="150"/>
        <v>0</v>
      </c>
      <c r="G931" s="211">
        <f t="shared" si="150"/>
        <v>0</v>
      </c>
      <c r="H931" s="211">
        <f t="shared" si="150"/>
        <v>0</v>
      </c>
      <c r="I931" s="211">
        <f t="shared" si="150"/>
        <v>0</v>
      </c>
      <c r="J931" s="211">
        <f t="shared" si="150"/>
        <v>0</v>
      </c>
      <c r="K931" s="211">
        <f t="shared" si="150"/>
        <v>0</v>
      </c>
      <c r="L931" s="211">
        <f t="shared" si="150"/>
        <v>0</v>
      </c>
      <c r="M931" s="211">
        <f t="shared" si="150"/>
        <v>0</v>
      </c>
      <c r="N931" s="211">
        <f t="shared" si="150"/>
        <v>738</v>
      </c>
      <c r="O931" s="211">
        <f t="shared" si="150"/>
        <v>2348226</v>
      </c>
      <c r="P931" s="211">
        <f t="shared" si="150"/>
        <v>0</v>
      </c>
      <c r="Q931" s="211">
        <f t="shared" si="150"/>
        <v>0</v>
      </c>
      <c r="R931" s="211">
        <f t="shared" si="150"/>
        <v>0</v>
      </c>
      <c r="S931" s="211">
        <f t="shared" si="150"/>
        <v>0</v>
      </c>
      <c r="T931" s="211">
        <f t="shared" si="150"/>
        <v>0</v>
      </c>
      <c r="U931" s="211">
        <f t="shared" si="150"/>
        <v>0</v>
      </c>
      <c r="V931" s="282"/>
      <c r="W931" s="282"/>
      <c r="X931" s="282"/>
      <c r="Y931" s="10"/>
      <c r="Z931" s="10"/>
      <c r="AA931" s="10"/>
      <c r="AB931" s="10"/>
    </row>
    <row r="932" spans="1:28">
      <c r="A932" s="487">
        <v>332</v>
      </c>
      <c r="B932" s="505" t="s">
        <v>475</v>
      </c>
      <c r="C932" s="498">
        <v>2348226</v>
      </c>
      <c r="D932" s="498">
        <v>0</v>
      </c>
      <c r="E932" s="498">
        <v>0</v>
      </c>
      <c r="F932" s="498">
        <v>0</v>
      </c>
      <c r="G932" s="498">
        <v>0</v>
      </c>
      <c r="H932" s="498">
        <v>0</v>
      </c>
      <c r="I932" s="498">
        <v>0</v>
      </c>
      <c r="J932" s="498">
        <v>0</v>
      </c>
      <c r="K932" s="498">
        <v>0</v>
      </c>
      <c r="L932" s="502">
        <v>0</v>
      </c>
      <c r="M932" s="498">
        <v>0</v>
      </c>
      <c r="N932" s="492">
        <v>738</v>
      </c>
      <c r="O932" s="498">
        <v>2348226</v>
      </c>
      <c r="P932" s="503">
        <v>0</v>
      </c>
      <c r="Q932" s="498">
        <v>0</v>
      </c>
      <c r="R932" s="503">
        <v>0</v>
      </c>
      <c r="S932" s="498">
        <v>0</v>
      </c>
      <c r="T932" s="502">
        <v>0</v>
      </c>
      <c r="U932" s="504">
        <v>0</v>
      </c>
      <c r="V932" s="282"/>
      <c r="W932" s="282">
        <f>O932/N932</f>
        <v>3181.8780487804879</v>
      </c>
      <c r="X932" s="282"/>
    </row>
    <row r="933" spans="1:28">
      <c r="A933" s="487"/>
      <c r="B933" s="499"/>
      <c r="C933" s="498"/>
      <c r="D933" s="498"/>
      <c r="E933" s="498"/>
      <c r="F933" s="498"/>
      <c r="G933" s="498"/>
      <c r="H933" s="498"/>
      <c r="I933" s="498"/>
      <c r="J933" s="498"/>
      <c r="K933" s="498"/>
      <c r="L933" s="502"/>
      <c r="M933" s="498"/>
      <c r="N933" s="498"/>
      <c r="O933" s="498"/>
      <c r="P933" s="503"/>
      <c r="Q933" s="498"/>
      <c r="R933" s="503"/>
      <c r="S933" s="498"/>
      <c r="T933" s="502"/>
      <c r="U933" s="504"/>
      <c r="V933" s="282"/>
      <c r="W933" s="282"/>
      <c r="X933" s="282"/>
    </row>
    <row r="934" spans="1:28" ht="30">
      <c r="A934" s="487"/>
      <c r="B934" s="499" t="s">
        <v>128</v>
      </c>
      <c r="C934" s="498">
        <f>C935+C936+C937+C938</f>
        <v>9209860</v>
      </c>
      <c r="D934" s="498">
        <f t="shared" ref="D934:V934" si="151">D935+D936+D937+D938</f>
        <v>0</v>
      </c>
      <c r="E934" s="498">
        <f t="shared" si="151"/>
        <v>0</v>
      </c>
      <c r="F934" s="498">
        <f t="shared" si="151"/>
        <v>0</v>
      </c>
      <c r="G934" s="498">
        <f t="shared" si="151"/>
        <v>0</v>
      </c>
      <c r="H934" s="498">
        <f t="shared" si="151"/>
        <v>0</v>
      </c>
      <c r="I934" s="498">
        <f t="shared" si="151"/>
        <v>0</v>
      </c>
      <c r="J934" s="498">
        <f t="shared" si="151"/>
        <v>0</v>
      </c>
      <c r="K934" s="498">
        <f t="shared" si="151"/>
        <v>0</v>
      </c>
      <c r="L934" s="498">
        <f t="shared" si="151"/>
        <v>0</v>
      </c>
      <c r="M934" s="498">
        <f t="shared" si="151"/>
        <v>0</v>
      </c>
      <c r="N934" s="498">
        <f t="shared" si="151"/>
        <v>3686.6</v>
      </c>
      <c r="O934" s="498">
        <f t="shared" si="151"/>
        <v>9209860</v>
      </c>
      <c r="P934" s="498">
        <f t="shared" si="151"/>
        <v>0</v>
      </c>
      <c r="Q934" s="498">
        <f t="shared" si="151"/>
        <v>0</v>
      </c>
      <c r="R934" s="498">
        <f t="shared" si="151"/>
        <v>0</v>
      </c>
      <c r="S934" s="498">
        <f t="shared" si="151"/>
        <v>0</v>
      </c>
      <c r="T934" s="498">
        <f t="shared" si="151"/>
        <v>0</v>
      </c>
      <c r="U934" s="498">
        <f t="shared" si="151"/>
        <v>0</v>
      </c>
      <c r="V934" s="211">
        <f t="shared" si="151"/>
        <v>0</v>
      </c>
      <c r="W934" s="282"/>
      <c r="X934" s="282"/>
    </row>
    <row r="935" spans="1:28" s="59" customFormat="1">
      <c r="A935" s="487">
        <v>334</v>
      </c>
      <c r="B935" s="804" t="s">
        <v>725</v>
      </c>
      <c r="C935" s="507">
        <f>'часть 1'!L950</f>
        <v>2620143</v>
      </c>
      <c r="D935" s="507">
        <v>0</v>
      </c>
      <c r="E935" s="507">
        <v>0</v>
      </c>
      <c r="F935" s="507">
        <v>0</v>
      </c>
      <c r="G935" s="507">
        <v>0</v>
      </c>
      <c r="H935" s="507">
        <v>0</v>
      </c>
      <c r="I935" s="507">
        <v>0</v>
      </c>
      <c r="J935" s="507">
        <v>0</v>
      </c>
      <c r="K935" s="507">
        <v>0</v>
      </c>
      <c r="L935" s="508">
        <v>0</v>
      </c>
      <c r="M935" s="507">
        <v>0</v>
      </c>
      <c r="N935" s="492">
        <v>1047</v>
      </c>
      <c r="O935" s="507">
        <v>2620143</v>
      </c>
      <c r="P935" s="508">
        <v>0</v>
      </c>
      <c r="Q935" s="507">
        <v>0</v>
      </c>
      <c r="R935" s="508">
        <v>0</v>
      </c>
      <c r="S935" s="507">
        <v>0</v>
      </c>
      <c r="T935" s="640">
        <v>0</v>
      </c>
      <c r="U935" s="641">
        <v>0</v>
      </c>
      <c r="V935" s="282"/>
      <c r="W935" s="282">
        <f>O935/N935</f>
        <v>2502.5243553008595</v>
      </c>
      <c r="X935" s="282"/>
    </row>
    <row r="936" spans="1:28" s="59" customFormat="1">
      <c r="A936" s="487">
        <v>335</v>
      </c>
      <c r="B936" s="804" t="s">
        <v>726</v>
      </c>
      <c r="C936" s="507">
        <f>'часть 1'!L951</f>
        <v>3158092</v>
      </c>
      <c r="D936" s="507">
        <v>0</v>
      </c>
      <c r="E936" s="507">
        <v>0</v>
      </c>
      <c r="F936" s="507">
        <v>0</v>
      </c>
      <c r="G936" s="507">
        <v>0</v>
      </c>
      <c r="H936" s="507">
        <v>0</v>
      </c>
      <c r="I936" s="507">
        <v>0</v>
      </c>
      <c r="J936" s="507">
        <v>0</v>
      </c>
      <c r="K936" s="507">
        <v>0</v>
      </c>
      <c r="L936" s="508">
        <v>0</v>
      </c>
      <c r="M936" s="507">
        <v>0</v>
      </c>
      <c r="N936" s="492">
        <v>1263.5999999999999</v>
      </c>
      <c r="O936" s="507">
        <v>3158092</v>
      </c>
      <c r="P936" s="508">
        <v>0</v>
      </c>
      <c r="Q936" s="507">
        <v>0</v>
      </c>
      <c r="R936" s="508">
        <v>0</v>
      </c>
      <c r="S936" s="507">
        <v>0</v>
      </c>
      <c r="T936" s="640">
        <v>0</v>
      </c>
      <c r="U936" s="641">
        <v>0</v>
      </c>
      <c r="V936" s="282"/>
      <c r="W936" s="282">
        <f t="shared" ref="W936:W938" si="152">O936/N936</f>
        <v>2499.2814181703075</v>
      </c>
      <c r="X936" s="282"/>
    </row>
    <row r="937" spans="1:28" s="59" customFormat="1">
      <c r="A937" s="487">
        <v>336</v>
      </c>
      <c r="B937" s="804" t="s">
        <v>727</v>
      </c>
      <c r="C937" s="507">
        <f>'часть 1'!L952</f>
        <v>1623752</v>
      </c>
      <c r="D937" s="507">
        <v>0</v>
      </c>
      <c r="E937" s="507">
        <v>0</v>
      </c>
      <c r="F937" s="507">
        <v>0</v>
      </c>
      <c r="G937" s="507">
        <v>0</v>
      </c>
      <c r="H937" s="507">
        <v>0</v>
      </c>
      <c r="I937" s="507">
        <v>0</v>
      </c>
      <c r="J937" s="507">
        <v>0</v>
      </c>
      <c r="K937" s="507">
        <v>0</v>
      </c>
      <c r="L937" s="508">
        <v>0</v>
      </c>
      <c r="M937" s="507">
        <v>0</v>
      </c>
      <c r="N937" s="492">
        <v>650</v>
      </c>
      <c r="O937" s="507">
        <v>1623752</v>
      </c>
      <c r="P937" s="508">
        <v>0</v>
      </c>
      <c r="Q937" s="507">
        <v>0</v>
      </c>
      <c r="R937" s="508">
        <v>0</v>
      </c>
      <c r="S937" s="507">
        <v>0</v>
      </c>
      <c r="T937" s="640">
        <v>0</v>
      </c>
      <c r="U937" s="641">
        <v>0</v>
      </c>
      <c r="V937" s="282"/>
      <c r="W937" s="282">
        <f t="shared" si="152"/>
        <v>2498.08</v>
      </c>
      <c r="X937" s="282"/>
    </row>
    <row r="938" spans="1:28" s="59" customFormat="1">
      <c r="A938" s="487">
        <v>337</v>
      </c>
      <c r="B938" s="804" t="s">
        <v>728</v>
      </c>
      <c r="C938" s="507">
        <f>'часть 1'!L953</f>
        <v>1807873</v>
      </c>
      <c r="D938" s="507">
        <v>0</v>
      </c>
      <c r="E938" s="507">
        <v>0</v>
      </c>
      <c r="F938" s="507">
        <v>0</v>
      </c>
      <c r="G938" s="507">
        <v>0</v>
      </c>
      <c r="H938" s="507">
        <v>0</v>
      </c>
      <c r="I938" s="507">
        <v>0</v>
      </c>
      <c r="J938" s="507">
        <v>0</v>
      </c>
      <c r="K938" s="507">
        <v>0</v>
      </c>
      <c r="L938" s="508">
        <v>0</v>
      </c>
      <c r="M938" s="507">
        <v>0</v>
      </c>
      <c r="N938" s="492">
        <v>726</v>
      </c>
      <c r="O938" s="507">
        <v>1807873</v>
      </c>
      <c r="P938" s="508">
        <v>0</v>
      </c>
      <c r="Q938" s="507">
        <v>0</v>
      </c>
      <c r="R938" s="508">
        <v>0</v>
      </c>
      <c r="S938" s="507">
        <v>0</v>
      </c>
      <c r="T938" s="640">
        <v>0</v>
      </c>
      <c r="U938" s="641">
        <v>0</v>
      </c>
      <c r="V938" s="282"/>
      <c r="W938" s="282">
        <f t="shared" si="152"/>
        <v>2490.1831955922867</v>
      </c>
      <c r="X938" s="282"/>
    </row>
    <row r="939" spans="1:28" s="59" customFormat="1">
      <c r="A939" s="487"/>
      <c r="B939" s="506"/>
      <c r="C939" s="507"/>
      <c r="D939" s="507"/>
      <c r="E939" s="507"/>
      <c r="F939" s="507"/>
      <c r="G939" s="507"/>
      <c r="H939" s="507"/>
      <c r="I939" s="507"/>
      <c r="J939" s="507"/>
      <c r="K939" s="507"/>
      <c r="L939" s="508"/>
      <c r="M939" s="507"/>
      <c r="N939" s="492"/>
      <c r="O939" s="507"/>
      <c r="P939" s="508"/>
      <c r="Q939" s="507"/>
      <c r="R939" s="508"/>
      <c r="S939" s="507"/>
      <c r="T939" s="640"/>
      <c r="U939" s="641"/>
      <c r="V939" s="282"/>
      <c r="W939" s="282"/>
      <c r="X939" s="282"/>
    </row>
    <row r="940" spans="1:28" s="59" customFormat="1">
      <c r="A940" s="487"/>
      <c r="B940" s="506"/>
      <c r="C940" s="507"/>
      <c r="D940" s="507"/>
      <c r="E940" s="507"/>
      <c r="F940" s="507"/>
      <c r="G940" s="507"/>
      <c r="H940" s="507"/>
      <c r="I940" s="507"/>
      <c r="J940" s="507"/>
      <c r="K940" s="507"/>
      <c r="L940" s="508"/>
      <c r="M940" s="507"/>
      <c r="N940" s="492"/>
      <c r="O940" s="507"/>
      <c r="P940" s="508"/>
      <c r="Q940" s="507"/>
      <c r="R940" s="508"/>
      <c r="S940" s="507"/>
      <c r="T940" s="640"/>
      <c r="U940" s="641"/>
      <c r="V940" s="282"/>
      <c r="W940" s="282"/>
      <c r="X940" s="282"/>
    </row>
    <row r="941" spans="1:28" s="59" customFormat="1" ht="30">
      <c r="A941" s="487"/>
      <c r="B941" s="506" t="s">
        <v>668</v>
      </c>
      <c r="C941" s="507">
        <f>C942</f>
        <v>1720569</v>
      </c>
      <c r="D941" s="507">
        <f t="shared" ref="D941:V941" si="153">D942</f>
        <v>0</v>
      </c>
      <c r="E941" s="507">
        <f t="shared" si="153"/>
        <v>0</v>
      </c>
      <c r="F941" s="507">
        <f t="shared" si="153"/>
        <v>0</v>
      </c>
      <c r="G941" s="507">
        <f t="shared" si="153"/>
        <v>0</v>
      </c>
      <c r="H941" s="507">
        <f t="shared" si="153"/>
        <v>0</v>
      </c>
      <c r="I941" s="507">
        <f t="shared" si="153"/>
        <v>0</v>
      </c>
      <c r="J941" s="507">
        <f t="shared" si="153"/>
        <v>0</v>
      </c>
      <c r="K941" s="507">
        <f t="shared" si="153"/>
        <v>0</v>
      </c>
      <c r="L941" s="507">
        <f t="shared" si="153"/>
        <v>0</v>
      </c>
      <c r="M941" s="507">
        <f t="shared" si="153"/>
        <v>0</v>
      </c>
      <c r="N941" s="507">
        <f t="shared" si="153"/>
        <v>538.9</v>
      </c>
      <c r="O941" s="507">
        <f t="shared" si="153"/>
        <v>1720569</v>
      </c>
      <c r="P941" s="507">
        <f t="shared" si="153"/>
        <v>0</v>
      </c>
      <c r="Q941" s="507">
        <f t="shared" si="153"/>
        <v>0</v>
      </c>
      <c r="R941" s="507">
        <f t="shared" si="153"/>
        <v>0</v>
      </c>
      <c r="S941" s="507">
        <f t="shared" si="153"/>
        <v>0</v>
      </c>
      <c r="T941" s="507">
        <f t="shared" si="153"/>
        <v>0</v>
      </c>
      <c r="U941" s="507">
        <f t="shared" si="153"/>
        <v>0</v>
      </c>
      <c r="V941" s="221">
        <f t="shared" si="153"/>
        <v>0</v>
      </c>
      <c r="W941" s="282"/>
      <c r="X941" s="282"/>
    </row>
    <row r="942" spans="1:28" s="59" customFormat="1">
      <c r="A942" s="487"/>
      <c r="B942" s="506" t="s">
        <v>671</v>
      </c>
      <c r="C942" s="507">
        <v>1720569</v>
      </c>
      <c r="D942" s="507">
        <v>0</v>
      </c>
      <c r="E942" s="507">
        <v>0</v>
      </c>
      <c r="F942" s="507">
        <v>0</v>
      </c>
      <c r="G942" s="507">
        <v>0</v>
      </c>
      <c r="H942" s="507">
        <v>0</v>
      </c>
      <c r="I942" s="507">
        <v>0</v>
      </c>
      <c r="J942" s="507">
        <v>0</v>
      </c>
      <c r="K942" s="507">
        <v>0</v>
      </c>
      <c r="L942" s="507">
        <v>0</v>
      </c>
      <c r="M942" s="507">
        <v>0</v>
      </c>
      <c r="N942" s="492">
        <v>538.9</v>
      </c>
      <c r="O942" s="507">
        <v>1720569</v>
      </c>
      <c r="P942" s="508">
        <v>0</v>
      </c>
      <c r="Q942" s="507">
        <v>0</v>
      </c>
      <c r="R942" s="508">
        <v>0</v>
      </c>
      <c r="S942" s="507">
        <v>0</v>
      </c>
      <c r="T942" s="640">
        <v>0</v>
      </c>
      <c r="U942" s="641">
        <v>0</v>
      </c>
      <c r="V942" s="282"/>
      <c r="W942" s="282">
        <f>O942/N942</f>
        <v>3192.7426238634257</v>
      </c>
      <c r="X942" s="282"/>
    </row>
    <row r="943" spans="1:28" ht="30">
      <c r="A943" s="198"/>
      <c r="B943" s="214" t="s">
        <v>994</v>
      </c>
      <c r="C943" s="211">
        <f>C944+C945</f>
        <v>580386</v>
      </c>
      <c r="D943" s="211">
        <f t="shared" ref="D943:U943" si="154">D944+D945</f>
        <v>0</v>
      </c>
      <c r="E943" s="211">
        <f t="shared" si="154"/>
        <v>0</v>
      </c>
      <c r="F943" s="211">
        <f t="shared" si="154"/>
        <v>0</v>
      </c>
      <c r="G943" s="211">
        <f t="shared" si="154"/>
        <v>0</v>
      </c>
      <c r="H943" s="211">
        <f t="shared" si="154"/>
        <v>0</v>
      </c>
      <c r="I943" s="211">
        <f t="shared" si="154"/>
        <v>0</v>
      </c>
      <c r="J943" s="211">
        <f t="shared" si="154"/>
        <v>0</v>
      </c>
      <c r="K943" s="211">
        <f t="shared" si="154"/>
        <v>0</v>
      </c>
      <c r="L943" s="211">
        <f t="shared" si="154"/>
        <v>0</v>
      </c>
      <c r="M943" s="211">
        <f t="shared" si="154"/>
        <v>0</v>
      </c>
      <c r="N943" s="211">
        <f t="shared" si="154"/>
        <v>0</v>
      </c>
      <c r="O943" s="211">
        <f t="shared" si="154"/>
        <v>0</v>
      </c>
      <c r="P943" s="211">
        <f t="shared" si="154"/>
        <v>0</v>
      </c>
      <c r="Q943" s="211">
        <f t="shared" si="154"/>
        <v>0</v>
      </c>
      <c r="R943" s="211">
        <f t="shared" si="154"/>
        <v>371</v>
      </c>
      <c r="S943" s="211">
        <f t="shared" si="154"/>
        <v>580386</v>
      </c>
      <c r="T943" s="211">
        <f t="shared" si="154"/>
        <v>0</v>
      </c>
      <c r="U943" s="211">
        <f t="shared" si="154"/>
        <v>0</v>
      </c>
      <c r="V943" s="211">
        <f t="shared" ref="V943" si="155">V944+V945</f>
        <v>0</v>
      </c>
      <c r="W943" s="282"/>
      <c r="X943" s="282"/>
    </row>
    <row r="944" spans="1:28" ht="25.15" customHeight="1">
      <c r="A944" s="198"/>
      <c r="B944" s="945" t="s">
        <v>996</v>
      </c>
      <c r="C944" s="211">
        <f>'часть 1'!L959</f>
        <v>290233</v>
      </c>
      <c r="D944" s="211">
        <v>0</v>
      </c>
      <c r="E944" s="211">
        <v>0</v>
      </c>
      <c r="F944" s="211">
        <v>0</v>
      </c>
      <c r="G944" s="211">
        <v>0</v>
      </c>
      <c r="H944" s="211">
        <v>0</v>
      </c>
      <c r="I944" s="211">
        <v>0</v>
      </c>
      <c r="J944" s="211">
        <v>0</v>
      </c>
      <c r="K944" s="211">
        <v>0</v>
      </c>
      <c r="L944" s="212">
        <v>0</v>
      </c>
      <c r="M944" s="211">
        <v>0</v>
      </c>
      <c r="N944" s="211">
        <v>0</v>
      </c>
      <c r="O944" s="211">
        <v>0</v>
      </c>
      <c r="P944" s="213">
        <v>0</v>
      </c>
      <c r="Q944" s="211">
        <v>0</v>
      </c>
      <c r="R944" s="211">
        <v>185.5</v>
      </c>
      <c r="S944" s="211">
        <v>290233</v>
      </c>
      <c r="T944" s="212">
        <v>0</v>
      </c>
      <c r="U944" s="290">
        <v>0</v>
      </c>
      <c r="V944" s="282"/>
      <c r="W944" s="282"/>
      <c r="X944" s="282">
        <f>S944/R944</f>
        <v>1564.5983827493262</v>
      </c>
    </row>
    <row r="945" spans="1:30" ht="22.15" customHeight="1">
      <c r="A945" s="198">
        <v>340</v>
      </c>
      <c r="B945" s="945" t="s">
        <v>997</v>
      </c>
      <c r="C945" s="211">
        <f>'часть 1'!L960</f>
        <v>290153</v>
      </c>
      <c r="D945" s="211">
        <v>0</v>
      </c>
      <c r="E945" s="211">
        <v>0</v>
      </c>
      <c r="F945" s="211">
        <v>0</v>
      </c>
      <c r="G945" s="211">
        <v>0</v>
      </c>
      <c r="H945" s="211">
        <v>0</v>
      </c>
      <c r="I945" s="211">
        <v>0</v>
      </c>
      <c r="J945" s="211">
        <v>0</v>
      </c>
      <c r="K945" s="211">
        <v>0</v>
      </c>
      <c r="L945" s="212">
        <v>0</v>
      </c>
      <c r="M945" s="211">
        <v>0</v>
      </c>
      <c r="N945" s="211">
        <v>0</v>
      </c>
      <c r="O945" s="211">
        <v>0</v>
      </c>
      <c r="P945" s="213">
        <v>0</v>
      </c>
      <c r="Q945" s="211">
        <v>0</v>
      </c>
      <c r="R945" s="211">
        <v>185.5</v>
      </c>
      <c r="S945" s="211">
        <v>290153</v>
      </c>
      <c r="T945" s="212">
        <v>0</v>
      </c>
      <c r="U945" s="290">
        <v>0</v>
      </c>
      <c r="V945" s="282"/>
      <c r="W945" s="282"/>
      <c r="X945" s="282">
        <f>S945/R945</f>
        <v>1564.167115902965</v>
      </c>
    </row>
    <row r="946" spans="1:30" ht="30">
      <c r="A946" s="198"/>
      <c r="B946" s="214" t="s">
        <v>111</v>
      </c>
      <c r="C946" s="211">
        <v>657835.92000000004</v>
      </c>
      <c r="D946" s="211"/>
      <c r="E946" s="211"/>
      <c r="F946" s="211"/>
      <c r="G946" s="211"/>
      <c r="H946" s="211"/>
      <c r="I946" s="211"/>
      <c r="J946" s="211"/>
      <c r="K946" s="211">
        <v>0</v>
      </c>
      <c r="L946" s="213">
        <v>0</v>
      </c>
      <c r="M946" s="211">
        <v>0</v>
      </c>
      <c r="N946" s="211">
        <f>N947</f>
        <v>396</v>
      </c>
      <c r="O946" s="211">
        <v>657835.92000000004</v>
      </c>
      <c r="P946" s="213">
        <v>0</v>
      </c>
      <c r="Q946" s="240">
        <v>0</v>
      </c>
      <c r="R946" s="213">
        <v>0</v>
      </c>
      <c r="S946" s="240">
        <v>0</v>
      </c>
      <c r="T946" s="212">
        <v>0</v>
      </c>
      <c r="U946" s="293">
        <v>0</v>
      </c>
      <c r="V946" s="282"/>
      <c r="W946" s="282"/>
      <c r="X946" s="282"/>
    </row>
    <row r="947" spans="1:30" ht="30">
      <c r="A947" s="198">
        <v>341</v>
      </c>
      <c r="B947" s="214" t="s">
        <v>453</v>
      </c>
      <c r="C947" s="211">
        <v>657835.92000000004</v>
      </c>
      <c r="D947" s="211"/>
      <c r="E947" s="211"/>
      <c r="F947" s="211"/>
      <c r="G947" s="211"/>
      <c r="H947" s="211"/>
      <c r="I947" s="211"/>
      <c r="J947" s="211"/>
      <c r="K947" s="211">
        <v>0</v>
      </c>
      <c r="L947" s="212">
        <v>0</v>
      </c>
      <c r="M947" s="211">
        <v>0</v>
      </c>
      <c r="N947" s="199">
        <v>396</v>
      </c>
      <c r="O947" s="211">
        <v>657835.92000000004</v>
      </c>
      <c r="P947" s="213">
        <v>0</v>
      </c>
      <c r="Q947" s="211">
        <v>0</v>
      </c>
      <c r="R947" s="213">
        <v>0</v>
      </c>
      <c r="S947" s="211">
        <v>0</v>
      </c>
      <c r="T947" s="212">
        <v>0</v>
      </c>
      <c r="U947" s="290">
        <v>0</v>
      </c>
      <c r="V947" s="282"/>
      <c r="W947" s="282"/>
      <c r="X947" s="282"/>
    </row>
    <row r="948" spans="1:30" ht="30">
      <c r="A948" s="487"/>
      <c r="B948" s="499" t="s">
        <v>129</v>
      </c>
      <c r="C948" s="498">
        <f>C949</f>
        <v>1430935</v>
      </c>
      <c r="D948" s="498">
        <f t="shared" ref="D948:V948" si="156">D949</f>
        <v>0</v>
      </c>
      <c r="E948" s="498">
        <f t="shared" si="156"/>
        <v>0</v>
      </c>
      <c r="F948" s="498">
        <f t="shared" si="156"/>
        <v>0</v>
      </c>
      <c r="G948" s="498">
        <f t="shared" si="156"/>
        <v>0</v>
      </c>
      <c r="H948" s="498">
        <f t="shared" si="156"/>
        <v>0</v>
      </c>
      <c r="I948" s="498">
        <f t="shared" si="156"/>
        <v>0</v>
      </c>
      <c r="J948" s="498">
        <f t="shared" si="156"/>
        <v>0</v>
      </c>
      <c r="K948" s="498">
        <f t="shared" si="156"/>
        <v>0</v>
      </c>
      <c r="L948" s="498">
        <f t="shared" si="156"/>
        <v>0</v>
      </c>
      <c r="M948" s="498">
        <f t="shared" si="156"/>
        <v>0</v>
      </c>
      <c r="N948" s="498">
        <f t="shared" si="156"/>
        <v>442</v>
      </c>
      <c r="O948" s="498">
        <f t="shared" si="156"/>
        <v>1430935</v>
      </c>
      <c r="P948" s="498">
        <f t="shared" si="156"/>
        <v>0</v>
      </c>
      <c r="Q948" s="498">
        <f t="shared" si="156"/>
        <v>0</v>
      </c>
      <c r="R948" s="498">
        <f t="shared" si="156"/>
        <v>0</v>
      </c>
      <c r="S948" s="498">
        <f t="shared" si="156"/>
        <v>0</v>
      </c>
      <c r="T948" s="498">
        <f t="shared" si="156"/>
        <v>0</v>
      </c>
      <c r="U948" s="498">
        <f t="shared" si="156"/>
        <v>0</v>
      </c>
      <c r="V948" s="211">
        <f t="shared" si="156"/>
        <v>0</v>
      </c>
      <c r="W948" s="282"/>
      <c r="X948" s="282"/>
    </row>
    <row r="949" spans="1:30" s="60" customFormat="1" ht="28.15" customHeight="1">
      <c r="A949" s="487">
        <v>342</v>
      </c>
      <c r="B949" s="488" t="s">
        <v>685</v>
      </c>
      <c r="C949" s="489">
        <v>1430935</v>
      </c>
      <c r="D949" s="489">
        <v>0</v>
      </c>
      <c r="E949" s="489">
        <v>0</v>
      </c>
      <c r="F949" s="489">
        <v>0</v>
      </c>
      <c r="G949" s="489">
        <v>0</v>
      </c>
      <c r="H949" s="489">
        <v>0</v>
      </c>
      <c r="I949" s="489">
        <v>0</v>
      </c>
      <c r="J949" s="489">
        <v>0</v>
      </c>
      <c r="K949" s="498">
        <v>0</v>
      </c>
      <c r="L949" s="496">
        <v>0</v>
      </c>
      <c r="M949" s="498">
        <v>0</v>
      </c>
      <c r="N949" s="492">
        <v>442</v>
      </c>
      <c r="O949" s="489">
        <v>1430935</v>
      </c>
      <c r="P949" s="572">
        <v>0</v>
      </c>
      <c r="Q949" s="498">
        <v>0</v>
      </c>
      <c r="R949" s="572">
        <v>0</v>
      </c>
      <c r="S949" s="498">
        <v>0</v>
      </c>
      <c r="T949" s="496">
        <v>0</v>
      </c>
      <c r="U949" s="504">
        <v>0</v>
      </c>
      <c r="V949" s="282"/>
      <c r="W949" s="282">
        <f>O949/N949</f>
        <v>3237.4095022624433</v>
      </c>
      <c r="X949" s="282"/>
    </row>
    <row r="950" spans="1:30" s="60" customFormat="1">
      <c r="A950" s="487"/>
      <c r="B950" s="488"/>
      <c r="C950" s="489"/>
      <c r="D950" s="489"/>
      <c r="E950" s="489"/>
      <c r="F950" s="489"/>
      <c r="G950" s="489"/>
      <c r="H950" s="489"/>
      <c r="I950" s="489"/>
      <c r="J950" s="489"/>
      <c r="K950" s="498"/>
      <c r="L950" s="496"/>
      <c r="M950" s="498"/>
      <c r="N950" s="492"/>
      <c r="O950" s="489"/>
      <c r="P950" s="572"/>
      <c r="Q950" s="498"/>
      <c r="R950" s="572"/>
      <c r="S950" s="498"/>
      <c r="T950" s="496"/>
      <c r="U950" s="504"/>
      <c r="V950" s="282"/>
      <c r="W950" s="282"/>
      <c r="X950" s="282"/>
    </row>
    <row r="951" spans="1:30" s="60" customFormat="1">
      <c r="A951" s="487"/>
      <c r="B951" s="488"/>
      <c r="C951" s="489"/>
      <c r="D951" s="489"/>
      <c r="E951" s="489"/>
      <c r="F951" s="489"/>
      <c r="G951" s="489"/>
      <c r="H951" s="489"/>
      <c r="I951" s="489"/>
      <c r="J951" s="489"/>
      <c r="K951" s="498"/>
      <c r="L951" s="496"/>
      <c r="M951" s="498"/>
      <c r="N951" s="492"/>
      <c r="O951" s="489"/>
      <c r="P951" s="572"/>
      <c r="Q951" s="498"/>
      <c r="R951" s="572"/>
      <c r="S951" s="498"/>
      <c r="T951" s="496"/>
      <c r="U951" s="504"/>
      <c r="V951" s="282"/>
      <c r="W951" s="282"/>
      <c r="X951" s="282"/>
    </row>
    <row r="952" spans="1:30" s="60" customFormat="1">
      <c r="A952" s="487"/>
      <c r="B952" s="488"/>
      <c r="C952" s="489"/>
      <c r="D952" s="489"/>
      <c r="E952" s="489"/>
      <c r="F952" s="489"/>
      <c r="G952" s="489"/>
      <c r="H952" s="489"/>
      <c r="I952" s="489"/>
      <c r="J952" s="489"/>
      <c r="K952" s="498"/>
      <c r="L952" s="496"/>
      <c r="M952" s="498"/>
      <c r="N952" s="492"/>
      <c r="O952" s="489"/>
      <c r="P952" s="572"/>
      <c r="Q952" s="498"/>
      <c r="R952" s="498"/>
      <c r="S952" s="498"/>
      <c r="T952" s="496"/>
      <c r="U952" s="504"/>
      <c r="V952" s="282"/>
      <c r="W952" s="282"/>
      <c r="X952" s="282"/>
    </row>
    <row r="953" spans="1:30">
      <c r="A953" s="198"/>
      <c r="B953" s="216" t="s">
        <v>54</v>
      </c>
      <c r="C953" s="211">
        <v>2222747</v>
      </c>
      <c r="D953" s="211"/>
      <c r="E953" s="211"/>
      <c r="F953" s="211"/>
      <c r="G953" s="211"/>
      <c r="H953" s="211"/>
      <c r="I953" s="211"/>
      <c r="J953" s="211"/>
      <c r="K953" s="211">
        <v>0</v>
      </c>
      <c r="L953" s="212">
        <v>0</v>
      </c>
      <c r="M953" s="211">
        <v>0</v>
      </c>
      <c r="N953" s="211">
        <v>1115</v>
      </c>
      <c r="O953" s="211">
        <v>2222747</v>
      </c>
      <c r="P953" s="213">
        <v>0</v>
      </c>
      <c r="Q953" s="211">
        <v>0</v>
      </c>
      <c r="R953" s="213">
        <v>0</v>
      </c>
      <c r="S953" s="211">
        <v>0</v>
      </c>
      <c r="T953" s="212">
        <v>0</v>
      </c>
      <c r="U953" s="290">
        <v>0</v>
      </c>
      <c r="V953" s="282"/>
      <c r="W953" s="282"/>
      <c r="X953" s="282"/>
    </row>
    <row r="954" spans="1:30" ht="30">
      <c r="A954" s="198"/>
      <c r="B954" s="214" t="s">
        <v>112</v>
      </c>
      <c r="C954" s="211">
        <v>2222747</v>
      </c>
      <c r="D954" s="211"/>
      <c r="E954" s="211"/>
      <c r="F954" s="211"/>
      <c r="G954" s="211"/>
      <c r="H954" s="211"/>
      <c r="I954" s="211"/>
      <c r="J954" s="211"/>
      <c r="K954" s="211">
        <v>0</v>
      </c>
      <c r="L954" s="212">
        <v>0</v>
      </c>
      <c r="M954" s="211">
        <v>0</v>
      </c>
      <c r="N954" s="211">
        <v>1115</v>
      </c>
      <c r="O954" s="211">
        <v>2222747</v>
      </c>
      <c r="P954" s="213">
        <v>0</v>
      </c>
      <c r="Q954" s="211">
        <v>0</v>
      </c>
      <c r="R954" s="213">
        <v>0</v>
      </c>
      <c r="S954" s="211">
        <v>0</v>
      </c>
      <c r="T954" s="212">
        <v>0</v>
      </c>
      <c r="U954" s="290">
        <v>0</v>
      </c>
      <c r="V954" s="282"/>
      <c r="W954" s="282"/>
      <c r="X954" s="282"/>
    </row>
    <row r="955" spans="1:30">
      <c r="A955" s="198">
        <v>346</v>
      </c>
      <c r="B955" s="216" t="s">
        <v>422</v>
      </c>
      <c r="C955" s="211">
        <v>1003542</v>
      </c>
      <c r="D955" s="211"/>
      <c r="E955" s="211"/>
      <c r="F955" s="211"/>
      <c r="G955" s="211"/>
      <c r="H955" s="211"/>
      <c r="I955" s="211"/>
      <c r="J955" s="211"/>
      <c r="K955" s="211">
        <v>0</v>
      </c>
      <c r="L955" s="212">
        <v>0</v>
      </c>
      <c r="M955" s="211">
        <v>0</v>
      </c>
      <c r="N955" s="199">
        <v>510</v>
      </c>
      <c r="O955" s="211">
        <v>1003542</v>
      </c>
      <c r="P955" s="213">
        <v>0</v>
      </c>
      <c r="Q955" s="211">
        <v>0</v>
      </c>
      <c r="R955" s="213">
        <v>0</v>
      </c>
      <c r="S955" s="211">
        <v>0</v>
      </c>
      <c r="T955" s="212">
        <v>0</v>
      </c>
      <c r="U955" s="290">
        <v>0</v>
      </c>
      <c r="V955" s="282"/>
      <c r="W955" s="282"/>
      <c r="X955" s="282"/>
    </row>
    <row r="956" spans="1:30">
      <c r="A956" s="198">
        <v>347</v>
      </c>
      <c r="B956" s="216" t="s">
        <v>421</v>
      </c>
      <c r="C956" s="211">
        <v>740146</v>
      </c>
      <c r="D956" s="211"/>
      <c r="E956" s="211"/>
      <c r="F956" s="211"/>
      <c r="G956" s="211"/>
      <c r="H956" s="211"/>
      <c r="I956" s="211"/>
      <c r="J956" s="211"/>
      <c r="K956" s="211">
        <v>0</v>
      </c>
      <c r="L956" s="212">
        <v>0</v>
      </c>
      <c r="M956" s="211">
        <v>0</v>
      </c>
      <c r="N956" s="199">
        <v>373</v>
      </c>
      <c r="O956" s="211">
        <v>740146</v>
      </c>
      <c r="P956" s="213">
        <v>0</v>
      </c>
      <c r="Q956" s="211">
        <v>0</v>
      </c>
      <c r="R956" s="213">
        <v>0</v>
      </c>
      <c r="S956" s="211">
        <v>0</v>
      </c>
      <c r="T956" s="212">
        <v>0</v>
      </c>
      <c r="U956" s="290">
        <v>0</v>
      </c>
      <c r="V956" s="282"/>
      <c r="W956" s="282"/>
      <c r="X956" s="282"/>
    </row>
    <row r="957" spans="1:30">
      <c r="A957" s="198">
        <v>348</v>
      </c>
      <c r="B957" s="216" t="s">
        <v>423</v>
      </c>
      <c r="C957" s="211">
        <v>479059</v>
      </c>
      <c r="D957" s="211"/>
      <c r="E957" s="211"/>
      <c r="F957" s="211"/>
      <c r="G957" s="211"/>
      <c r="H957" s="211"/>
      <c r="I957" s="211"/>
      <c r="J957" s="211"/>
      <c r="K957" s="211">
        <v>0</v>
      </c>
      <c r="L957" s="212">
        <v>0</v>
      </c>
      <c r="M957" s="211">
        <v>0</v>
      </c>
      <c r="N957" s="211">
        <v>232</v>
      </c>
      <c r="O957" s="211">
        <v>479059</v>
      </c>
      <c r="P957" s="213">
        <v>0</v>
      </c>
      <c r="Q957" s="211">
        <v>0</v>
      </c>
      <c r="R957" s="213">
        <v>0</v>
      </c>
      <c r="S957" s="211">
        <v>0</v>
      </c>
      <c r="T957" s="212">
        <v>0</v>
      </c>
      <c r="U957" s="290">
        <v>0</v>
      </c>
      <c r="V957" s="282"/>
      <c r="W957" s="282"/>
      <c r="X957" s="282"/>
    </row>
    <row r="958" spans="1:30">
      <c r="A958" s="198"/>
      <c r="B958" s="216" t="s">
        <v>55</v>
      </c>
      <c r="C958" s="211">
        <f>C959</f>
        <v>1739787</v>
      </c>
      <c r="D958" s="211">
        <f t="shared" ref="D958:U958" si="157">D959</f>
        <v>267870</v>
      </c>
      <c r="E958" s="211">
        <f t="shared" si="157"/>
        <v>0</v>
      </c>
      <c r="F958" s="211">
        <f t="shared" si="157"/>
        <v>0</v>
      </c>
      <c r="G958" s="211">
        <f t="shared" si="157"/>
        <v>0</v>
      </c>
      <c r="H958" s="211">
        <f t="shared" si="157"/>
        <v>0</v>
      </c>
      <c r="I958" s="211">
        <f t="shared" si="157"/>
        <v>0</v>
      </c>
      <c r="J958" s="211">
        <f t="shared" si="157"/>
        <v>267870</v>
      </c>
      <c r="K958" s="211">
        <f t="shared" si="157"/>
        <v>0</v>
      </c>
      <c r="L958" s="211">
        <f t="shared" si="157"/>
        <v>0</v>
      </c>
      <c r="M958" s="211">
        <f t="shared" si="157"/>
        <v>0</v>
      </c>
      <c r="N958" s="211">
        <f t="shared" si="157"/>
        <v>460</v>
      </c>
      <c r="O958" s="211">
        <f t="shared" si="157"/>
        <v>1471917</v>
      </c>
      <c r="P958" s="211">
        <f t="shared" si="157"/>
        <v>0</v>
      </c>
      <c r="Q958" s="211">
        <f t="shared" si="157"/>
        <v>0</v>
      </c>
      <c r="R958" s="211">
        <f t="shared" si="157"/>
        <v>0</v>
      </c>
      <c r="S958" s="211">
        <f t="shared" si="157"/>
        <v>0</v>
      </c>
      <c r="T958" s="211">
        <f t="shared" si="157"/>
        <v>0</v>
      </c>
      <c r="U958" s="211">
        <f t="shared" si="157"/>
        <v>0</v>
      </c>
      <c r="V958" s="282"/>
      <c r="W958" s="282"/>
      <c r="X958" s="282"/>
    </row>
    <row r="959" spans="1:30" ht="30">
      <c r="A959" s="198"/>
      <c r="B959" s="214" t="s">
        <v>122</v>
      </c>
      <c r="C959" s="211">
        <f>C960</f>
        <v>1739787</v>
      </c>
      <c r="D959" s="211">
        <f t="shared" ref="D959:U959" si="158">D960</f>
        <v>267870</v>
      </c>
      <c r="E959" s="211">
        <f t="shared" si="158"/>
        <v>0</v>
      </c>
      <c r="F959" s="211">
        <f t="shared" si="158"/>
        <v>0</v>
      </c>
      <c r="G959" s="211">
        <f t="shared" si="158"/>
        <v>0</v>
      </c>
      <c r="H959" s="211">
        <f t="shared" si="158"/>
        <v>0</v>
      </c>
      <c r="I959" s="211">
        <f t="shared" si="158"/>
        <v>0</v>
      </c>
      <c r="J959" s="211">
        <f t="shared" si="158"/>
        <v>267870</v>
      </c>
      <c r="K959" s="211">
        <f t="shared" si="158"/>
        <v>0</v>
      </c>
      <c r="L959" s="211">
        <f t="shared" si="158"/>
        <v>0</v>
      </c>
      <c r="M959" s="211">
        <f t="shared" si="158"/>
        <v>0</v>
      </c>
      <c r="N959" s="211">
        <f t="shared" si="158"/>
        <v>460</v>
      </c>
      <c r="O959" s="211">
        <f t="shared" si="158"/>
        <v>1471917</v>
      </c>
      <c r="P959" s="211">
        <f t="shared" si="158"/>
        <v>0</v>
      </c>
      <c r="Q959" s="211">
        <f t="shared" si="158"/>
        <v>0</v>
      </c>
      <c r="R959" s="211">
        <f t="shared" si="158"/>
        <v>0</v>
      </c>
      <c r="S959" s="211">
        <f t="shared" si="158"/>
        <v>0</v>
      </c>
      <c r="T959" s="211">
        <f t="shared" si="158"/>
        <v>0</v>
      </c>
      <c r="U959" s="211">
        <f t="shared" si="158"/>
        <v>0</v>
      </c>
      <c r="V959" s="282"/>
      <c r="W959" s="282"/>
      <c r="X959" s="282"/>
    </row>
    <row r="960" spans="1:30" s="28" customFormat="1">
      <c r="A960" s="487">
        <v>349</v>
      </c>
      <c r="B960" s="499" t="s">
        <v>602</v>
      </c>
      <c r="C960" s="557">
        <v>1739787</v>
      </c>
      <c r="D960" s="557">
        <f>E960+F960+G960+H960+I960+J960+K960</f>
        <v>267870</v>
      </c>
      <c r="E960" s="557">
        <v>0</v>
      </c>
      <c r="F960" s="557">
        <v>0</v>
      </c>
      <c r="G960" s="557">
        <v>0</v>
      </c>
      <c r="H960" s="557">
        <v>0</v>
      </c>
      <c r="I960" s="557">
        <v>0</v>
      </c>
      <c r="J960" s="557">
        <v>267870</v>
      </c>
      <c r="K960" s="489">
        <v>0</v>
      </c>
      <c r="L960" s="502">
        <v>0</v>
      </c>
      <c r="M960" s="498">
        <v>0</v>
      </c>
      <c r="N960" s="492">
        <v>460</v>
      </c>
      <c r="O960" s="489">
        <v>1471917</v>
      </c>
      <c r="P960" s="503">
        <v>0</v>
      </c>
      <c r="Q960" s="498">
        <v>0</v>
      </c>
      <c r="R960" s="498">
        <v>0</v>
      </c>
      <c r="S960" s="498">
        <v>0</v>
      </c>
      <c r="T960" s="502">
        <v>0</v>
      </c>
      <c r="U960" s="504">
        <v>0</v>
      </c>
      <c r="V960" s="282"/>
      <c r="W960" s="282">
        <f>O960/N960</f>
        <v>3199.8195652173913</v>
      </c>
      <c r="X960" s="282"/>
      <c r="AD960" s="28">
        <f>J960/'часть 1'!I975</f>
        <v>521.35072012456214</v>
      </c>
    </row>
    <row r="961" spans="1:53">
      <c r="A961" s="487"/>
      <c r="B961" s="499"/>
      <c r="C961" s="489"/>
      <c r="D961" s="489"/>
      <c r="E961" s="489"/>
      <c r="F961" s="489"/>
      <c r="G961" s="489"/>
      <c r="H961" s="489"/>
      <c r="I961" s="489"/>
      <c r="J961" s="489"/>
      <c r="K961" s="489"/>
      <c r="L961" s="502"/>
      <c r="M961" s="498"/>
      <c r="N961" s="498"/>
      <c r="O961" s="498"/>
      <c r="P961" s="503"/>
      <c r="Q961" s="498"/>
      <c r="R961" s="503"/>
      <c r="S961" s="498"/>
      <c r="T961" s="502"/>
      <c r="U961" s="504"/>
      <c r="V961" s="282"/>
      <c r="W961" s="282"/>
      <c r="X961" s="282"/>
    </row>
    <row r="962" spans="1:53">
      <c r="A962" s="487"/>
      <c r="B962" s="499"/>
      <c r="C962" s="489"/>
      <c r="D962" s="489"/>
      <c r="E962" s="489"/>
      <c r="F962" s="489"/>
      <c r="G962" s="489"/>
      <c r="H962" s="489"/>
      <c r="I962" s="489"/>
      <c r="J962" s="489"/>
      <c r="K962" s="489"/>
      <c r="L962" s="502"/>
      <c r="M962" s="498"/>
      <c r="N962" s="492"/>
      <c r="O962" s="489"/>
      <c r="P962" s="503"/>
      <c r="Q962" s="498"/>
      <c r="R962" s="498"/>
      <c r="S962" s="498"/>
      <c r="T962" s="502"/>
      <c r="U962" s="504"/>
      <c r="V962" s="282"/>
      <c r="W962" s="282"/>
      <c r="X962" s="282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</row>
    <row r="963" spans="1:53">
      <c r="A963" s="198"/>
      <c r="B963" s="216" t="s">
        <v>56</v>
      </c>
      <c r="C963" s="211">
        <v>13352826.959999999</v>
      </c>
      <c r="D963" s="211"/>
      <c r="E963" s="211"/>
      <c r="F963" s="211"/>
      <c r="G963" s="211"/>
      <c r="H963" s="211"/>
      <c r="I963" s="211"/>
      <c r="J963" s="211"/>
      <c r="K963" s="211">
        <v>8292103.96</v>
      </c>
      <c r="L963" s="212">
        <v>0</v>
      </c>
      <c r="M963" s="211">
        <v>0</v>
      </c>
      <c r="N963" s="211">
        <v>2564.5</v>
      </c>
      <c r="O963" s="211">
        <v>5060723</v>
      </c>
      <c r="P963" s="213">
        <v>0</v>
      </c>
      <c r="Q963" s="211">
        <v>0</v>
      </c>
      <c r="R963" s="213">
        <v>0</v>
      </c>
      <c r="S963" s="211">
        <v>0</v>
      </c>
      <c r="T963" s="212">
        <v>0</v>
      </c>
      <c r="U963" s="290">
        <v>0</v>
      </c>
      <c r="V963" s="282"/>
      <c r="W963" s="282"/>
      <c r="X963" s="282"/>
    </row>
    <row r="964" spans="1:53" ht="30">
      <c r="A964" s="487"/>
      <c r="B964" s="499" t="s">
        <v>424</v>
      </c>
      <c r="C964" s="498">
        <f>C965+C966+C967+C968+C969+C970</f>
        <v>8669678</v>
      </c>
      <c r="D964" s="498">
        <f t="shared" ref="D964:U964" si="159">D965+D966+D967+D968+D969+D970</f>
        <v>6476414</v>
      </c>
      <c r="E964" s="498">
        <f t="shared" si="159"/>
        <v>1762781</v>
      </c>
      <c r="F964" s="498">
        <f t="shared" si="159"/>
        <v>425687</v>
      </c>
      <c r="G964" s="498">
        <f t="shared" si="159"/>
        <v>1057272</v>
      </c>
      <c r="H964" s="498">
        <f t="shared" si="159"/>
        <v>667507</v>
      </c>
      <c r="I964" s="498">
        <f t="shared" si="159"/>
        <v>636218</v>
      </c>
      <c r="J964" s="498">
        <f t="shared" si="159"/>
        <v>1926949</v>
      </c>
      <c r="K964" s="498">
        <f t="shared" si="159"/>
        <v>0</v>
      </c>
      <c r="L964" s="498">
        <f t="shared" si="159"/>
        <v>0</v>
      </c>
      <c r="M964" s="498">
        <f t="shared" si="159"/>
        <v>0</v>
      </c>
      <c r="N964" s="498">
        <f t="shared" si="159"/>
        <v>766.38</v>
      </c>
      <c r="O964" s="498">
        <f t="shared" si="159"/>
        <v>2193264</v>
      </c>
      <c r="P964" s="498">
        <f t="shared" si="159"/>
        <v>0</v>
      </c>
      <c r="Q964" s="498">
        <f t="shared" si="159"/>
        <v>0</v>
      </c>
      <c r="R964" s="498">
        <f t="shared" si="159"/>
        <v>0</v>
      </c>
      <c r="S964" s="498">
        <f t="shared" si="159"/>
        <v>0</v>
      </c>
      <c r="T964" s="498">
        <f t="shared" si="159"/>
        <v>0</v>
      </c>
      <c r="U964" s="498">
        <f t="shared" si="159"/>
        <v>0</v>
      </c>
      <c r="V964" s="282"/>
      <c r="W964" s="282"/>
      <c r="X964" s="282"/>
    </row>
    <row r="965" spans="1:53">
      <c r="A965" s="487">
        <v>352</v>
      </c>
      <c r="B965" s="752" t="s">
        <v>708</v>
      </c>
      <c r="C965" s="498">
        <f>'часть 1'!L980</f>
        <v>435475</v>
      </c>
      <c r="D965" s="498">
        <f>E965+F965+G965+H965+I965+J965+K965</f>
        <v>435475</v>
      </c>
      <c r="E965" s="498">
        <v>170859</v>
      </c>
      <c r="F965" s="498">
        <v>0</v>
      </c>
      <c r="G965" s="498">
        <v>138971</v>
      </c>
      <c r="H965" s="498">
        <v>0</v>
      </c>
      <c r="I965" s="498">
        <v>0</v>
      </c>
      <c r="J965" s="498">
        <v>125645</v>
      </c>
      <c r="K965" s="498">
        <v>0</v>
      </c>
      <c r="L965" s="502">
        <v>0</v>
      </c>
      <c r="M965" s="498">
        <v>0</v>
      </c>
      <c r="N965" s="498">
        <v>0</v>
      </c>
      <c r="O965" s="498">
        <v>0</v>
      </c>
      <c r="P965" s="503">
        <v>0</v>
      </c>
      <c r="Q965" s="498">
        <v>0</v>
      </c>
      <c r="R965" s="503">
        <v>0</v>
      </c>
      <c r="S965" s="498">
        <v>0</v>
      </c>
      <c r="T965" s="502">
        <v>0</v>
      </c>
      <c r="U965" s="504">
        <v>0</v>
      </c>
      <c r="V965" s="282"/>
      <c r="W965" s="282"/>
      <c r="X965" s="282"/>
      <c r="Y965" s="1">
        <f>E965/'часть 1'!I980</f>
        <v>596.99161425576517</v>
      </c>
      <c r="Z965" s="1">
        <f>G965/'часть 1'!I980</f>
        <v>485.57302585604475</v>
      </c>
      <c r="AD965" s="1">
        <f>J965/'часть 1'!I980</f>
        <v>439.01118099231309</v>
      </c>
    </row>
    <row r="966" spans="1:53">
      <c r="A966" s="487">
        <v>353</v>
      </c>
      <c r="B966" s="753" t="s">
        <v>709</v>
      </c>
      <c r="C966" s="498">
        <f>'часть 1'!L981</f>
        <v>1920530</v>
      </c>
      <c r="D966" s="498">
        <f t="shared" ref="D966:D970" si="160">E966+F966+G966+H966+I966+J966+K966</f>
        <v>684403</v>
      </c>
      <c r="E966" s="498">
        <v>0</v>
      </c>
      <c r="F966" s="498">
        <v>0</v>
      </c>
      <c r="G966" s="498">
        <v>205286</v>
      </c>
      <c r="H966" s="498">
        <v>293517</v>
      </c>
      <c r="I966" s="498">
        <v>0</v>
      </c>
      <c r="J966" s="498">
        <v>185600</v>
      </c>
      <c r="K966" s="498">
        <v>0</v>
      </c>
      <c r="L966" s="502">
        <v>0</v>
      </c>
      <c r="M966" s="498">
        <v>0</v>
      </c>
      <c r="N966" s="498">
        <v>385.28</v>
      </c>
      <c r="O966" s="498">
        <v>1236127</v>
      </c>
      <c r="P966" s="503">
        <v>0</v>
      </c>
      <c r="Q966" s="498">
        <v>0</v>
      </c>
      <c r="R966" s="503">
        <v>0</v>
      </c>
      <c r="S966" s="498">
        <v>0</v>
      </c>
      <c r="T966" s="502">
        <v>0</v>
      </c>
      <c r="U966" s="504">
        <v>0</v>
      </c>
      <c r="V966" s="282"/>
      <c r="W966" s="282">
        <f>O966/N966</f>
        <v>3208.3861088039871</v>
      </c>
      <c r="X966" s="282"/>
      <c r="Z966" s="1">
        <f>G966/'часть 1'!I981</f>
        <v>575.99887766554434</v>
      </c>
      <c r="AB966" s="1">
        <f>H966/'часть 1'!I981</f>
        <v>823.56060606060612</v>
      </c>
      <c r="AD966" s="1">
        <f>J966/'часть 1'!I981</f>
        <v>520.76318742985416</v>
      </c>
    </row>
    <row r="967" spans="1:53">
      <c r="A967" s="487">
        <v>354</v>
      </c>
      <c r="B967" s="752" t="s">
        <v>710</v>
      </c>
      <c r="C967" s="498">
        <f>'часть 1'!L982</f>
        <v>957137</v>
      </c>
      <c r="D967" s="498">
        <f t="shared" si="160"/>
        <v>0</v>
      </c>
      <c r="E967" s="498">
        <v>0</v>
      </c>
      <c r="F967" s="498">
        <v>0</v>
      </c>
      <c r="G967" s="498">
        <v>0</v>
      </c>
      <c r="H967" s="498">
        <v>0</v>
      </c>
      <c r="I967" s="498">
        <v>0</v>
      </c>
      <c r="J967" s="498">
        <v>0</v>
      </c>
      <c r="K967" s="498">
        <v>0</v>
      </c>
      <c r="L967" s="502">
        <v>0</v>
      </c>
      <c r="M967" s="498">
        <v>0</v>
      </c>
      <c r="N967" s="498">
        <v>381.1</v>
      </c>
      <c r="O967" s="498">
        <v>957137</v>
      </c>
      <c r="P967" s="503">
        <v>0</v>
      </c>
      <c r="Q967" s="498">
        <v>0</v>
      </c>
      <c r="R967" s="503">
        <v>0</v>
      </c>
      <c r="S967" s="498">
        <v>0</v>
      </c>
      <c r="T967" s="502">
        <v>0</v>
      </c>
      <c r="U967" s="504">
        <v>0</v>
      </c>
      <c r="V967" s="282"/>
      <c r="W967" s="282">
        <f>O967/N967</f>
        <v>2511.5114143269479</v>
      </c>
      <c r="X967" s="282"/>
    </row>
    <row r="968" spans="1:53">
      <c r="A968" s="487">
        <v>355</v>
      </c>
      <c r="B968" s="754" t="s">
        <v>711</v>
      </c>
      <c r="C968" s="498">
        <f>'часть 1'!L983</f>
        <v>1620768</v>
      </c>
      <c r="D968" s="498">
        <f t="shared" si="160"/>
        <v>1620768</v>
      </c>
      <c r="E968" s="498">
        <v>317135</v>
      </c>
      <c r="F968" s="498">
        <v>425687</v>
      </c>
      <c r="G968" s="498">
        <v>264655</v>
      </c>
      <c r="H968" s="498">
        <v>373990</v>
      </c>
      <c r="I968" s="498">
        <v>0</v>
      </c>
      <c r="J968" s="498">
        <v>239301</v>
      </c>
      <c r="K968" s="498">
        <v>0</v>
      </c>
      <c r="L968" s="502">
        <v>0</v>
      </c>
      <c r="M968" s="498">
        <v>0</v>
      </c>
      <c r="N968" s="498">
        <v>0</v>
      </c>
      <c r="O968" s="498">
        <v>0</v>
      </c>
      <c r="P968" s="503">
        <v>0</v>
      </c>
      <c r="Q968" s="498">
        <v>0</v>
      </c>
      <c r="R968" s="503">
        <v>0</v>
      </c>
      <c r="S968" s="498">
        <v>0</v>
      </c>
      <c r="T968" s="502">
        <v>0</v>
      </c>
      <c r="U968" s="504">
        <v>0</v>
      </c>
      <c r="V968" s="282"/>
      <c r="W968" s="282"/>
      <c r="X968" s="282"/>
      <c r="Y968" s="1">
        <f>E968/'часть 1'!I983</f>
        <v>691.52856519842999</v>
      </c>
      <c r="Z968" s="1">
        <f>G968/'часть 1'!I983</f>
        <v>577.09332751853469</v>
      </c>
      <c r="AA968" s="1">
        <f>F968/'часть 1'!I983</f>
        <v>928.23157435673784</v>
      </c>
      <c r="AB968" s="1">
        <f>H968/'часть 1'!I983</f>
        <v>815.50370693414732</v>
      </c>
      <c r="AD968" s="1">
        <f>J968/'часть 1'!I983</f>
        <v>521.80767553423459</v>
      </c>
    </row>
    <row r="969" spans="1:53">
      <c r="A969" s="487">
        <v>356</v>
      </c>
      <c r="B969" s="752" t="s">
        <v>712</v>
      </c>
      <c r="C969" s="498">
        <f>'часть 1'!L984</f>
        <v>1496185</v>
      </c>
      <c r="D969" s="498">
        <f t="shared" si="160"/>
        <v>1496185</v>
      </c>
      <c r="E969" s="498">
        <v>0</v>
      </c>
      <c r="F969" s="498">
        <v>0</v>
      </c>
      <c r="G969" s="498">
        <v>448360</v>
      </c>
      <c r="H969" s="498">
        <v>0</v>
      </c>
      <c r="I969" s="498">
        <v>636218</v>
      </c>
      <c r="J969" s="498">
        <v>411607</v>
      </c>
      <c r="K969" s="498">
        <v>0</v>
      </c>
      <c r="L969" s="502">
        <v>0</v>
      </c>
      <c r="M969" s="498">
        <v>0</v>
      </c>
      <c r="N969" s="498">
        <v>0</v>
      </c>
      <c r="O969" s="498">
        <v>0</v>
      </c>
      <c r="P969" s="503">
        <v>0</v>
      </c>
      <c r="Q969" s="498">
        <v>0</v>
      </c>
      <c r="R969" s="503">
        <v>0</v>
      </c>
      <c r="S969" s="498">
        <v>0</v>
      </c>
      <c r="T969" s="502">
        <v>0</v>
      </c>
      <c r="U969" s="504">
        <v>0</v>
      </c>
      <c r="V969" s="282"/>
      <c r="W969" s="282"/>
      <c r="X969" s="282"/>
      <c r="Z969" s="1">
        <f>G969/'часть 1'!I984</f>
        <v>560.16991504247881</v>
      </c>
      <c r="AC969" s="1">
        <f>I969/'часть 1'!I984</f>
        <v>794.87506246876569</v>
      </c>
      <c r="AD969" s="1">
        <f>J969/'часть 1'!I984</f>
        <v>514.25162418790603</v>
      </c>
    </row>
    <row r="970" spans="1:53">
      <c r="A970" s="487">
        <v>357</v>
      </c>
      <c r="B970" s="754" t="s">
        <v>713</v>
      </c>
      <c r="C970" s="498">
        <f>'часть 1'!L985</f>
        <v>2239583</v>
      </c>
      <c r="D970" s="498">
        <f t="shared" si="160"/>
        <v>2239583</v>
      </c>
      <c r="E970" s="498">
        <v>1274787</v>
      </c>
      <c r="F970" s="498">
        <v>0</v>
      </c>
      <c r="G970" s="498">
        <v>0</v>
      </c>
      <c r="H970" s="498">
        <v>0</v>
      </c>
      <c r="I970" s="498">
        <v>0</v>
      </c>
      <c r="J970" s="498">
        <v>964796</v>
      </c>
      <c r="K970" s="498">
        <v>0</v>
      </c>
      <c r="L970" s="502">
        <v>0</v>
      </c>
      <c r="M970" s="498">
        <v>0</v>
      </c>
      <c r="N970" s="498">
        <v>0</v>
      </c>
      <c r="O970" s="498">
        <v>0</v>
      </c>
      <c r="P970" s="503">
        <v>0</v>
      </c>
      <c r="Q970" s="498">
        <v>0</v>
      </c>
      <c r="R970" s="503">
        <v>0</v>
      </c>
      <c r="S970" s="498">
        <v>0</v>
      </c>
      <c r="T970" s="502">
        <v>0</v>
      </c>
      <c r="U970" s="504">
        <v>0</v>
      </c>
      <c r="V970" s="282"/>
      <c r="W970" s="282"/>
      <c r="X970" s="282"/>
      <c r="Y970" s="1">
        <f>E970/'часть 1'!I985</f>
        <v>754.53506954720331</v>
      </c>
      <c r="AD970" s="1">
        <f>J970/'часть 1'!I985</f>
        <v>571.05415803492156</v>
      </c>
    </row>
    <row r="971" spans="1:53" ht="30">
      <c r="A971" s="198"/>
      <c r="B971" s="214" t="s">
        <v>121</v>
      </c>
      <c r="C971" s="211">
        <f>C972+C973+C974</f>
        <v>2114731</v>
      </c>
      <c r="D971" s="211">
        <f t="shared" ref="D971:V971" si="161">D972+D973+D974</f>
        <v>0</v>
      </c>
      <c r="E971" s="211">
        <f t="shared" si="161"/>
        <v>0</v>
      </c>
      <c r="F971" s="211">
        <f t="shared" si="161"/>
        <v>0</v>
      </c>
      <c r="G971" s="211">
        <f t="shared" si="161"/>
        <v>0</v>
      </c>
      <c r="H971" s="211">
        <f t="shared" si="161"/>
        <v>0</v>
      </c>
      <c r="I971" s="211">
        <f t="shared" si="161"/>
        <v>0</v>
      </c>
      <c r="J971" s="211">
        <f t="shared" si="161"/>
        <v>0</v>
      </c>
      <c r="K971" s="211">
        <f t="shared" si="161"/>
        <v>0</v>
      </c>
      <c r="L971" s="211">
        <f t="shared" si="161"/>
        <v>0</v>
      </c>
      <c r="M971" s="211">
        <f t="shared" si="161"/>
        <v>0</v>
      </c>
      <c r="N971" s="211">
        <f t="shared" si="161"/>
        <v>0</v>
      </c>
      <c r="O971" s="211">
        <f t="shared" si="161"/>
        <v>0</v>
      </c>
      <c r="P971" s="211">
        <f t="shared" si="161"/>
        <v>0</v>
      </c>
      <c r="Q971" s="211">
        <f t="shared" si="161"/>
        <v>0</v>
      </c>
      <c r="R971" s="211">
        <f t="shared" si="161"/>
        <v>0</v>
      </c>
      <c r="S971" s="211">
        <f t="shared" si="161"/>
        <v>2114731</v>
      </c>
      <c r="T971" s="211">
        <f t="shared" si="161"/>
        <v>0</v>
      </c>
      <c r="U971" s="211">
        <f t="shared" si="161"/>
        <v>0</v>
      </c>
      <c r="V971" s="211">
        <f t="shared" si="161"/>
        <v>0</v>
      </c>
      <c r="W971" s="282"/>
      <c r="X971" s="282"/>
    </row>
    <row r="972" spans="1:53" ht="15.75">
      <c r="A972" s="198"/>
      <c r="B972" s="934" t="s">
        <v>990</v>
      </c>
      <c r="C972" s="211">
        <f>'часть 1'!L987</f>
        <v>730231</v>
      </c>
      <c r="D972" s="211">
        <v>0</v>
      </c>
      <c r="E972" s="211">
        <v>0</v>
      </c>
      <c r="F972" s="211">
        <v>0</v>
      </c>
      <c r="G972" s="211">
        <v>0</v>
      </c>
      <c r="H972" s="211">
        <v>0</v>
      </c>
      <c r="I972" s="211">
        <v>0</v>
      </c>
      <c r="J972" s="211">
        <v>0</v>
      </c>
      <c r="K972" s="211">
        <v>0</v>
      </c>
      <c r="L972" s="212">
        <v>0</v>
      </c>
      <c r="M972" s="211">
        <v>0</v>
      </c>
      <c r="N972" s="211">
        <v>0</v>
      </c>
      <c r="O972" s="211">
        <v>0</v>
      </c>
      <c r="P972" s="213">
        <v>0</v>
      </c>
      <c r="Q972" s="211">
        <v>0</v>
      </c>
      <c r="R972" s="940"/>
      <c r="S972" s="211">
        <v>730231</v>
      </c>
      <c r="T972" s="212">
        <v>0</v>
      </c>
      <c r="U972" s="290">
        <v>0</v>
      </c>
      <c r="V972" s="282"/>
      <c r="W972" s="282"/>
      <c r="X972" s="282" t="e">
        <f>S972/R972</f>
        <v>#DIV/0!</v>
      </c>
    </row>
    <row r="973" spans="1:53" ht="15.75">
      <c r="A973" s="198"/>
      <c r="B973" s="934" t="s">
        <v>991</v>
      </c>
      <c r="C973" s="211">
        <f>'часть 1'!L988</f>
        <v>692216</v>
      </c>
      <c r="D973" s="211">
        <v>0</v>
      </c>
      <c r="E973" s="211">
        <v>0</v>
      </c>
      <c r="F973" s="211">
        <v>0</v>
      </c>
      <c r="G973" s="211">
        <v>0</v>
      </c>
      <c r="H973" s="211">
        <v>0</v>
      </c>
      <c r="I973" s="211">
        <v>0</v>
      </c>
      <c r="J973" s="211">
        <v>0</v>
      </c>
      <c r="K973" s="211">
        <v>0</v>
      </c>
      <c r="L973" s="212">
        <v>0</v>
      </c>
      <c r="M973" s="211">
        <v>0</v>
      </c>
      <c r="N973" s="211">
        <v>0</v>
      </c>
      <c r="O973" s="211">
        <v>0</v>
      </c>
      <c r="P973" s="213">
        <v>0</v>
      </c>
      <c r="Q973" s="211">
        <v>0</v>
      </c>
      <c r="R973" s="940"/>
      <c r="S973" s="211">
        <v>692216</v>
      </c>
      <c r="T973" s="212">
        <v>0</v>
      </c>
      <c r="U973" s="290">
        <v>0</v>
      </c>
      <c r="V973" s="282"/>
      <c r="W973" s="282"/>
      <c r="X973" s="282" t="e">
        <f>S973/R973</f>
        <v>#DIV/0!</v>
      </c>
    </row>
    <row r="974" spans="1:53" ht="15.75">
      <c r="A974" s="198">
        <v>362</v>
      </c>
      <c r="B974" s="934" t="s">
        <v>992</v>
      </c>
      <c r="C974" s="211">
        <f>'часть 1'!L989</f>
        <v>692284</v>
      </c>
      <c r="D974" s="211">
        <v>0</v>
      </c>
      <c r="E974" s="211">
        <v>0</v>
      </c>
      <c r="F974" s="211">
        <v>0</v>
      </c>
      <c r="G974" s="211">
        <v>0</v>
      </c>
      <c r="H974" s="211">
        <v>0</v>
      </c>
      <c r="I974" s="211">
        <v>0</v>
      </c>
      <c r="J974" s="211">
        <v>0</v>
      </c>
      <c r="K974" s="211">
        <v>0</v>
      </c>
      <c r="L974" s="212">
        <v>0</v>
      </c>
      <c r="M974" s="211">
        <v>0</v>
      </c>
      <c r="N974" s="211">
        <v>0</v>
      </c>
      <c r="O974" s="211">
        <v>0</v>
      </c>
      <c r="P974" s="213">
        <v>0</v>
      </c>
      <c r="Q974" s="211">
        <v>0</v>
      </c>
      <c r="R974" s="940"/>
      <c r="S974" s="211">
        <v>692284</v>
      </c>
      <c r="T974" s="212">
        <v>0</v>
      </c>
      <c r="U974" s="290">
        <v>0</v>
      </c>
      <c r="V974" s="282"/>
      <c r="W974" s="282"/>
      <c r="X974" s="282" t="e">
        <f>S974/R974</f>
        <v>#DIV/0!</v>
      </c>
    </row>
    <row r="975" spans="1:53" s="18" customFormat="1" ht="30">
      <c r="A975" s="198"/>
      <c r="B975" s="214" t="s">
        <v>120</v>
      </c>
      <c r="C975" s="211">
        <v>238576.03</v>
      </c>
      <c r="D975" s="211"/>
      <c r="E975" s="211"/>
      <c r="F975" s="211"/>
      <c r="G975" s="211"/>
      <c r="H975" s="211"/>
      <c r="I975" s="211"/>
      <c r="J975" s="211"/>
      <c r="K975" s="211">
        <v>238576.03</v>
      </c>
      <c r="L975" s="212">
        <v>0</v>
      </c>
      <c r="M975" s="211">
        <v>0</v>
      </c>
      <c r="N975" s="211">
        <v>0</v>
      </c>
      <c r="O975" s="211">
        <v>0</v>
      </c>
      <c r="P975" s="213">
        <v>0</v>
      </c>
      <c r="Q975" s="211">
        <v>0</v>
      </c>
      <c r="R975" s="213">
        <v>0</v>
      </c>
      <c r="S975" s="211">
        <v>0</v>
      </c>
      <c r="T975" s="212">
        <v>0</v>
      </c>
      <c r="U975" s="290">
        <v>0</v>
      </c>
      <c r="V975" s="282"/>
      <c r="W975" s="282"/>
      <c r="X975" s="282"/>
    </row>
    <row r="976" spans="1:53">
      <c r="A976" s="198">
        <v>363</v>
      </c>
      <c r="B976" s="216" t="s">
        <v>445</v>
      </c>
      <c r="C976" s="211">
        <v>238576.03</v>
      </c>
      <c r="D976" s="211"/>
      <c r="E976" s="211"/>
      <c r="F976" s="211"/>
      <c r="G976" s="211"/>
      <c r="H976" s="211"/>
      <c r="I976" s="211"/>
      <c r="J976" s="211"/>
      <c r="K976" s="211">
        <v>238576.03</v>
      </c>
      <c r="L976" s="212">
        <v>0</v>
      </c>
      <c r="M976" s="211">
        <v>0</v>
      </c>
      <c r="N976" s="211">
        <v>0</v>
      </c>
      <c r="O976" s="211">
        <v>0</v>
      </c>
      <c r="P976" s="213">
        <v>0</v>
      </c>
      <c r="Q976" s="211">
        <v>0</v>
      </c>
      <c r="R976" s="213">
        <v>0</v>
      </c>
      <c r="S976" s="211">
        <v>0</v>
      </c>
      <c r="T976" s="212">
        <v>0</v>
      </c>
      <c r="U976" s="290">
        <v>0</v>
      </c>
      <c r="V976" s="282"/>
      <c r="W976" s="282"/>
      <c r="X976" s="282"/>
    </row>
    <row r="977" spans="1:31">
      <c r="A977" s="198"/>
      <c r="B977" s="216" t="s">
        <v>57</v>
      </c>
      <c r="C977" s="211">
        <v>2349784.02</v>
      </c>
      <c r="D977" s="211"/>
      <c r="E977" s="211"/>
      <c r="F977" s="211"/>
      <c r="G977" s="211"/>
      <c r="H977" s="211"/>
      <c r="I977" s="211"/>
      <c r="J977" s="211"/>
      <c r="K977" s="211">
        <v>0</v>
      </c>
      <c r="L977" s="212">
        <v>0</v>
      </c>
      <c r="M977" s="211">
        <v>0</v>
      </c>
      <c r="N977" s="211">
        <v>709</v>
      </c>
      <c r="O977" s="211">
        <v>2349784.02</v>
      </c>
      <c r="P977" s="213">
        <v>0</v>
      </c>
      <c r="Q977" s="211">
        <v>0</v>
      </c>
      <c r="R977" s="213">
        <v>0</v>
      </c>
      <c r="S977" s="211">
        <v>0</v>
      </c>
      <c r="T977" s="212">
        <v>0</v>
      </c>
      <c r="U977" s="290">
        <v>0</v>
      </c>
      <c r="V977" s="282"/>
      <c r="W977" s="282"/>
      <c r="X977" s="282"/>
    </row>
    <row r="978" spans="1:31" ht="30">
      <c r="A978" s="198"/>
      <c r="B978" s="214" t="s">
        <v>119</v>
      </c>
      <c r="C978" s="211">
        <f>C979+C980</f>
        <v>2547865</v>
      </c>
      <c r="D978" s="211">
        <f t="shared" ref="D978:U978" si="162">D979+D980</f>
        <v>0</v>
      </c>
      <c r="E978" s="211">
        <f t="shared" si="162"/>
        <v>0</v>
      </c>
      <c r="F978" s="211">
        <f t="shared" si="162"/>
        <v>0</v>
      </c>
      <c r="G978" s="211">
        <f t="shared" si="162"/>
        <v>0</v>
      </c>
      <c r="H978" s="211">
        <f t="shared" si="162"/>
        <v>0</v>
      </c>
      <c r="I978" s="211">
        <f t="shared" si="162"/>
        <v>0</v>
      </c>
      <c r="J978" s="211">
        <f t="shared" si="162"/>
        <v>0</v>
      </c>
      <c r="K978" s="211">
        <f t="shared" si="162"/>
        <v>0</v>
      </c>
      <c r="L978" s="211">
        <f t="shared" si="162"/>
        <v>0</v>
      </c>
      <c r="M978" s="211">
        <f t="shared" si="162"/>
        <v>0</v>
      </c>
      <c r="N978" s="211">
        <f t="shared" si="162"/>
        <v>840</v>
      </c>
      <c r="O978" s="211">
        <f t="shared" si="162"/>
        <v>2107512</v>
      </c>
      <c r="P978" s="211">
        <f t="shared" si="162"/>
        <v>430</v>
      </c>
      <c r="Q978" s="211">
        <f t="shared" si="162"/>
        <v>440353</v>
      </c>
      <c r="R978" s="211">
        <f t="shared" si="162"/>
        <v>0</v>
      </c>
      <c r="S978" s="211">
        <f t="shared" si="162"/>
        <v>0</v>
      </c>
      <c r="T978" s="211">
        <f t="shared" si="162"/>
        <v>0</v>
      </c>
      <c r="U978" s="211">
        <f t="shared" si="162"/>
        <v>0</v>
      </c>
      <c r="V978" s="282"/>
      <c r="W978" s="282"/>
      <c r="X978" s="282"/>
    </row>
    <row r="979" spans="1:31" ht="15.75">
      <c r="A979" s="198">
        <v>364</v>
      </c>
      <c r="B979" s="911" t="s">
        <v>982</v>
      </c>
      <c r="C979" s="211">
        <f>'часть 1'!L994</f>
        <v>440353</v>
      </c>
      <c r="D979" s="211">
        <v>0</v>
      </c>
      <c r="E979" s="211">
        <v>0</v>
      </c>
      <c r="F979" s="211">
        <v>0</v>
      </c>
      <c r="G979" s="211">
        <v>0</v>
      </c>
      <c r="H979" s="211">
        <v>0</v>
      </c>
      <c r="I979" s="211">
        <v>0</v>
      </c>
      <c r="J979" s="211">
        <v>0</v>
      </c>
      <c r="K979" s="211">
        <v>0</v>
      </c>
      <c r="L979" s="212">
        <v>0</v>
      </c>
      <c r="M979" s="211">
        <v>0</v>
      </c>
      <c r="N979" s="211">
        <v>0</v>
      </c>
      <c r="O979" s="211">
        <v>0</v>
      </c>
      <c r="P979" s="213">
        <v>430</v>
      </c>
      <c r="Q979" s="211">
        <v>440353</v>
      </c>
      <c r="R979" s="213">
        <v>0</v>
      </c>
      <c r="S979" s="211">
        <v>0</v>
      </c>
      <c r="T979" s="212">
        <v>0</v>
      </c>
      <c r="U979" s="290">
        <v>0</v>
      </c>
      <c r="V979" s="282"/>
      <c r="W979" s="282"/>
      <c r="X979" s="282"/>
      <c r="AE979" s="1">
        <f>Q979/P979</f>
        <v>1024.0767441860464</v>
      </c>
    </row>
    <row r="980" spans="1:31" ht="15.75">
      <c r="A980" s="198">
        <v>365</v>
      </c>
      <c r="B980" s="909" t="s">
        <v>983</v>
      </c>
      <c r="C980" s="211">
        <f>'часть 1'!L995</f>
        <v>2107512</v>
      </c>
      <c r="D980" s="211">
        <v>0</v>
      </c>
      <c r="E980" s="211">
        <v>0</v>
      </c>
      <c r="F980" s="211">
        <v>0</v>
      </c>
      <c r="G980" s="211">
        <v>0</v>
      </c>
      <c r="H980" s="211">
        <v>0</v>
      </c>
      <c r="I980" s="211">
        <v>0</v>
      </c>
      <c r="J980" s="211">
        <v>0</v>
      </c>
      <c r="K980" s="211">
        <v>0</v>
      </c>
      <c r="L980" s="212">
        <v>0</v>
      </c>
      <c r="M980" s="211">
        <v>0</v>
      </c>
      <c r="N980" s="211">
        <v>840</v>
      </c>
      <c r="O980" s="211">
        <v>2107512</v>
      </c>
      <c r="P980" s="213">
        <v>0</v>
      </c>
      <c r="Q980" s="211">
        <v>0</v>
      </c>
      <c r="R980" s="213">
        <v>0</v>
      </c>
      <c r="S980" s="211">
        <v>0</v>
      </c>
      <c r="T980" s="212">
        <v>0</v>
      </c>
      <c r="U980" s="290">
        <v>0</v>
      </c>
      <c r="V980" s="282"/>
      <c r="W980" s="282">
        <f>O980/N980</f>
        <v>2508.9428571428571</v>
      </c>
      <c r="X980" s="282"/>
    </row>
    <row r="981" spans="1:31">
      <c r="A981" s="198"/>
      <c r="B981" s="216" t="s">
        <v>58</v>
      </c>
      <c r="C981" s="211">
        <v>12228909</v>
      </c>
      <c r="D981" s="211"/>
      <c r="E981" s="211"/>
      <c r="F981" s="211"/>
      <c r="G981" s="211"/>
      <c r="H981" s="211"/>
      <c r="I981" s="211"/>
      <c r="J981" s="211"/>
      <c r="K981" s="211">
        <v>215709</v>
      </c>
      <c r="L981" s="212">
        <v>0</v>
      </c>
      <c r="M981" s="211">
        <v>0</v>
      </c>
      <c r="N981" s="211">
        <v>6001.34</v>
      </c>
      <c r="O981" s="211">
        <v>12013200</v>
      </c>
      <c r="P981" s="213">
        <v>0</v>
      </c>
      <c r="Q981" s="211">
        <v>0</v>
      </c>
      <c r="R981" s="213">
        <v>0</v>
      </c>
      <c r="S981" s="211">
        <v>0</v>
      </c>
      <c r="T981" s="212">
        <v>0</v>
      </c>
      <c r="U981" s="290">
        <v>0</v>
      </c>
      <c r="V981" s="282"/>
      <c r="W981" s="282"/>
      <c r="X981" s="282"/>
    </row>
    <row r="982" spans="1:31" ht="30">
      <c r="A982" s="198"/>
      <c r="B982" s="214" t="s">
        <v>87</v>
      </c>
      <c r="C982" s="211">
        <v>12228909</v>
      </c>
      <c r="D982" s="211"/>
      <c r="E982" s="211"/>
      <c r="F982" s="211"/>
      <c r="G982" s="211"/>
      <c r="H982" s="211"/>
      <c r="I982" s="211"/>
      <c r="J982" s="211"/>
      <c r="K982" s="211">
        <v>215709</v>
      </c>
      <c r="L982" s="212">
        <v>0</v>
      </c>
      <c r="M982" s="211">
        <v>0</v>
      </c>
      <c r="N982" s="211">
        <v>6001.34</v>
      </c>
      <c r="O982" s="211">
        <v>12013200</v>
      </c>
      <c r="P982" s="213">
        <v>0</v>
      </c>
      <c r="Q982" s="211">
        <v>0</v>
      </c>
      <c r="R982" s="213">
        <v>0</v>
      </c>
      <c r="S982" s="211">
        <v>0</v>
      </c>
      <c r="T982" s="212">
        <v>0</v>
      </c>
      <c r="U982" s="290">
        <v>0</v>
      </c>
      <c r="V982" s="282"/>
      <c r="W982" s="282"/>
      <c r="X982" s="282"/>
    </row>
    <row r="983" spans="1:31" s="29" customFormat="1">
      <c r="A983" s="198">
        <v>366</v>
      </c>
      <c r="B983" s="238" t="s">
        <v>84</v>
      </c>
      <c r="C983" s="232">
        <v>1668544</v>
      </c>
      <c r="D983" s="232"/>
      <c r="E983" s="232"/>
      <c r="F983" s="232"/>
      <c r="G983" s="232"/>
      <c r="H983" s="232"/>
      <c r="I983" s="232"/>
      <c r="J983" s="232"/>
      <c r="K983" s="196">
        <v>0</v>
      </c>
      <c r="L983" s="204">
        <v>0</v>
      </c>
      <c r="M983" s="209">
        <v>0</v>
      </c>
      <c r="N983" s="199">
        <v>840</v>
      </c>
      <c r="O983" s="237">
        <v>1668544</v>
      </c>
      <c r="P983" s="200">
        <v>0</v>
      </c>
      <c r="Q983" s="199">
        <v>0</v>
      </c>
      <c r="R983" s="200">
        <v>0</v>
      </c>
      <c r="S983" s="199">
        <v>0</v>
      </c>
      <c r="T983" s="208">
        <v>0</v>
      </c>
      <c r="U983" s="294">
        <v>0</v>
      </c>
      <c r="V983" s="282"/>
      <c r="W983" s="282"/>
      <c r="X983" s="282"/>
    </row>
    <row r="984" spans="1:31" s="29" customFormat="1">
      <c r="A984" s="198">
        <v>367</v>
      </c>
      <c r="B984" s="238" t="s">
        <v>425</v>
      </c>
      <c r="C984" s="211">
        <v>2239107</v>
      </c>
      <c r="D984" s="211"/>
      <c r="E984" s="211"/>
      <c r="F984" s="211"/>
      <c r="G984" s="211"/>
      <c r="H984" s="211"/>
      <c r="I984" s="211"/>
      <c r="J984" s="211"/>
      <c r="K984" s="196">
        <v>0</v>
      </c>
      <c r="L984" s="204">
        <v>0</v>
      </c>
      <c r="M984" s="209">
        <v>0</v>
      </c>
      <c r="N984" s="199">
        <v>1101</v>
      </c>
      <c r="O984" s="237">
        <v>2239107</v>
      </c>
      <c r="P984" s="200">
        <v>0</v>
      </c>
      <c r="Q984" s="199">
        <v>0</v>
      </c>
      <c r="R984" s="200">
        <v>0</v>
      </c>
      <c r="S984" s="199">
        <v>0</v>
      </c>
      <c r="T984" s="208">
        <v>0</v>
      </c>
      <c r="U984" s="294">
        <v>0</v>
      </c>
      <c r="V984" s="282"/>
      <c r="W984" s="282"/>
      <c r="X984" s="282"/>
    </row>
    <row r="985" spans="1:31" s="29" customFormat="1">
      <c r="A985" s="198">
        <v>368</v>
      </c>
      <c r="B985" s="238" t="s">
        <v>433</v>
      </c>
      <c r="C985" s="232">
        <v>215709</v>
      </c>
      <c r="D985" s="232"/>
      <c r="E985" s="232"/>
      <c r="F985" s="232"/>
      <c r="G985" s="232"/>
      <c r="H985" s="232"/>
      <c r="I985" s="232"/>
      <c r="J985" s="232"/>
      <c r="K985" s="196">
        <v>215709</v>
      </c>
      <c r="L985" s="204">
        <v>0</v>
      </c>
      <c r="M985" s="209">
        <v>0</v>
      </c>
      <c r="N985" s="199">
        <v>0</v>
      </c>
      <c r="O985" s="237">
        <v>0</v>
      </c>
      <c r="P985" s="200">
        <v>0</v>
      </c>
      <c r="Q985" s="199">
        <v>0</v>
      </c>
      <c r="R985" s="200">
        <v>0</v>
      </c>
      <c r="S985" s="199">
        <v>0</v>
      </c>
      <c r="T985" s="208">
        <v>0</v>
      </c>
      <c r="U985" s="294">
        <v>0</v>
      </c>
      <c r="V985" s="282"/>
      <c r="W985" s="282"/>
      <c r="X985" s="282"/>
    </row>
    <row r="986" spans="1:31" s="29" customFormat="1">
      <c r="A986" s="198">
        <v>369</v>
      </c>
      <c r="B986" s="238" t="s">
        <v>79</v>
      </c>
      <c r="C986" s="211">
        <v>706234</v>
      </c>
      <c r="D986" s="211"/>
      <c r="E986" s="211"/>
      <c r="F986" s="211"/>
      <c r="G986" s="211"/>
      <c r="H986" s="211"/>
      <c r="I986" s="211"/>
      <c r="J986" s="211"/>
      <c r="K986" s="196">
        <v>0</v>
      </c>
      <c r="L986" s="204">
        <v>0</v>
      </c>
      <c r="M986" s="209">
        <v>0</v>
      </c>
      <c r="N986" s="199">
        <v>348</v>
      </c>
      <c r="O986" s="237">
        <v>706234</v>
      </c>
      <c r="P986" s="200">
        <v>0</v>
      </c>
      <c r="Q986" s="199">
        <v>0</v>
      </c>
      <c r="R986" s="200">
        <v>0</v>
      </c>
      <c r="S986" s="199">
        <v>0</v>
      </c>
      <c r="T986" s="208">
        <v>0</v>
      </c>
      <c r="U986" s="294">
        <v>0</v>
      </c>
      <c r="V986" s="282"/>
      <c r="W986" s="282"/>
      <c r="X986" s="282"/>
    </row>
    <row r="987" spans="1:31" s="29" customFormat="1">
      <c r="A987" s="198">
        <v>370</v>
      </c>
      <c r="B987" s="238" t="s">
        <v>78</v>
      </c>
      <c r="C987" s="211">
        <v>651603</v>
      </c>
      <c r="D987" s="211"/>
      <c r="E987" s="211"/>
      <c r="F987" s="211"/>
      <c r="G987" s="211"/>
      <c r="H987" s="211"/>
      <c r="I987" s="211"/>
      <c r="J987" s="211"/>
      <c r="K987" s="196">
        <v>0</v>
      </c>
      <c r="L987" s="204">
        <v>0</v>
      </c>
      <c r="M987" s="209">
        <v>0</v>
      </c>
      <c r="N987" s="199">
        <v>320</v>
      </c>
      <c r="O987" s="237">
        <v>651603</v>
      </c>
      <c r="P987" s="200">
        <v>0</v>
      </c>
      <c r="Q987" s="199">
        <v>0</v>
      </c>
      <c r="R987" s="200">
        <v>0</v>
      </c>
      <c r="S987" s="199">
        <v>0</v>
      </c>
      <c r="T987" s="208">
        <v>0</v>
      </c>
      <c r="U987" s="294">
        <v>0</v>
      </c>
      <c r="V987" s="282"/>
      <c r="W987" s="282"/>
      <c r="X987" s="282"/>
    </row>
    <row r="988" spans="1:31" s="29" customFormat="1">
      <c r="A988" s="198">
        <v>371</v>
      </c>
      <c r="B988" s="238" t="s">
        <v>426</v>
      </c>
      <c r="C988" s="232">
        <v>698701</v>
      </c>
      <c r="D988" s="232"/>
      <c r="E988" s="232"/>
      <c r="F988" s="232"/>
      <c r="G988" s="232"/>
      <c r="H988" s="232"/>
      <c r="I988" s="232"/>
      <c r="J988" s="232"/>
      <c r="K988" s="196">
        <v>0</v>
      </c>
      <c r="L988" s="204">
        <v>0</v>
      </c>
      <c r="M988" s="209">
        <v>0</v>
      </c>
      <c r="N988" s="199">
        <v>352</v>
      </c>
      <c r="O988" s="237">
        <v>698701</v>
      </c>
      <c r="P988" s="200">
        <v>0</v>
      </c>
      <c r="Q988" s="199">
        <v>0</v>
      </c>
      <c r="R988" s="200">
        <v>0</v>
      </c>
      <c r="S988" s="199">
        <v>0</v>
      </c>
      <c r="T988" s="208">
        <v>0</v>
      </c>
      <c r="U988" s="294">
        <v>0</v>
      </c>
      <c r="V988" s="282"/>
      <c r="W988" s="282"/>
      <c r="X988" s="282"/>
    </row>
    <row r="989" spans="1:31" s="29" customFormat="1">
      <c r="A989" s="198">
        <v>372</v>
      </c>
      <c r="B989" s="238" t="s">
        <v>80</v>
      </c>
      <c r="C989" s="232">
        <v>1512903</v>
      </c>
      <c r="D989" s="232"/>
      <c r="E989" s="232"/>
      <c r="F989" s="232"/>
      <c r="G989" s="232"/>
      <c r="H989" s="232"/>
      <c r="I989" s="232"/>
      <c r="J989" s="232"/>
      <c r="K989" s="196">
        <v>0</v>
      </c>
      <c r="L989" s="204">
        <v>0</v>
      </c>
      <c r="M989" s="209">
        <v>0</v>
      </c>
      <c r="N989" s="199">
        <v>762</v>
      </c>
      <c r="O989" s="237">
        <v>1512903</v>
      </c>
      <c r="P989" s="200">
        <v>0</v>
      </c>
      <c r="Q989" s="199">
        <v>0</v>
      </c>
      <c r="R989" s="200">
        <v>0</v>
      </c>
      <c r="S989" s="199">
        <v>0</v>
      </c>
      <c r="T989" s="208">
        <v>0</v>
      </c>
      <c r="U989" s="294">
        <v>0</v>
      </c>
      <c r="V989" s="282"/>
      <c r="W989" s="282"/>
      <c r="X989" s="282"/>
    </row>
    <row r="990" spans="1:31" s="29" customFormat="1">
      <c r="A990" s="198">
        <v>373</v>
      </c>
      <c r="B990" s="238" t="s">
        <v>81</v>
      </c>
      <c r="C990" s="232">
        <v>2294873</v>
      </c>
      <c r="D990" s="232"/>
      <c r="E990" s="232"/>
      <c r="F990" s="232"/>
      <c r="G990" s="232"/>
      <c r="H990" s="232"/>
      <c r="I990" s="232"/>
      <c r="J990" s="232"/>
      <c r="K990" s="196">
        <v>0</v>
      </c>
      <c r="L990" s="204">
        <v>0</v>
      </c>
      <c r="M990" s="209">
        <v>0</v>
      </c>
      <c r="N990" s="199">
        <v>1162</v>
      </c>
      <c r="O990" s="237">
        <v>2294873</v>
      </c>
      <c r="P990" s="200">
        <v>0</v>
      </c>
      <c r="Q990" s="199">
        <v>0</v>
      </c>
      <c r="R990" s="230">
        <v>0</v>
      </c>
      <c r="S990" s="237">
        <v>0</v>
      </c>
      <c r="T990" s="208">
        <v>0</v>
      </c>
      <c r="U990" s="294">
        <v>0</v>
      </c>
      <c r="V990" s="282"/>
      <c r="W990" s="282"/>
      <c r="X990" s="282"/>
    </row>
    <row r="991" spans="1:31" s="29" customFormat="1">
      <c r="A991" s="198">
        <v>374</v>
      </c>
      <c r="B991" s="238" t="s">
        <v>82</v>
      </c>
      <c r="C991" s="232">
        <v>879987</v>
      </c>
      <c r="D991" s="232"/>
      <c r="E991" s="232"/>
      <c r="F991" s="232"/>
      <c r="G991" s="232"/>
      <c r="H991" s="232"/>
      <c r="I991" s="232"/>
      <c r="J991" s="232"/>
      <c r="K991" s="196">
        <v>0</v>
      </c>
      <c r="L991" s="204">
        <v>0</v>
      </c>
      <c r="M991" s="209">
        <v>0</v>
      </c>
      <c r="N991" s="199">
        <v>436.34</v>
      </c>
      <c r="O991" s="237">
        <v>879987</v>
      </c>
      <c r="P991" s="200">
        <v>0</v>
      </c>
      <c r="Q991" s="199">
        <v>0</v>
      </c>
      <c r="R991" s="200">
        <v>0</v>
      </c>
      <c r="S991" s="237">
        <v>0</v>
      </c>
      <c r="T991" s="208">
        <v>0</v>
      </c>
      <c r="U991" s="294">
        <v>0</v>
      </c>
      <c r="V991" s="282"/>
      <c r="W991" s="282"/>
      <c r="X991" s="282"/>
    </row>
    <row r="992" spans="1:31" s="29" customFormat="1">
      <c r="A992" s="198">
        <v>375</v>
      </c>
      <c r="B992" s="238" t="s">
        <v>83</v>
      </c>
      <c r="C992" s="232">
        <v>1361248</v>
      </c>
      <c r="D992" s="232"/>
      <c r="E992" s="232"/>
      <c r="F992" s="232"/>
      <c r="G992" s="232"/>
      <c r="H992" s="232"/>
      <c r="I992" s="232"/>
      <c r="J992" s="232"/>
      <c r="K992" s="196">
        <v>0</v>
      </c>
      <c r="L992" s="204">
        <v>0</v>
      </c>
      <c r="M992" s="209">
        <v>0</v>
      </c>
      <c r="N992" s="199">
        <v>680</v>
      </c>
      <c r="O992" s="237">
        <v>1361248</v>
      </c>
      <c r="P992" s="200">
        <v>0</v>
      </c>
      <c r="Q992" s="199">
        <v>0</v>
      </c>
      <c r="R992" s="230">
        <v>0</v>
      </c>
      <c r="S992" s="237">
        <v>0</v>
      </c>
      <c r="T992" s="208">
        <v>0</v>
      </c>
      <c r="U992" s="294">
        <v>0</v>
      </c>
      <c r="V992" s="282"/>
      <c r="W992" s="282"/>
      <c r="X992" s="282"/>
    </row>
    <row r="993" spans="1:26" ht="25.9" customHeight="1">
      <c r="A993" s="487"/>
      <c r="B993" s="501" t="s">
        <v>59</v>
      </c>
      <c r="C993" s="498">
        <f>C994+C995</f>
        <v>0</v>
      </c>
      <c r="D993" s="498">
        <f t="shared" ref="D993:V993" si="163">D994+D995</f>
        <v>0</v>
      </c>
      <c r="E993" s="498">
        <f t="shared" si="163"/>
        <v>0</v>
      </c>
      <c r="F993" s="498">
        <f t="shared" si="163"/>
        <v>0</v>
      </c>
      <c r="G993" s="498">
        <f t="shared" si="163"/>
        <v>0</v>
      </c>
      <c r="H993" s="498">
        <f t="shared" si="163"/>
        <v>0</v>
      </c>
      <c r="I993" s="498">
        <f t="shared" si="163"/>
        <v>0</v>
      </c>
      <c r="J993" s="498">
        <f t="shared" si="163"/>
        <v>0</v>
      </c>
      <c r="K993" s="498">
        <f t="shared" si="163"/>
        <v>0</v>
      </c>
      <c r="L993" s="498">
        <f t="shared" si="163"/>
        <v>0</v>
      </c>
      <c r="M993" s="498">
        <f t="shared" si="163"/>
        <v>0</v>
      </c>
      <c r="N993" s="498">
        <f t="shared" si="163"/>
        <v>0</v>
      </c>
      <c r="O993" s="498">
        <f t="shared" si="163"/>
        <v>0</v>
      </c>
      <c r="P993" s="498">
        <f t="shared" si="163"/>
        <v>0</v>
      </c>
      <c r="Q993" s="498">
        <f t="shared" si="163"/>
        <v>0</v>
      </c>
      <c r="R993" s="498">
        <f t="shared" si="163"/>
        <v>0</v>
      </c>
      <c r="S993" s="498">
        <f t="shared" si="163"/>
        <v>0</v>
      </c>
      <c r="T993" s="498">
        <f t="shared" si="163"/>
        <v>0</v>
      </c>
      <c r="U993" s="498">
        <f t="shared" si="163"/>
        <v>0</v>
      </c>
      <c r="V993" s="211">
        <f t="shared" si="163"/>
        <v>0</v>
      </c>
      <c r="W993" s="282"/>
      <c r="X993" s="282"/>
    </row>
    <row r="994" spans="1:26" ht="38.450000000000003" customHeight="1">
      <c r="A994" s="487"/>
      <c r="B994" s="505" t="s">
        <v>86</v>
      </c>
      <c r="C994" s="557">
        <v>0</v>
      </c>
      <c r="D994" s="557">
        <v>0</v>
      </c>
      <c r="E994" s="557">
        <v>0</v>
      </c>
      <c r="F994" s="557">
        <v>0</v>
      </c>
      <c r="G994" s="557">
        <v>0</v>
      </c>
      <c r="H994" s="557">
        <v>0</v>
      </c>
      <c r="I994" s="557">
        <v>0</v>
      </c>
      <c r="J994" s="557">
        <v>0</v>
      </c>
      <c r="K994" s="557">
        <v>0</v>
      </c>
      <c r="L994" s="926">
        <v>0</v>
      </c>
      <c r="M994" s="557">
        <v>0</v>
      </c>
      <c r="N994" s="557">
        <v>0</v>
      </c>
      <c r="O994" s="557">
        <v>0</v>
      </c>
      <c r="P994" s="927">
        <v>0</v>
      </c>
      <c r="Q994" s="557">
        <v>0</v>
      </c>
      <c r="R994" s="557">
        <v>0</v>
      </c>
      <c r="S994" s="557">
        <v>0</v>
      </c>
      <c r="T994" s="926">
        <v>0</v>
      </c>
      <c r="U994" s="928">
        <v>0</v>
      </c>
      <c r="V994" s="282"/>
      <c r="W994" s="282"/>
      <c r="X994" s="282"/>
      <c r="Y994" s="30"/>
      <c r="Z994" s="30"/>
    </row>
    <row r="995" spans="1:26" ht="30">
      <c r="A995" s="487"/>
      <c r="B995" s="505" t="s">
        <v>85</v>
      </c>
      <c r="C995" s="557">
        <v>0</v>
      </c>
      <c r="D995" s="557">
        <v>0</v>
      </c>
      <c r="E995" s="557">
        <v>0</v>
      </c>
      <c r="F995" s="557">
        <v>0</v>
      </c>
      <c r="G995" s="557">
        <v>0</v>
      </c>
      <c r="H995" s="557">
        <v>0</v>
      </c>
      <c r="I995" s="557">
        <v>0</v>
      </c>
      <c r="J995" s="557">
        <v>0</v>
      </c>
      <c r="K995" s="557">
        <v>0</v>
      </c>
      <c r="L995" s="926">
        <v>0</v>
      </c>
      <c r="M995" s="557">
        <v>0</v>
      </c>
      <c r="N995" s="557">
        <v>0</v>
      </c>
      <c r="O995" s="557">
        <v>0</v>
      </c>
      <c r="P995" s="927">
        <v>0</v>
      </c>
      <c r="Q995" s="557">
        <v>0</v>
      </c>
      <c r="R995" s="927">
        <v>0</v>
      </c>
      <c r="S995" s="557">
        <v>0</v>
      </c>
      <c r="T995" s="929">
        <v>0</v>
      </c>
      <c r="U995" s="928">
        <v>0</v>
      </c>
      <c r="V995" s="282"/>
      <c r="W995" s="282"/>
      <c r="X995" s="282"/>
      <c r="Y995" s="92"/>
      <c r="Z995" s="92"/>
    </row>
    <row r="996" spans="1:26">
      <c r="A996" s="198"/>
      <c r="B996" s="216" t="s">
        <v>60</v>
      </c>
      <c r="C996" s="211">
        <v>9462538</v>
      </c>
      <c r="D996" s="211"/>
      <c r="E996" s="211"/>
      <c r="F996" s="211"/>
      <c r="G996" s="211"/>
      <c r="H996" s="211"/>
      <c r="I996" s="211"/>
      <c r="J996" s="211"/>
      <c r="K996" s="211">
        <v>0</v>
      </c>
      <c r="L996" s="212">
        <v>0</v>
      </c>
      <c r="M996" s="211">
        <v>0</v>
      </c>
      <c r="N996" s="211">
        <v>1596</v>
      </c>
      <c r="O996" s="211">
        <v>3173810</v>
      </c>
      <c r="P996" s="213">
        <v>0</v>
      </c>
      <c r="Q996" s="211">
        <v>0</v>
      </c>
      <c r="R996" s="211">
        <v>4347</v>
      </c>
      <c r="S996" s="211">
        <v>6288728</v>
      </c>
      <c r="T996" s="212">
        <v>0</v>
      </c>
      <c r="U996" s="290">
        <v>0</v>
      </c>
      <c r="V996" s="282"/>
      <c r="W996" s="282"/>
      <c r="X996" s="282"/>
    </row>
    <row r="997" spans="1:26" ht="30">
      <c r="A997" s="198"/>
      <c r="B997" s="214" t="s">
        <v>113</v>
      </c>
      <c r="C997" s="211">
        <v>9462538</v>
      </c>
      <c r="D997" s="211"/>
      <c r="E997" s="211"/>
      <c r="F997" s="211"/>
      <c r="G997" s="211"/>
      <c r="H997" s="211"/>
      <c r="I997" s="211"/>
      <c r="J997" s="211"/>
      <c r="K997" s="211">
        <v>0</v>
      </c>
      <c r="L997" s="212">
        <v>0</v>
      </c>
      <c r="M997" s="211">
        <v>0</v>
      </c>
      <c r="N997" s="211">
        <v>1596</v>
      </c>
      <c r="O997" s="211">
        <v>3173810</v>
      </c>
      <c r="P997" s="213">
        <v>0</v>
      </c>
      <c r="Q997" s="211">
        <v>0</v>
      </c>
      <c r="R997" s="211">
        <v>4347</v>
      </c>
      <c r="S997" s="211">
        <v>6288728</v>
      </c>
      <c r="T997" s="212">
        <v>0</v>
      </c>
      <c r="U997" s="290">
        <v>0</v>
      </c>
      <c r="V997" s="282"/>
      <c r="W997" s="282"/>
      <c r="X997" s="282"/>
      <c r="Y997" s="10"/>
      <c r="Z997" s="10"/>
    </row>
    <row r="998" spans="1:26" s="32" customFormat="1">
      <c r="A998" s="198">
        <v>435</v>
      </c>
      <c r="B998" s="206" t="s">
        <v>76</v>
      </c>
      <c r="C998" s="232">
        <v>3626543</v>
      </c>
      <c r="D998" s="232"/>
      <c r="E998" s="232"/>
      <c r="F998" s="232"/>
      <c r="G998" s="232"/>
      <c r="H998" s="232"/>
      <c r="I998" s="232"/>
      <c r="J998" s="232"/>
      <c r="K998" s="211">
        <v>0</v>
      </c>
      <c r="L998" s="212">
        <v>0</v>
      </c>
      <c r="M998" s="211">
        <v>0</v>
      </c>
      <c r="N998" s="211">
        <v>0</v>
      </c>
      <c r="O998" s="211">
        <v>0</v>
      </c>
      <c r="P998" s="213">
        <v>0</v>
      </c>
      <c r="Q998" s="211">
        <v>0</v>
      </c>
      <c r="R998" s="232">
        <v>2511</v>
      </c>
      <c r="S998" s="232">
        <v>3626543</v>
      </c>
      <c r="T998" s="212">
        <v>0</v>
      </c>
      <c r="U998" s="290">
        <v>0</v>
      </c>
      <c r="V998" s="282"/>
      <c r="W998" s="282"/>
      <c r="X998" s="282"/>
      <c r="Y998" s="31"/>
      <c r="Z998" s="31"/>
    </row>
    <row r="999" spans="1:26" s="32" customFormat="1">
      <c r="A999" s="198">
        <v>436</v>
      </c>
      <c r="B999" s="206" t="s">
        <v>75</v>
      </c>
      <c r="C999" s="232">
        <v>2160246</v>
      </c>
      <c r="D999" s="232"/>
      <c r="E999" s="232"/>
      <c r="F999" s="232"/>
      <c r="G999" s="232"/>
      <c r="H999" s="232"/>
      <c r="I999" s="232"/>
      <c r="J999" s="232"/>
      <c r="K999" s="211">
        <v>0</v>
      </c>
      <c r="L999" s="212">
        <v>0</v>
      </c>
      <c r="M999" s="211">
        <v>0</v>
      </c>
      <c r="N999" s="232">
        <v>1092</v>
      </c>
      <c r="O999" s="232">
        <v>2160246</v>
      </c>
      <c r="P999" s="213">
        <v>0</v>
      </c>
      <c r="Q999" s="211">
        <v>0</v>
      </c>
      <c r="R999" s="213">
        <v>0</v>
      </c>
      <c r="S999" s="211">
        <v>0</v>
      </c>
      <c r="T999" s="212">
        <v>0</v>
      </c>
      <c r="U999" s="290">
        <v>0</v>
      </c>
      <c r="V999" s="282"/>
      <c r="W999" s="282"/>
      <c r="X999" s="282"/>
      <c r="Y999" s="31"/>
      <c r="Z999" s="31"/>
    </row>
    <row r="1000" spans="1:26" s="32" customFormat="1">
      <c r="A1000" s="198">
        <v>437</v>
      </c>
      <c r="B1000" s="206" t="s">
        <v>77</v>
      </c>
      <c r="C1000" s="232">
        <v>1013564</v>
      </c>
      <c r="D1000" s="232"/>
      <c r="E1000" s="232"/>
      <c r="F1000" s="232"/>
      <c r="G1000" s="232"/>
      <c r="H1000" s="232"/>
      <c r="I1000" s="232"/>
      <c r="J1000" s="232"/>
      <c r="K1000" s="211">
        <v>0</v>
      </c>
      <c r="L1000" s="212">
        <v>0</v>
      </c>
      <c r="M1000" s="211">
        <v>0</v>
      </c>
      <c r="N1000" s="232">
        <v>504</v>
      </c>
      <c r="O1000" s="232">
        <v>1013564</v>
      </c>
      <c r="P1000" s="213">
        <v>0</v>
      </c>
      <c r="Q1000" s="211">
        <v>0</v>
      </c>
      <c r="R1000" s="213">
        <v>0</v>
      </c>
      <c r="S1000" s="211">
        <v>0</v>
      </c>
      <c r="T1000" s="212">
        <v>0</v>
      </c>
      <c r="U1000" s="290">
        <v>0</v>
      </c>
      <c r="V1000" s="282"/>
      <c r="W1000" s="282"/>
      <c r="X1000" s="282"/>
      <c r="Y1000" s="31"/>
      <c r="Z1000" s="31"/>
    </row>
    <row r="1001" spans="1:26" s="32" customFormat="1">
      <c r="A1001" s="198">
        <v>438</v>
      </c>
      <c r="B1001" s="206" t="s">
        <v>427</v>
      </c>
      <c r="C1001" s="232">
        <v>2662185</v>
      </c>
      <c r="D1001" s="232"/>
      <c r="E1001" s="232"/>
      <c r="F1001" s="232"/>
      <c r="G1001" s="232"/>
      <c r="H1001" s="232"/>
      <c r="I1001" s="232"/>
      <c r="J1001" s="232"/>
      <c r="K1001" s="211">
        <v>0</v>
      </c>
      <c r="L1001" s="212">
        <v>0</v>
      </c>
      <c r="M1001" s="211">
        <v>0</v>
      </c>
      <c r="N1001" s="211">
        <v>0</v>
      </c>
      <c r="O1001" s="211">
        <v>0</v>
      </c>
      <c r="P1001" s="213">
        <v>0</v>
      </c>
      <c r="Q1001" s="211">
        <v>0</v>
      </c>
      <c r="R1001" s="232">
        <v>1836</v>
      </c>
      <c r="S1001" s="232">
        <v>2662185</v>
      </c>
      <c r="T1001" s="212">
        <v>0</v>
      </c>
      <c r="U1001" s="290">
        <v>0</v>
      </c>
      <c r="V1001" s="282"/>
      <c r="W1001" s="282"/>
      <c r="X1001" s="282"/>
      <c r="Y1001" s="31"/>
      <c r="Z1001" s="31"/>
    </row>
    <row r="1002" spans="1:26" s="32" customFormat="1">
      <c r="A1002" s="198"/>
      <c r="B1002" s="206" t="s">
        <v>208</v>
      </c>
      <c r="C1002" s="232">
        <v>562350</v>
      </c>
      <c r="D1002" s="232"/>
      <c r="E1002" s="232"/>
      <c r="F1002" s="232"/>
      <c r="G1002" s="232"/>
      <c r="H1002" s="232"/>
      <c r="I1002" s="232"/>
      <c r="J1002" s="232"/>
      <c r="K1002" s="232">
        <v>0</v>
      </c>
      <c r="L1002" s="239">
        <v>0</v>
      </c>
      <c r="M1002" s="232">
        <v>0</v>
      </c>
      <c r="N1002" s="232">
        <v>275</v>
      </c>
      <c r="O1002" s="232">
        <v>562350</v>
      </c>
      <c r="P1002" s="230">
        <v>0</v>
      </c>
      <c r="Q1002" s="232">
        <v>0</v>
      </c>
      <c r="R1002" s="230">
        <v>0</v>
      </c>
      <c r="S1002" s="232">
        <v>0</v>
      </c>
      <c r="T1002" s="230">
        <v>0</v>
      </c>
      <c r="U1002" s="295">
        <v>0</v>
      </c>
      <c r="V1002" s="282"/>
      <c r="W1002" s="282"/>
      <c r="X1002" s="282"/>
      <c r="Y1002" s="31"/>
      <c r="Z1002" s="31"/>
    </row>
    <row r="1003" spans="1:26" s="32" customFormat="1" ht="30">
      <c r="A1003" s="198"/>
      <c r="B1003" s="214" t="s">
        <v>209</v>
      </c>
      <c r="C1003" s="232">
        <f>C1004</f>
        <v>423156</v>
      </c>
      <c r="D1003" s="232">
        <f t="shared" ref="D1003:U1003" si="164">D1004</f>
        <v>0</v>
      </c>
      <c r="E1003" s="232">
        <f t="shared" si="164"/>
        <v>0</v>
      </c>
      <c r="F1003" s="232">
        <f t="shared" si="164"/>
        <v>0</v>
      </c>
      <c r="G1003" s="232">
        <f t="shared" si="164"/>
        <v>0</v>
      </c>
      <c r="H1003" s="232">
        <f t="shared" si="164"/>
        <v>0</v>
      </c>
      <c r="I1003" s="232">
        <f t="shared" si="164"/>
        <v>0</v>
      </c>
      <c r="J1003" s="232">
        <f t="shared" si="164"/>
        <v>0</v>
      </c>
      <c r="K1003" s="232">
        <f t="shared" si="164"/>
        <v>0</v>
      </c>
      <c r="L1003" s="232">
        <f t="shared" si="164"/>
        <v>0</v>
      </c>
      <c r="M1003" s="232">
        <f t="shared" si="164"/>
        <v>0</v>
      </c>
      <c r="N1003" s="232">
        <f t="shared" si="164"/>
        <v>0</v>
      </c>
      <c r="O1003" s="232">
        <f t="shared" si="164"/>
        <v>0</v>
      </c>
      <c r="P1003" s="232">
        <f t="shared" si="164"/>
        <v>0</v>
      </c>
      <c r="Q1003" s="232">
        <f t="shared" si="164"/>
        <v>0</v>
      </c>
      <c r="R1003" s="232">
        <f t="shared" si="164"/>
        <v>275</v>
      </c>
      <c r="S1003" s="232">
        <f t="shared" si="164"/>
        <v>423156</v>
      </c>
      <c r="T1003" s="232">
        <f t="shared" si="164"/>
        <v>0</v>
      </c>
      <c r="U1003" s="232">
        <f t="shared" si="164"/>
        <v>0</v>
      </c>
      <c r="V1003" s="282"/>
      <c r="W1003" s="282"/>
      <c r="X1003" s="282"/>
      <c r="Y1003" s="31"/>
      <c r="Z1003" s="31"/>
    </row>
    <row r="1004" spans="1:26" s="32" customFormat="1">
      <c r="A1004" s="487">
        <v>439</v>
      </c>
      <c r="B1004" s="506" t="s">
        <v>479</v>
      </c>
      <c r="C1004" s="507">
        <v>423156</v>
      </c>
      <c r="D1004" s="507">
        <v>0</v>
      </c>
      <c r="E1004" s="507">
        <v>0</v>
      </c>
      <c r="F1004" s="507">
        <v>0</v>
      </c>
      <c r="G1004" s="507">
        <v>0</v>
      </c>
      <c r="H1004" s="507">
        <v>0</v>
      </c>
      <c r="I1004" s="507">
        <v>0</v>
      </c>
      <c r="J1004" s="507">
        <v>0</v>
      </c>
      <c r="K1004" s="498">
        <v>0</v>
      </c>
      <c r="L1004" s="502">
        <v>0</v>
      </c>
      <c r="M1004" s="498">
        <v>0</v>
      </c>
      <c r="N1004" s="498">
        <v>0</v>
      </c>
      <c r="O1004" s="498">
        <v>0</v>
      </c>
      <c r="P1004" s="503">
        <v>0</v>
      </c>
      <c r="Q1004" s="498">
        <v>0</v>
      </c>
      <c r="R1004" s="508">
        <v>275</v>
      </c>
      <c r="S1004" s="507">
        <v>423156</v>
      </c>
      <c r="T1004" s="502">
        <v>0</v>
      </c>
      <c r="U1004" s="504">
        <v>0</v>
      </c>
      <c r="V1004" s="282"/>
      <c r="W1004" s="282"/>
      <c r="X1004" s="282">
        <f>S1004/R1004</f>
        <v>1538.7490909090909</v>
      </c>
      <c r="Y1004" s="31"/>
      <c r="Z1004" s="31"/>
    </row>
    <row r="1005" spans="1:26">
      <c r="A1005" s="198"/>
      <c r="B1005" s="216" t="s">
        <v>61</v>
      </c>
      <c r="C1005" s="211">
        <v>1267050</v>
      </c>
      <c r="D1005" s="211"/>
      <c r="E1005" s="211"/>
      <c r="F1005" s="211"/>
      <c r="G1005" s="211"/>
      <c r="H1005" s="211"/>
      <c r="I1005" s="211"/>
      <c r="J1005" s="211"/>
      <c r="K1005" s="211">
        <v>0</v>
      </c>
      <c r="L1005" s="212">
        <v>0</v>
      </c>
      <c r="M1005" s="211">
        <v>0</v>
      </c>
      <c r="N1005" s="211">
        <v>643</v>
      </c>
      <c r="O1005" s="211">
        <v>1267050</v>
      </c>
      <c r="P1005" s="213">
        <v>0</v>
      </c>
      <c r="Q1005" s="211">
        <v>0</v>
      </c>
      <c r="R1005" s="213">
        <v>0</v>
      </c>
      <c r="S1005" s="211">
        <v>0</v>
      </c>
      <c r="T1005" s="212">
        <v>0</v>
      </c>
      <c r="U1005" s="290">
        <v>0</v>
      </c>
      <c r="V1005" s="282"/>
      <c r="W1005" s="282"/>
      <c r="X1005" s="282"/>
    </row>
    <row r="1006" spans="1:26" ht="30">
      <c r="A1006" s="198"/>
      <c r="B1006" s="214" t="s">
        <v>118</v>
      </c>
      <c r="C1006" s="211">
        <f>C1007+C1008+C1009</f>
        <v>4886972</v>
      </c>
      <c r="D1006" s="211">
        <f t="shared" ref="D1006:U1006" si="165">D1007+D1008+D1009</f>
        <v>0</v>
      </c>
      <c r="E1006" s="211">
        <f t="shared" si="165"/>
        <v>0</v>
      </c>
      <c r="F1006" s="211">
        <f t="shared" si="165"/>
        <v>0</v>
      </c>
      <c r="G1006" s="211">
        <f t="shared" si="165"/>
        <v>0</v>
      </c>
      <c r="H1006" s="211">
        <f t="shared" si="165"/>
        <v>0</v>
      </c>
      <c r="I1006" s="211">
        <f t="shared" si="165"/>
        <v>0</v>
      </c>
      <c r="J1006" s="211">
        <f t="shared" si="165"/>
        <v>0</v>
      </c>
      <c r="K1006" s="211">
        <f t="shared" si="165"/>
        <v>0</v>
      </c>
      <c r="L1006" s="211">
        <f t="shared" si="165"/>
        <v>0</v>
      </c>
      <c r="M1006" s="211">
        <f t="shared" si="165"/>
        <v>0</v>
      </c>
      <c r="N1006" s="211">
        <f t="shared" si="165"/>
        <v>1530.7200000000003</v>
      </c>
      <c r="O1006" s="211">
        <f t="shared" si="165"/>
        <v>4886972</v>
      </c>
      <c r="P1006" s="211">
        <f t="shared" si="165"/>
        <v>0</v>
      </c>
      <c r="Q1006" s="211">
        <f t="shared" si="165"/>
        <v>0</v>
      </c>
      <c r="R1006" s="211">
        <f t="shared" si="165"/>
        <v>0</v>
      </c>
      <c r="S1006" s="211">
        <f t="shared" si="165"/>
        <v>0</v>
      </c>
      <c r="T1006" s="211">
        <f t="shared" si="165"/>
        <v>0</v>
      </c>
      <c r="U1006" s="211">
        <f t="shared" si="165"/>
        <v>0</v>
      </c>
      <c r="V1006" s="282"/>
      <c r="W1006" s="282"/>
      <c r="X1006" s="282"/>
    </row>
    <row r="1007" spans="1:26">
      <c r="A1007" s="487"/>
      <c r="B1007" s="499" t="s">
        <v>597</v>
      </c>
      <c r="C1007" s="498">
        <v>1449272</v>
      </c>
      <c r="D1007" s="498">
        <v>0</v>
      </c>
      <c r="E1007" s="498">
        <v>0</v>
      </c>
      <c r="F1007" s="498">
        <v>0</v>
      </c>
      <c r="G1007" s="498">
        <v>0</v>
      </c>
      <c r="H1007" s="498">
        <v>0</v>
      </c>
      <c r="I1007" s="498">
        <v>0</v>
      </c>
      <c r="J1007" s="498">
        <v>0</v>
      </c>
      <c r="K1007" s="498">
        <v>0</v>
      </c>
      <c r="L1007" s="498">
        <v>0</v>
      </c>
      <c r="M1007" s="498">
        <v>0</v>
      </c>
      <c r="N1007" s="498">
        <v>453.12</v>
      </c>
      <c r="O1007" s="498">
        <v>1449272</v>
      </c>
      <c r="P1007" s="498">
        <v>0</v>
      </c>
      <c r="Q1007" s="498">
        <v>0</v>
      </c>
      <c r="R1007" s="498">
        <v>0</v>
      </c>
      <c r="S1007" s="498">
        <v>0</v>
      </c>
      <c r="T1007" s="498">
        <v>0</v>
      </c>
      <c r="U1007" s="498">
        <v>0</v>
      </c>
      <c r="V1007" s="282"/>
      <c r="W1007" s="282">
        <f>O1007/N1007</f>
        <v>3198.4286723163841</v>
      </c>
      <c r="X1007" s="282"/>
    </row>
    <row r="1008" spans="1:26">
      <c r="A1008" s="487">
        <v>440</v>
      </c>
      <c r="B1008" s="499" t="s">
        <v>493</v>
      </c>
      <c r="C1008" s="498">
        <v>2576258</v>
      </c>
      <c r="D1008" s="498">
        <v>0</v>
      </c>
      <c r="E1008" s="498">
        <v>0</v>
      </c>
      <c r="F1008" s="498">
        <v>0</v>
      </c>
      <c r="G1008" s="498">
        <v>0</v>
      </c>
      <c r="H1008" s="498">
        <v>0</v>
      </c>
      <c r="I1008" s="498">
        <v>0</v>
      </c>
      <c r="J1008" s="498">
        <v>0</v>
      </c>
      <c r="K1008" s="498">
        <v>0</v>
      </c>
      <c r="L1008" s="502">
        <v>0</v>
      </c>
      <c r="M1008" s="498">
        <v>0</v>
      </c>
      <c r="N1008" s="498">
        <v>811.2</v>
      </c>
      <c r="O1008" s="498">
        <v>2576258</v>
      </c>
      <c r="P1008" s="503">
        <v>0</v>
      </c>
      <c r="Q1008" s="498">
        <v>0</v>
      </c>
      <c r="R1008" s="503">
        <v>0</v>
      </c>
      <c r="S1008" s="498">
        <v>0</v>
      </c>
      <c r="T1008" s="502">
        <v>0</v>
      </c>
      <c r="U1008" s="504">
        <v>0</v>
      </c>
      <c r="V1008" s="282"/>
      <c r="W1008" s="282">
        <f t="shared" ref="W1008:W1009" si="166">O1008/N1008</f>
        <v>3175.8604536489152</v>
      </c>
      <c r="X1008" s="282"/>
    </row>
    <row r="1009" spans="1:31">
      <c r="A1009" s="487"/>
      <c r="B1009" s="499" t="s">
        <v>494</v>
      </c>
      <c r="C1009" s="498">
        <v>861442</v>
      </c>
      <c r="D1009" s="498">
        <v>0</v>
      </c>
      <c r="E1009" s="498">
        <v>0</v>
      </c>
      <c r="F1009" s="498">
        <v>0</v>
      </c>
      <c r="G1009" s="498">
        <v>0</v>
      </c>
      <c r="H1009" s="498">
        <v>0</v>
      </c>
      <c r="I1009" s="498">
        <v>0</v>
      </c>
      <c r="J1009" s="498">
        <v>0</v>
      </c>
      <c r="K1009" s="498">
        <v>0</v>
      </c>
      <c r="L1009" s="502">
        <v>0</v>
      </c>
      <c r="M1009" s="498">
        <v>0</v>
      </c>
      <c r="N1009" s="498">
        <v>266.39999999999998</v>
      </c>
      <c r="O1009" s="498">
        <v>861442</v>
      </c>
      <c r="P1009" s="503">
        <v>0</v>
      </c>
      <c r="Q1009" s="498">
        <v>0</v>
      </c>
      <c r="R1009" s="503">
        <v>0</v>
      </c>
      <c r="S1009" s="498">
        <v>0</v>
      </c>
      <c r="T1009" s="502">
        <v>0</v>
      </c>
      <c r="U1009" s="504">
        <v>0</v>
      </c>
      <c r="V1009" s="282"/>
      <c r="W1009" s="282">
        <f t="shared" si="166"/>
        <v>3233.6411411411414</v>
      </c>
      <c r="X1009" s="282"/>
    </row>
    <row r="1010" spans="1:31" ht="17.45" customHeight="1">
      <c r="A1010" s="194"/>
      <c r="B1010" s="214" t="s">
        <v>649</v>
      </c>
      <c r="C1010" s="211">
        <f>C1011</f>
        <v>1577672</v>
      </c>
      <c r="D1010" s="211">
        <f t="shared" ref="D1010:V1010" si="167">D1011</f>
        <v>0</v>
      </c>
      <c r="E1010" s="211">
        <f t="shared" si="167"/>
        <v>0</v>
      </c>
      <c r="F1010" s="211">
        <f t="shared" si="167"/>
        <v>0</v>
      </c>
      <c r="G1010" s="211">
        <f t="shared" si="167"/>
        <v>0</v>
      </c>
      <c r="H1010" s="211">
        <f t="shared" si="167"/>
        <v>0</v>
      </c>
      <c r="I1010" s="211">
        <f t="shared" si="167"/>
        <v>0</v>
      </c>
      <c r="J1010" s="211">
        <f t="shared" si="167"/>
        <v>0</v>
      </c>
      <c r="K1010" s="211">
        <f t="shared" si="167"/>
        <v>0</v>
      </c>
      <c r="L1010" s="211">
        <f t="shared" si="167"/>
        <v>0</v>
      </c>
      <c r="M1010" s="211">
        <f t="shared" si="167"/>
        <v>0</v>
      </c>
      <c r="N1010" s="211">
        <f t="shared" si="167"/>
        <v>0</v>
      </c>
      <c r="O1010" s="211">
        <f t="shared" si="167"/>
        <v>0</v>
      </c>
      <c r="P1010" s="211">
        <f t="shared" si="167"/>
        <v>0</v>
      </c>
      <c r="Q1010" s="211">
        <f t="shared" si="167"/>
        <v>0</v>
      </c>
      <c r="R1010" s="211">
        <f t="shared" si="167"/>
        <v>1027.1600000000001</v>
      </c>
      <c r="S1010" s="211">
        <f t="shared" si="167"/>
        <v>1577672</v>
      </c>
      <c r="T1010" s="211">
        <f t="shared" si="167"/>
        <v>0</v>
      </c>
      <c r="U1010" s="211">
        <f t="shared" si="167"/>
        <v>0</v>
      </c>
      <c r="V1010" s="211">
        <f t="shared" si="167"/>
        <v>0</v>
      </c>
      <c r="W1010" s="282"/>
      <c r="X1010" s="282"/>
    </row>
    <row r="1011" spans="1:31" ht="30">
      <c r="A1011" s="194"/>
      <c r="B1011" s="214" t="s">
        <v>652</v>
      </c>
      <c r="C1011" s="211">
        <f>C1012+C1013</f>
        <v>1577672</v>
      </c>
      <c r="D1011" s="211">
        <f t="shared" ref="D1011:U1011" si="168">D1012+D1013</f>
        <v>0</v>
      </c>
      <c r="E1011" s="211">
        <f t="shared" si="168"/>
        <v>0</v>
      </c>
      <c r="F1011" s="211">
        <f t="shared" si="168"/>
        <v>0</v>
      </c>
      <c r="G1011" s="211">
        <f t="shared" si="168"/>
        <v>0</v>
      </c>
      <c r="H1011" s="211">
        <f t="shared" si="168"/>
        <v>0</v>
      </c>
      <c r="I1011" s="211">
        <f t="shared" si="168"/>
        <v>0</v>
      </c>
      <c r="J1011" s="211">
        <f t="shared" si="168"/>
        <v>0</v>
      </c>
      <c r="K1011" s="211">
        <f t="shared" si="168"/>
        <v>0</v>
      </c>
      <c r="L1011" s="211">
        <f t="shared" si="168"/>
        <v>0</v>
      </c>
      <c r="M1011" s="211">
        <f t="shared" si="168"/>
        <v>0</v>
      </c>
      <c r="N1011" s="211">
        <f t="shared" si="168"/>
        <v>0</v>
      </c>
      <c r="O1011" s="211">
        <f t="shared" si="168"/>
        <v>0</v>
      </c>
      <c r="P1011" s="211">
        <f t="shared" si="168"/>
        <v>0</v>
      </c>
      <c r="Q1011" s="211">
        <f t="shared" si="168"/>
        <v>0</v>
      </c>
      <c r="R1011" s="211">
        <f t="shared" si="168"/>
        <v>1027.1600000000001</v>
      </c>
      <c r="S1011" s="211">
        <f t="shared" si="168"/>
        <v>1577672</v>
      </c>
      <c r="T1011" s="211">
        <f t="shared" si="168"/>
        <v>0</v>
      </c>
      <c r="U1011" s="211">
        <f t="shared" si="168"/>
        <v>0</v>
      </c>
      <c r="V1011" s="282"/>
      <c r="W1011" s="282"/>
      <c r="X1011" s="282"/>
    </row>
    <row r="1012" spans="1:31" ht="15.75">
      <c r="A1012" s="194"/>
      <c r="B1012" s="567" t="s">
        <v>653</v>
      </c>
      <c r="C1012" s="211">
        <v>788836</v>
      </c>
      <c r="D1012" s="211">
        <v>0</v>
      </c>
      <c r="E1012" s="211">
        <v>0</v>
      </c>
      <c r="F1012" s="211">
        <v>0</v>
      </c>
      <c r="G1012" s="211">
        <v>0</v>
      </c>
      <c r="H1012" s="211">
        <v>0</v>
      </c>
      <c r="I1012" s="211">
        <v>0</v>
      </c>
      <c r="J1012" s="211">
        <v>0</v>
      </c>
      <c r="K1012" s="211">
        <v>0</v>
      </c>
      <c r="L1012" s="212">
        <v>0</v>
      </c>
      <c r="M1012" s="211">
        <v>0</v>
      </c>
      <c r="N1012" s="211">
        <v>0</v>
      </c>
      <c r="O1012" s="211">
        <v>0</v>
      </c>
      <c r="P1012" s="213">
        <v>0</v>
      </c>
      <c r="Q1012" s="211">
        <v>0</v>
      </c>
      <c r="R1012" s="213">
        <v>513.58000000000004</v>
      </c>
      <c r="S1012" s="211">
        <v>788836</v>
      </c>
      <c r="T1012" s="212">
        <v>0</v>
      </c>
      <c r="U1012" s="290">
        <v>0</v>
      </c>
      <c r="V1012" s="282"/>
      <c r="W1012" s="282"/>
      <c r="X1012" s="282">
        <f>S1012/R1012</f>
        <v>1535.9554499785816</v>
      </c>
    </row>
    <row r="1013" spans="1:31" ht="15.75">
      <c r="A1013" s="194"/>
      <c r="B1013" s="567" t="s">
        <v>654</v>
      </c>
      <c r="C1013" s="211">
        <v>788836</v>
      </c>
      <c r="D1013" s="211">
        <v>0</v>
      </c>
      <c r="E1013" s="211">
        <v>0</v>
      </c>
      <c r="F1013" s="211">
        <v>0</v>
      </c>
      <c r="G1013" s="211">
        <v>0</v>
      </c>
      <c r="H1013" s="211">
        <v>0</v>
      </c>
      <c r="I1013" s="211">
        <v>0</v>
      </c>
      <c r="J1013" s="211">
        <v>0</v>
      </c>
      <c r="K1013" s="211">
        <v>0</v>
      </c>
      <c r="L1013" s="212">
        <v>0</v>
      </c>
      <c r="M1013" s="211">
        <v>0</v>
      </c>
      <c r="N1013" s="211">
        <v>0</v>
      </c>
      <c r="O1013" s="211">
        <v>0</v>
      </c>
      <c r="P1013" s="213">
        <v>0</v>
      </c>
      <c r="Q1013" s="211">
        <v>0</v>
      </c>
      <c r="R1013" s="213">
        <v>513.58000000000004</v>
      </c>
      <c r="S1013" s="211">
        <v>788836</v>
      </c>
      <c r="T1013" s="212">
        <v>0</v>
      </c>
      <c r="U1013" s="290">
        <v>0</v>
      </c>
      <c r="V1013" s="282"/>
      <c r="W1013" s="282"/>
      <c r="X1013" s="282">
        <f>S1013/R1013</f>
        <v>1535.9554499785816</v>
      </c>
    </row>
    <row r="1014" spans="1:31">
      <c r="A1014" s="198"/>
      <c r="B1014" s="216" t="s">
        <v>62</v>
      </c>
      <c r="C1014" s="211">
        <v>974618</v>
      </c>
      <c r="D1014" s="211"/>
      <c r="E1014" s="211"/>
      <c r="F1014" s="211"/>
      <c r="G1014" s="211"/>
      <c r="H1014" s="211"/>
      <c r="I1014" s="211"/>
      <c r="J1014" s="211"/>
      <c r="K1014" s="211">
        <v>0</v>
      </c>
      <c r="L1014" s="212">
        <v>0</v>
      </c>
      <c r="M1014" s="211">
        <v>0</v>
      </c>
      <c r="N1014" s="211">
        <v>484</v>
      </c>
      <c r="O1014" s="211">
        <v>974618</v>
      </c>
      <c r="P1014" s="213">
        <v>0</v>
      </c>
      <c r="Q1014" s="211">
        <v>0</v>
      </c>
      <c r="R1014" s="213">
        <v>0</v>
      </c>
      <c r="S1014" s="211">
        <v>0</v>
      </c>
      <c r="T1014" s="212">
        <v>0</v>
      </c>
      <c r="U1014" s="290">
        <v>0</v>
      </c>
      <c r="V1014" s="282"/>
      <c r="W1014" s="282"/>
      <c r="X1014" s="282"/>
    </row>
    <row r="1015" spans="1:31" ht="30">
      <c r="A1015" s="198"/>
      <c r="B1015" s="238" t="s">
        <v>117</v>
      </c>
      <c r="C1015" s="211">
        <f>C1016</f>
        <v>1134905</v>
      </c>
      <c r="D1015" s="211">
        <f t="shared" ref="D1015:V1015" si="169">D1016</f>
        <v>0</v>
      </c>
      <c r="E1015" s="211">
        <f t="shared" si="169"/>
        <v>0</v>
      </c>
      <c r="F1015" s="211">
        <f t="shared" si="169"/>
        <v>0</v>
      </c>
      <c r="G1015" s="211">
        <f t="shared" si="169"/>
        <v>0</v>
      </c>
      <c r="H1015" s="211">
        <f t="shared" si="169"/>
        <v>0</v>
      </c>
      <c r="I1015" s="211">
        <f t="shared" si="169"/>
        <v>0</v>
      </c>
      <c r="J1015" s="211">
        <f t="shared" si="169"/>
        <v>0</v>
      </c>
      <c r="K1015" s="211">
        <f t="shared" si="169"/>
        <v>0</v>
      </c>
      <c r="L1015" s="211">
        <f t="shared" si="169"/>
        <v>0</v>
      </c>
      <c r="M1015" s="211">
        <f t="shared" si="169"/>
        <v>0</v>
      </c>
      <c r="N1015" s="211">
        <f t="shared" si="169"/>
        <v>353</v>
      </c>
      <c r="O1015" s="211">
        <f t="shared" si="169"/>
        <v>1134905</v>
      </c>
      <c r="P1015" s="211">
        <f t="shared" si="169"/>
        <v>0</v>
      </c>
      <c r="Q1015" s="211">
        <f t="shared" si="169"/>
        <v>0</v>
      </c>
      <c r="R1015" s="211">
        <f t="shared" si="169"/>
        <v>0</v>
      </c>
      <c r="S1015" s="211">
        <f t="shared" si="169"/>
        <v>0</v>
      </c>
      <c r="T1015" s="211">
        <f t="shared" si="169"/>
        <v>0</v>
      </c>
      <c r="U1015" s="211">
        <f t="shared" si="169"/>
        <v>0</v>
      </c>
      <c r="V1015" s="211">
        <f t="shared" si="169"/>
        <v>0</v>
      </c>
      <c r="W1015" s="211"/>
      <c r="X1015" s="211"/>
      <c r="Y1015" s="211"/>
      <c r="Z1015" s="211"/>
      <c r="AA1015" s="211"/>
      <c r="AB1015" s="211"/>
      <c r="AC1015" s="211"/>
      <c r="AD1015" s="211"/>
      <c r="AE1015" s="211"/>
    </row>
    <row r="1016" spans="1:31">
      <c r="A1016" s="487">
        <v>441</v>
      </c>
      <c r="B1016" s="499" t="s">
        <v>487</v>
      </c>
      <c r="C1016" s="498">
        <v>1134905</v>
      </c>
      <c r="D1016" s="498">
        <v>0</v>
      </c>
      <c r="E1016" s="498">
        <v>0</v>
      </c>
      <c r="F1016" s="498">
        <v>0</v>
      </c>
      <c r="G1016" s="498">
        <v>0</v>
      </c>
      <c r="H1016" s="498">
        <v>0</v>
      </c>
      <c r="I1016" s="498">
        <v>0</v>
      </c>
      <c r="J1016" s="498">
        <v>0</v>
      </c>
      <c r="K1016" s="498">
        <v>0</v>
      </c>
      <c r="L1016" s="502">
        <v>0</v>
      </c>
      <c r="M1016" s="498">
        <v>0</v>
      </c>
      <c r="N1016" s="498">
        <v>353</v>
      </c>
      <c r="O1016" s="498">
        <v>1134905</v>
      </c>
      <c r="P1016" s="503">
        <v>0</v>
      </c>
      <c r="Q1016" s="498">
        <v>0</v>
      </c>
      <c r="R1016" s="503">
        <v>0</v>
      </c>
      <c r="S1016" s="498">
        <v>0</v>
      </c>
      <c r="T1016" s="502">
        <v>0</v>
      </c>
      <c r="U1016" s="504">
        <v>0</v>
      </c>
      <c r="V1016" s="282"/>
      <c r="W1016" s="282">
        <f>O1016/N1016</f>
        <v>3215.0283286118979</v>
      </c>
      <c r="X1016" s="282"/>
    </row>
    <row r="1017" spans="1:31">
      <c r="A1017" s="487"/>
      <c r="B1017" s="501" t="s">
        <v>63</v>
      </c>
      <c r="C1017" s="498">
        <f>C1018</f>
        <v>2751167</v>
      </c>
      <c r="D1017" s="498">
        <f t="shared" ref="D1017:U1017" si="170">D1018</f>
        <v>0</v>
      </c>
      <c r="E1017" s="498">
        <f t="shared" si="170"/>
        <v>0</v>
      </c>
      <c r="F1017" s="498">
        <f t="shared" si="170"/>
        <v>0</v>
      </c>
      <c r="G1017" s="498">
        <f t="shared" si="170"/>
        <v>0</v>
      </c>
      <c r="H1017" s="498">
        <f t="shared" si="170"/>
        <v>0</v>
      </c>
      <c r="I1017" s="498">
        <f t="shared" si="170"/>
        <v>0</v>
      </c>
      <c r="J1017" s="498">
        <f t="shared" si="170"/>
        <v>0</v>
      </c>
      <c r="K1017" s="498">
        <f t="shared" si="170"/>
        <v>0</v>
      </c>
      <c r="L1017" s="498">
        <f t="shared" si="170"/>
        <v>0</v>
      </c>
      <c r="M1017" s="498">
        <f t="shared" si="170"/>
        <v>0</v>
      </c>
      <c r="N1017" s="498">
        <f t="shared" si="170"/>
        <v>908.87</v>
      </c>
      <c r="O1017" s="498">
        <f t="shared" si="170"/>
        <v>2751167</v>
      </c>
      <c r="P1017" s="498">
        <f t="shared" si="170"/>
        <v>0</v>
      </c>
      <c r="Q1017" s="498">
        <f t="shared" si="170"/>
        <v>0</v>
      </c>
      <c r="R1017" s="498">
        <f t="shared" si="170"/>
        <v>0</v>
      </c>
      <c r="S1017" s="498">
        <f t="shared" si="170"/>
        <v>0</v>
      </c>
      <c r="T1017" s="498">
        <f t="shared" si="170"/>
        <v>0</v>
      </c>
      <c r="U1017" s="498">
        <f t="shared" si="170"/>
        <v>0</v>
      </c>
      <c r="V1017" s="282"/>
      <c r="W1017" s="282"/>
      <c r="X1017" s="282"/>
    </row>
    <row r="1018" spans="1:31" ht="30">
      <c r="A1018" s="487"/>
      <c r="B1018" s="499" t="s">
        <v>116</v>
      </c>
      <c r="C1018" s="498">
        <f>C1019+C1020</f>
        <v>2751167</v>
      </c>
      <c r="D1018" s="498">
        <f t="shared" ref="D1018:V1018" si="171">D1019+D1020</f>
        <v>0</v>
      </c>
      <c r="E1018" s="498">
        <f t="shared" si="171"/>
        <v>0</v>
      </c>
      <c r="F1018" s="498">
        <f t="shared" si="171"/>
        <v>0</v>
      </c>
      <c r="G1018" s="498">
        <f t="shared" si="171"/>
        <v>0</v>
      </c>
      <c r="H1018" s="498">
        <f t="shared" si="171"/>
        <v>0</v>
      </c>
      <c r="I1018" s="498">
        <f t="shared" si="171"/>
        <v>0</v>
      </c>
      <c r="J1018" s="498">
        <f t="shared" si="171"/>
        <v>0</v>
      </c>
      <c r="K1018" s="498">
        <f t="shared" si="171"/>
        <v>0</v>
      </c>
      <c r="L1018" s="498">
        <f t="shared" si="171"/>
        <v>0</v>
      </c>
      <c r="M1018" s="498">
        <f t="shared" si="171"/>
        <v>0</v>
      </c>
      <c r="N1018" s="498">
        <f t="shared" si="171"/>
        <v>908.87</v>
      </c>
      <c r="O1018" s="498">
        <f t="shared" si="171"/>
        <v>2751167</v>
      </c>
      <c r="P1018" s="498">
        <f t="shared" si="171"/>
        <v>0</v>
      </c>
      <c r="Q1018" s="498">
        <f t="shared" si="171"/>
        <v>0</v>
      </c>
      <c r="R1018" s="498">
        <f t="shared" si="171"/>
        <v>0</v>
      </c>
      <c r="S1018" s="498">
        <f t="shared" si="171"/>
        <v>0</v>
      </c>
      <c r="T1018" s="498">
        <f t="shared" si="171"/>
        <v>0</v>
      </c>
      <c r="U1018" s="498">
        <f t="shared" si="171"/>
        <v>0</v>
      </c>
      <c r="V1018" s="211">
        <f t="shared" si="171"/>
        <v>0</v>
      </c>
      <c r="W1018" s="282"/>
      <c r="X1018" s="282"/>
    </row>
    <row r="1019" spans="1:31">
      <c r="A1019" s="487">
        <v>442</v>
      </c>
      <c r="B1019" s="499" t="s">
        <v>677</v>
      </c>
      <c r="C1019" s="498">
        <f>'часть 1'!L1030</f>
        <v>2217768</v>
      </c>
      <c r="D1019" s="498">
        <v>0</v>
      </c>
      <c r="E1019" s="498">
        <v>0</v>
      </c>
      <c r="F1019" s="498">
        <v>0</v>
      </c>
      <c r="G1019" s="498">
        <v>0</v>
      </c>
      <c r="H1019" s="498">
        <v>0</v>
      </c>
      <c r="I1019" s="498">
        <v>0</v>
      </c>
      <c r="J1019" s="498">
        <v>0</v>
      </c>
      <c r="K1019" s="498">
        <v>0</v>
      </c>
      <c r="L1019" s="502">
        <v>0</v>
      </c>
      <c r="M1019" s="498">
        <v>0</v>
      </c>
      <c r="N1019" s="498">
        <v>697</v>
      </c>
      <c r="O1019" s="498">
        <v>2217768</v>
      </c>
      <c r="P1019" s="503">
        <v>0</v>
      </c>
      <c r="Q1019" s="498">
        <v>0</v>
      </c>
      <c r="R1019" s="503">
        <v>0</v>
      </c>
      <c r="S1019" s="498">
        <v>0</v>
      </c>
      <c r="T1019" s="502">
        <v>0</v>
      </c>
      <c r="U1019" s="504">
        <v>0</v>
      </c>
      <c r="V1019" s="282"/>
      <c r="W1019" s="282">
        <f>O1019/N1019</f>
        <v>3181.8766140602584</v>
      </c>
      <c r="X1019" s="282"/>
    </row>
    <row r="1020" spans="1:31">
      <c r="A1020" s="487">
        <v>443</v>
      </c>
      <c r="B1020" s="499" t="s">
        <v>504</v>
      </c>
      <c r="C1020" s="498">
        <f>'часть 1'!L1031</f>
        <v>533399</v>
      </c>
      <c r="D1020" s="498">
        <v>0</v>
      </c>
      <c r="E1020" s="498">
        <v>0</v>
      </c>
      <c r="F1020" s="498">
        <v>0</v>
      </c>
      <c r="G1020" s="498">
        <v>0</v>
      </c>
      <c r="H1020" s="498">
        <v>0</v>
      </c>
      <c r="I1020" s="498">
        <v>0</v>
      </c>
      <c r="J1020" s="498">
        <v>0</v>
      </c>
      <c r="K1020" s="498">
        <v>0</v>
      </c>
      <c r="L1020" s="502">
        <v>0</v>
      </c>
      <c r="M1020" s="498">
        <v>0</v>
      </c>
      <c r="N1020" s="489">
        <v>211.87</v>
      </c>
      <c r="O1020" s="498">
        <v>533399</v>
      </c>
      <c r="P1020" s="503">
        <v>0</v>
      </c>
      <c r="Q1020" s="498">
        <v>0</v>
      </c>
      <c r="R1020" s="503">
        <v>0</v>
      </c>
      <c r="S1020" s="498">
        <v>0</v>
      </c>
      <c r="T1020" s="502">
        <v>0</v>
      </c>
      <c r="U1020" s="504">
        <v>0</v>
      </c>
      <c r="V1020" s="282"/>
      <c r="W1020" s="282">
        <f>O1020/N1020</f>
        <v>2517.5768159720583</v>
      </c>
      <c r="X1020" s="282"/>
    </row>
    <row r="1021" spans="1:31">
      <c r="A1021" s="198"/>
      <c r="B1021" s="216" t="s">
        <v>64</v>
      </c>
      <c r="C1021" s="211">
        <v>6928539</v>
      </c>
      <c r="D1021" s="211"/>
      <c r="E1021" s="211"/>
      <c r="F1021" s="211"/>
      <c r="G1021" s="211"/>
      <c r="H1021" s="211"/>
      <c r="I1021" s="211"/>
      <c r="J1021" s="211"/>
      <c r="K1021" s="211">
        <v>0</v>
      </c>
      <c r="L1021" s="212">
        <v>0</v>
      </c>
      <c r="M1021" s="211">
        <v>0</v>
      </c>
      <c r="N1021" s="211">
        <v>3103</v>
      </c>
      <c r="O1021" s="211">
        <v>6183896</v>
      </c>
      <c r="P1021" s="213">
        <v>0</v>
      </c>
      <c r="Q1021" s="211">
        <v>0</v>
      </c>
      <c r="R1021" s="211">
        <v>512.4</v>
      </c>
      <c r="S1021" s="211">
        <v>744643</v>
      </c>
      <c r="T1021" s="212">
        <v>0</v>
      </c>
      <c r="U1021" s="290">
        <v>0</v>
      </c>
      <c r="V1021" s="282"/>
      <c r="W1021" s="282"/>
      <c r="X1021" s="282"/>
    </row>
    <row r="1022" spans="1:31" ht="30">
      <c r="A1022" s="198"/>
      <c r="B1022" s="214" t="s">
        <v>115</v>
      </c>
      <c r="C1022" s="211">
        <f>C1023+C1024+C1025+C1026</f>
        <v>5819333</v>
      </c>
      <c r="D1022" s="211">
        <f t="shared" ref="D1022:U1022" si="172">D1023+D1024+D1025+D1026</f>
        <v>0</v>
      </c>
      <c r="E1022" s="211">
        <f t="shared" si="172"/>
        <v>0</v>
      </c>
      <c r="F1022" s="211">
        <f t="shared" si="172"/>
        <v>0</v>
      </c>
      <c r="G1022" s="211">
        <f t="shared" si="172"/>
        <v>0</v>
      </c>
      <c r="H1022" s="211">
        <f t="shared" si="172"/>
        <v>0</v>
      </c>
      <c r="I1022" s="211">
        <f t="shared" si="172"/>
        <v>0</v>
      </c>
      <c r="J1022" s="211">
        <f t="shared" si="172"/>
        <v>0</v>
      </c>
      <c r="K1022" s="211">
        <f t="shared" si="172"/>
        <v>0</v>
      </c>
      <c r="L1022" s="211">
        <f t="shared" si="172"/>
        <v>0</v>
      </c>
      <c r="M1022" s="211">
        <f t="shared" si="172"/>
        <v>0</v>
      </c>
      <c r="N1022" s="211">
        <f t="shared" si="172"/>
        <v>1818</v>
      </c>
      <c r="O1022" s="211">
        <f t="shared" si="172"/>
        <v>5819333</v>
      </c>
      <c r="P1022" s="211">
        <f t="shared" si="172"/>
        <v>0</v>
      </c>
      <c r="Q1022" s="211">
        <f t="shared" si="172"/>
        <v>0</v>
      </c>
      <c r="R1022" s="211">
        <f t="shared" si="172"/>
        <v>0</v>
      </c>
      <c r="S1022" s="211">
        <f t="shared" si="172"/>
        <v>0</v>
      </c>
      <c r="T1022" s="211">
        <f t="shared" si="172"/>
        <v>0</v>
      </c>
      <c r="U1022" s="211">
        <f t="shared" si="172"/>
        <v>0</v>
      </c>
      <c r="V1022" s="282"/>
      <c r="W1022" s="282"/>
      <c r="X1022" s="282"/>
      <c r="Y1022" s="25"/>
      <c r="Z1022" s="25"/>
    </row>
    <row r="1023" spans="1:31" ht="30">
      <c r="A1023" s="487">
        <v>444</v>
      </c>
      <c r="B1023" s="499" t="s">
        <v>612</v>
      </c>
      <c r="C1023" s="498">
        <v>1575182</v>
      </c>
      <c r="D1023" s="498">
        <v>0</v>
      </c>
      <c r="E1023" s="498">
        <v>0</v>
      </c>
      <c r="F1023" s="498">
        <v>0</v>
      </c>
      <c r="G1023" s="498">
        <v>0</v>
      </c>
      <c r="H1023" s="498">
        <v>0</v>
      </c>
      <c r="I1023" s="498">
        <v>0</v>
      </c>
      <c r="J1023" s="498">
        <v>0</v>
      </c>
      <c r="K1023" s="498">
        <v>0</v>
      </c>
      <c r="L1023" s="502">
        <v>0</v>
      </c>
      <c r="M1023" s="498">
        <v>0</v>
      </c>
      <c r="N1023" s="498">
        <v>493</v>
      </c>
      <c r="O1023" s="498">
        <v>1575182</v>
      </c>
      <c r="P1023" s="503">
        <v>0</v>
      </c>
      <c r="Q1023" s="498">
        <v>0</v>
      </c>
      <c r="R1023" s="503">
        <v>0</v>
      </c>
      <c r="S1023" s="498">
        <v>0</v>
      </c>
      <c r="T1023" s="502">
        <v>0</v>
      </c>
      <c r="U1023" s="504">
        <v>0</v>
      </c>
      <c r="V1023" s="282"/>
      <c r="W1023" s="282">
        <f>O1023/N1023</f>
        <v>3195.0953346855986</v>
      </c>
      <c r="X1023" s="282"/>
    </row>
    <row r="1024" spans="1:31" ht="30">
      <c r="A1024" s="487">
        <v>445</v>
      </c>
      <c r="B1024" s="499" t="s">
        <v>613</v>
      </c>
      <c r="C1024" s="498">
        <v>1455693</v>
      </c>
      <c r="D1024" s="498">
        <v>0</v>
      </c>
      <c r="E1024" s="498">
        <v>0</v>
      </c>
      <c r="F1024" s="498">
        <v>0</v>
      </c>
      <c r="G1024" s="498">
        <v>0</v>
      </c>
      <c r="H1024" s="498">
        <v>0</v>
      </c>
      <c r="I1024" s="498">
        <v>0</v>
      </c>
      <c r="J1024" s="498">
        <v>0</v>
      </c>
      <c r="K1024" s="498">
        <v>0</v>
      </c>
      <c r="L1024" s="502">
        <v>0</v>
      </c>
      <c r="M1024" s="498">
        <v>0</v>
      </c>
      <c r="N1024" s="498">
        <v>455</v>
      </c>
      <c r="O1024" s="498">
        <v>1455693</v>
      </c>
      <c r="P1024" s="503">
        <v>0</v>
      </c>
      <c r="Q1024" s="498">
        <v>0</v>
      </c>
      <c r="R1024" s="503">
        <v>0</v>
      </c>
      <c r="S1024" s="498">
        <v>0</v>
      </c>
      <c r="T1024" s="502">
        <v>0</v>
      </c>
      <c r="U1024" s="504">
        <v>0</v>
      </c>
      <c r="V1024" s="282"/>
      <c r="W1024" s="282">
        <f t="shared" ref="W1024:W1026" si="173">O1024/N1024</f>
        <v>3199.3252747252745</v>
      </c>
      <c r="X1024" s="282"/>
    </row>
    <row r="1025" spans="1:35">
      <c r="A1025" s="487">
        <v>446</v>
      </c>
      <c r="B1025" s="499" t="s">
        <v>614</v>
      </c>
      <c r="C1025" s="498">
        <v>1394327</v>
      </c>
      <c r="D1025" s="498">
        <v>0</v>
      </c>
      <c r="E1025" s="498">
        <v>0</v>
      </c>
      <c r="F1025" s="498">
        <v>0</v>
      </c>
      <c r="G1025" s="498">
        <v>0</v>
      </c>
      <c r="H1025" s="498">
        <v>0</v>
      </c>
      <c r="I1025" s="498">
        <v>0</v>
      </c>
      <c r="J1025" s="498">
        <v>0</v>
      </c>
      <c r="K1025" s="498">
        <v>0</v>
      </c>
      <c r="L1025" s="502">
        <v>0</v>
      </c>
      <c r="M1025" s="498">
        <v>0</v>
      </c>
      <c r="N1025" s="498">
        <v>435</v>
      </c>
      <c r="O1025" s="498">
        <v>1394327</v>
      </c>
      <c r="P1025" s="503">
        <v>0</v>
      </c>
      <c r="Q1025" s="498">
        <v>0</v>
      </c>
      <c r="R1025" s="498">
        <v>0</v>
      </c>
      <c r="S1025" s="498">
        <v>0</v>
      </c>
      <c r="T1025" s="502">
        <v>0</v>
      </c>
      <c r="U1025" s="504">
        <v>0</v>
      </c>
      <c r="V1025" s="282"/>
      <c r="W1025" s="282">
        <f t="shared" si="173"/>
        <v>3205.3494252873561</v>
      </c>
      <c r="X1025" s="282"/>
      <c r="Y1025" s="25"/>
      <c r="Z1025" s="25"/>
    </row>
    <row r="1026" spans="1:35">
      <c r="A1026" s="487">
        <v>447</v>
      </c>
      <c r="B1026" s="499" t="s">
        <v>615</v>
      </c>
      <c r="C1026" s="498">
        <v>1394131</v>
      </c>
      <c r="D1026" s="498">
        <v>0</v>
      </c>
      <c r="E1026" s="498">
        <v>0</v>
      </c>
      <c r="F1026" s="498">
        <v>0</v>
      </c>
      <c r="G1026" s="498">
        <v>0</v>
      </c>
      <c r="H1026" s="498">
        <v>0</v>
      </c>
      <c r="I1026" s="498">
        <v>0</v>
      </c>
      <c r="J1026" s="498">
        <v>0</v>
      </c>
      <c r="K1026" s="498">
        <v>0</v>
      </c>
      <c r="L1026" s="502">
        <v>0</v>
      </c>
      <c r="M1026" s="498">
        <v>0</v>
      </c>
      <c r="N1026" s="498">
        <v>435</v>
      </c>
      <c r="O1026" s="498">
        <v>1394131</v>
      </c>
      <c r="P1026" s="503">
        <v>0</v>
      </c>
      <c r="Q1026" s="498">
        <v>0</v>
      </c>
      <c r="R1026" s="503">
        <v>0</v>
      </c>
      <c r="S1026" s="498">
        <v>0</v>
      </c>
      <c r="T1026" s="502">
        <v>0</v>
      </c>
      <c r="U1026" s="504">
        <v>0</v>
      </c>
      <c r="V1026" s="282"/>
      <c r="W1026" s="282">
        <f t="shared" si="173"/>
        <v>3204.8988505747125</v>
      </c>
      <c r="X1026" s="282"/>
    </row>
    <row r="1027" spans="1:35">
      <c r="A1027" s="198"/>
      <c r="B1027" s="216" t="s">
        <v>65</v>
      </c>
      <c r="C1027" s="211">
        <f>C1028+C1030</f>
        <v>3125223</v>
      </c>
      <c r="D1027" s="211">
        <f t="shared" ref="D1027:V1027" si="174">D1028+D1030</f>
        <v>0</v>
      </c>
      <c r="E1027" s="211">
        <f t="shared" si="174"/>
        <v>0</v>
      </c>
      <c r="F1027" s="211">
        <f t="shared" si="174"/>
        <v>0</v>
      </c>
      <c r="G1027" s="211">
        <f t="shared" si="174"/>
        <v>0</v>
      </c>
      <c r="H1027" s="211">
        <f t="shared" si="174"/>
        <v>0</v>
      </c>
      <c r="I1027" s="211">
        <f t="shared" si="174"/>
        <v>0</v>
      </c>
      <c r="J1027" s="211">
        <f t="shared" si="174"/>
        <v>0</v>
      </c>
      <c r="K1027" s="211">
        <f t="shared" si="174"/>
        <v>0</v>
      </c>
      <c r="L1027" s="211">
        <f t="shared" si="174"/>
        <v>0</v>
      </c>
      <c r="M1027" s="211">
        <f t="shared" si="174"/>
        <v>0</v>
      </c>
      <c r="N1027" s="211">
        <f t="shared" si="174"/>
        <v>977.7</v>
      </c>
      <c r="O1027" s="211">
        <f t="shared" si="174"/>
        <v>3125223</v>
      </c>
      <c r="P1027" s="211">
        <f t="shared" si="174"/>
        <v>0</v>
      </c>
      <c r="Q1027" s="211">
        <f t="shared" si="174"/>
        <v>0</v>
      </c>
      <c r="R1027" s="211">
        <f t="shared" si="174"/>
        <v>0</v>
      </c>
      <c r="S1027" s="211">
        <f t="shared" si="174"/>
        <v>0</v>
      </c>
      <c r="T1027" s="211">
        <f t="shared" si="174"/>
        <v>0</v>
      </c>
      <c r="U1027" s="211">
        <f t="shared" si="174"/>
        <v>0</v>
      </c>
      <c r="V1027" s="211">
        <f t="shared" si="174"/>
        <v>0</v>
      </c>
      <c r="W1027" s="282"/>
      <c r="X1027" s="282"/>
    </row>
    <row r="1028" spans="1:35" ht="30">
      <c r="A1028" s="198"/>
      <c r="B1028" s="214" t="s">
        <v>633</v>
      </c>
      <c r="C1028" s="211">
        <f>C1029</f>
        <v>1402855</v>
      </c>
      <c r="D1028" s="211">
        <f t="shared" ref="D1028:U1028" si="175">D1029</f>
        <v>0</v>
      </c>
      <c r="E1028" s="211">
        <f t="shared" si="175"/>
        <v>0</v>
      </c>
      <c r="F1028" s="211">
        <f t="shared" si="175"/>
        <v>0</v>
      </c>
      <c r="G1028" s="211">
        <f t="shared" si="175"/>
        <v>0</v>
      </c>
      <c r="H1028" s="211">
        <f t="shared" si="175"/>
        <v>0</v>
      </c>
      <c r="I1028" s="211">
        <f t="shared" si="175"/>
        <v>0</v>
      </c>
      <c r="J1028" s="211">
        <f t="shared" si="175"/>
        <v>0</v>
      </c>
      <c r="K1028" s="211">
        <f t="shared" si="175"/>
        <v>0</v>
      </c>
      <c r="L1028" s="211">
        <f t="shared" si="175"/>
        <v>0</v>
      </c>
      <c r="M1028" s="211">
        <f t="shared" si="175"/>
        <v>0</v>
      </c>
      <c r="N1028" s="211">
        <f t="shared" si="175"/>
        <v>438</v>
      </c>
      <c r="O1028" s="211">
        <f t="shared" si="175"/>
        <v>1402855</v>
      </c>
      <c r="P1028" s="211">
        <f t="shared" si="175"/>
        <v>0</v>
      </c>
      <c r="Q1028" s="211">
        <f t="shared" si="175"/>
        <v>0</v>
      </c>
      <c r="R1028" s="211">
        <f t="shared" si="175"/>
        <v>0</v>
      </c>
      <c r="S1028" s="211">
        <f t="shared" si="175"/>
        <v>0</v>
      </c>
      <c r="T1028" s="211">
        <f t="shared" si="175"/>
        <v>0</v>
      </c>
      <c r="U1028" s="211">
        <f t="shared" si="175"/>
        <v>0</v>
      </c>
      <c r="V1028" s="282"/>
      <c r="W1028" s="282"/>
      <c r="X1028" s="282"/>
    </row>
    <row r="1029" spans="1:35">
      <c r="A1029" s="198">
        <v>448</v>
      </c>
      <c r="B1029" s="214" t="s">
        <v>634</v>
      </c>
      <c r="C1029" s="211">
        <v>1402855</v>
      </c>
      <c r="D1029" s="211">
        <v>0</v>
      </c>
      <c r="E1029" s="211">
        <v>0</v>
      </c>
      <c r="F1029" s="211">
        <v>0</v>
      </c>
      <c r="G1029" s="211">
        <v>0</v>
      </c>
      <c r="H1029" s="211">
        <v>0</v>
      </c>
      <c r="I1029" s="211">
        <v>0</v>
      </c>
      <c r="J1029" s="211">
        <v>0</v>
      </c>
      <c r="K1029" s="211">
        <v>0</v>
      </c>
      <c r="L1029" s="212">
        <v>0</v>
      </c>
      <c r="M1029" s="211">
        <v>0</v>
      </c>
      <c r="N1029" s="211">
        <v>438</v>
      </c>
      <c r="O1029" s="211">
        <v>1402855</v>
      </c>
      <c r="P1029" s="213">
        <v>0</v>
      </c>
      <c r="Q1029" s="211">
        <v>0</v>
      </c>
      <c r="R1029" s="213">
        <v>0</v>
      </c>
      <c r="S1029" s="211">
        <v>0</v>
      </c>
      <c r="T1029" s="212">
        <v>0</v>
      </c>
      <c r="U1029" s="290">
        <v>0</v>
      </c>
      <c r="V1029" s="282"/>
      <c r="W1029" s="282">
        <f>O1029/N1029</f>
        <v>3202.8652968036531</v>
      </c>
      <c r="X1029" s="282"/>
    </row>
    <row r="1030" spans="1:35" ht="30">
      <c r="A1030" s="198"/>
      <c r="B1030" s="214" t="s">
        <v>635</v>
      </c>
      <c r="C1030" s="211">
        <f>C1031</f>
        <v>1722368</v>
      </c>
      <c r="D1030" s="211">
        <f t="shared" ref="D1030:U1030" si="176">D1031</f>
        <v>0</v>
      </c>
      <c r="E1030" s="211">
        <f t="shared" si="176"/>
        <v>0</v>
      </c>
      <c r="F1030" s="211">
        <f t="shared" si="176"/>
        <v>0</v>
      </c>
      <c r="G1030" s="211">
        <f t="shared" si="176"/>
        <v>0</v>
      </c>
      <c r="H1030" s="211">
        <f t="shared" si="176"/>
        <v>0</v>
      </c>
      <c r="I1030" s="211">
        <f t="shared" si="176"/>
        <v>0</v>
      </c>
      <c r="J1030" s="211">
        <f t="shared" si="176"/>
        <v>0</v>
      </c>
      <c r="K1030" s="211">
        <f t="shared" si="176"/>
        <v>0</v>
      </c>
      <c r="L1030" s="211">
        <f t="shared" si="176"/>
        <v>0</v>
      </c>
      <c r="M1030" s="211">
        <f t="shared" si="176"/>
        <v>0</v>
      </c>
      <c r="N1030" s="211">
        <f t="shared" si="176"/>
        <v>539.70000000000005</v>
      </c>
      <c r="O1030" s="211">
        <f t="shared" si="176"/>
        <v>1722368</v>
      </c>
      <c r="P1030" s="211">
        <f t="shared" si="176"/>
        <v>0</v>
      </c>
      <c r="Q1030" s="211">
        <f t="shared" si="176"/>
        <v>0</v>
      </c>
      <c r="R1030" s="211">
        <f t="shared" si="176"/>
        <v>0</v>
      </c>
      <c r="S1030" s="211">
        <f t="shared" si="176"/>
        <v>0</v>
      </c>
      <c r="T1030" s="211">
        <f t="shared" si="176"/>
        <v>0</v>
      </c>
      <c r="U1030" s="211">
        <f t="shared" si="176"/>
        <v>0</v>
      </c>
      <c r="V1030" s="282"/>
      <c r="W1030" s="282"/>
      <c r="X1030" s="282"/>
    </row>
    <row r="1031" spans="1:35">
      <c r="A1031" s="198">
        <v>449</v>
      </c>
      <c r="B1031" s="214" t="s">
        <v>636</v>
      </c>
      <c r="C1031" s="211">
        <v>1722368</v>
      </c>
      <c r="D1031" s="211">
        <v>0</v>
      </c>
      <c r="E1031" s="211">
        <v>0</v>
      </c>
      <c r="F1031" s="211">
        <v>0</v>
      </c>
      <c r="G1031" s="211">
        <v>0</v>
      </c>
      <c r="H1031" s="211">
        <v>0</v>
      </c>
      <c r="I1031" s="211">
        <v>0</v>
      </c>
      <c r="J1031" s="211">
        <v>0</v>
      </c>
      <c r="K1031" s="211">
        <v>0</v>
      </c>
      <c r="L1031" s="212">
        <v>0</v>
      </c>
      <c r="M1031" s="211">
        <v>0</v>
      </c>
      <c r="N1031" s="211">
        <v>539.70000000000005</v>
      </c>
      <c r="O1031" s="211">
        <v>1722368</v>
      </c>
      <c r="P1031" s="213">
        <v>0</v>
      </c>
      <c r="Q1031" s="211">
        <v>0</v>
      </c>
      <c r="R1031" s="213">
        <v>0</v>
      </c>
      <c r="S1031" s="211">
        <v>0</v>
      </c>
      <c r="T1031" s="212">
        <v>0</v>
      </c>
      <c r="U1031" s="290">
        <v>0</v>
      </c>
      <c r="V1031" s="282"/>
      <c r="W1031" s="282">
        <f>O1031/N1031</f>
        <v>3191.3433388919766</v>
      </c>
      <c r="X1031" s="282"/>
    </row>
    <row r="1032" spans="1:35">
      <c r="A1032" s="198"/>
      <c r="B1032" s="216" t="s">
        <v>66</v>
      </c>
      <c r="C1032" s="211">
        <f>C1033</f>
        <v>2792955</v>
      </c>
      <c r="D1032" s="211">
        <f t="shared" ref="D1032:V1032" si="177">D1033</f>
        <v>0</v>
      </c>
      <c r="E1032" s="211">
        <f t="shared" si="177"/>
        <v>0</v>
      </c>
      <c r="F1032" s="211">
        <f t="shared" si="177"/>
        <v>0</v>
      </c>
      <c r="G1032" s="211">
        <f t="shared" si="177"/>
        <v>0</v>
      </c>
      <c r="H1032" s="211">
        <f t="shared" si="177"/>
        <v>0</v>
      </c>
      <c r="I1032" s="211">
        <f t="shared" si="177"/>
        <v>0</v>
      </c>
      <c r="J1032" s="211">
        <f t="shared" si="177"/>
        <v>0</v>
      </c>
      <c r="K1032" s="211">
        <f t="shared" si="177"/>
        <v>0</v>
      </c>
      <c r="L1032" s="211">
        <f t="shared" si="177"/>
        <v>0</v>
      </c>
      <c r="M1032" s="211">
        <f t="shared" si="177"/>
        <v>0</v>
      </c>
      <c r="N1032" s="211">
        <f t="shared" si="177"/>
        <v>880</v>
      </c>
      <c r="O1032" s="211">
        <f t="shared" si="177"/>
        <v>2792955</v>
      </c>
      <c r="P1032" s="211">
        <f t="shared" si="177"/>
        <v>0</v>
      </c>
      <c r="Q1032" s="211">
        <f t="shared" si="177"/>
        <v>0</v>
      </c>
      <c r="R1032" s="211">
        <f t="shared" si="177"/>
        <v>0</v>
      </c>
      <c r="S1032" s="211">
        <f t="shared" si="177"/>
        <v>0</v>
      </c>
      <c r="T1032" s="211">
        <f t="shared" si="177"/>
        <v>0</v>
      </c>
      <c r="U1032" s="211">
        <f t="shared" si="177"/>
        <v>0</v>
      </c>
      <c r="V1032" s="211">
        <f t="shared" si="177"/>
        <v>0</v>
      </c>
      <c r="W1032" s="282"/>
      <c r="X1032" s="282"/>
    </row>
    <row r="1033" spans="1:35" ht="30">
      <c r="A1033" s="198"/>
      <c r="B1033" s="214" t="s">
        <v>114</v>
      </c>
      <c r="C1033" s="211">
        <f>C1034</f>
        <v>2792955</v>
      </c>
      <c r="D1033" s="211">
        <f t="shared" ref="D1033:U1033" si="178">D1034</f>
        <v>0</v>
      </c>
      <c r="E1033" s="211">
        <f t="shared" si="178"/>
        <v>0</v>
      </c>
      <c r="F1033" s="211">
        <f t="shared" si="178"/>
        <v>0</v>
      </c>
      <c r="G1033" s="211">
        <f t="shared" si="178"/>
        <v>0</v>
      </c>
      <c r="H1033" s="211">
        <f t="shared" si="178"/>
        <v>0</v>
      </c>
      <c r="I1033" s="211">
        <f t="shared" si="178"/>
        <v>0</v>
      </c>
      <c r="J1033" s="211">
        <f t="shared" si="178"/>
        <v>0</v>
      </c>
      <c r="K1033" s="211">
        <f t="shared" si="178"/>
        <v>0</v>
      </c>
      <c r="L1033" s="211">
        <f t="shared" si="178"/>
        <v>0</v>
      </c>
      <c r="M1033" s="211">
        <f t="shared" si="178"/>
        <v>0</v>
      </c>
      <c r="N1033" s="211">
        <f t="shared" si="178"/>
        <v>880</v>
      </c>
      <c r="O1033" s="211">
        <f t="shared" si="178"/>
        <v>2792955</v>
      </c>
      <c r="P1033" s="211">
        <f t="shared" si="178"/>
        <v>0</v>
      </c>
      <c r="Q1033" s="211">
        <f t="shared" si="178"/>
        <v>0</v>
      </c>
      <c r="R1033" s="211">
        <f t="shared" si="178"/>
        <v>0</v>
      </c>
      <c r="S1033" s="211">
        <f t="shared" si="178"/>
        <v>0</v>
      </c>
      <c r="T1033" s="211">
        <f t="shared" si="178"/>
        <v>0</v>
      </c>
      <c r="U1033" s="211">
        <f t="shared" si="178"/>
        <v>0</v>
      </c>
      <c r="V1033" s="282"/>
      <c r="W1033" s="282"/>
      <c r="X1033" s="282"/>
    </row>
    <row r="1034" spans="1:35" ht="15.75">
      <c r="A1034" s="487">
        <v>450</v>
      </c>
      <c r="B1034" s="364" t="s">
        <v>500</v>
      </c>
      <c r="C1034" s="498">
        <v>2792955</v>
      </c>
      <c r="D1034" s="498">
        <v>0</v>
      </c>
      <c r="E1034" s="498">
        <v>0</v>
      </c>
      <c r="F1034" s="498">
        <v>0</v>
      </c>
      <c r="G1034" s="498">
        <v>0</v>
      </c>
      <c r="H1034" s="498">
        <v>0</v>
      </c>
      <c r="I1034" s="498">
        <v>0</v>
      </c>
      <c r="J1034" s="498">
        <v>0</v>
      </c>
      <c r="K1034" s="498">
        <v>0</v>
      </c>
      <c r="L1034" s="502">
        <v>0</v>
      </c>
      <c r="M1034" s="498">
        <v>0</v>
      </c>
      <c r="N1034" s="498">
        <v>880</v>
      </c>
      <c r="O1034" s="498">
        <v>2792955</v>
      </c>
      <c r="P1034" s="503">
        <v>0</v>
      </c>
      <c r="Q1034" s="498">
        <v>0</v>
      </c>
      <c r="R1034" s="503">
        <v>0</v>
      </c>
      <c r="S1034" s="498">
        <v>0</v>
      </c>
      <c r="T1034" s="502">
        <v>0</v>
      </c>
      <c r="U1034" s="504">
        <v>0</v>
      </c>
      <c r="V1034" s="282"/>
      <c r="W1034" s="282">
        <f>O1034/N1034</f>
        <v>3173.8125</v>
      </c>
      <c r="X1034" s="282"/>
    </row>
    <row r="1035" spans="1:35" ht="15.75">
      <c r="A1035" s="487"/>
      <c r="B1035" s="364"/>
      <c r="C1035" s="498"/>
      <c r="D1035" s="498"/>
      <c r="E1035" s="498"/>
      <c r="F1035" s="498"/>
      <c r="G1035" s="498"/>
      <c r="H1035" s="498"/>
      <c r="I1035" s="498"/>
      <c r="J1035" s="498"/>
      <c r="K1035" s="498"/>
      <c r="L1035" s="502"/>
      <c r="M1035" s="498"/>
      <c r="N1035" s="498"/>
      <c r="O1035" s="498"/>
      <c r="P1035" s="503"/>
      <c r="Q1035" s="498"/>
      <c r="R1035" s="503"/>
      <c r="S1035" s="498"/>
      <c r="T1035" s="502"/>
      <c r="U1035" s="504"/>
      <c r="V1035" s="282"/>
      <c r="W1035" s="282"/>
      <c r="X1035" s="282"/>
    </row>
    <row r="1036" spans="1:35" ht="15.75">
      <c r="A1036" s="487"/>
      <c r="B1036" s="364"/>
      <c r="C1036" s="498"/>
      <c r="D1036" s="498"/>
      <c r="E1036" s="498"/>
      <c r="F1036" s="498"/>
      <c r="G1036" s="498"/>
      <c r="H1036" s="498"/>
      <c r="I1036" s="498"/>
      <c r="J1036" s="498"/>
      <c r="K1036" s="498"/>
      <c r="L1036" s="502"/>
      <c r="M1036" s="498"/>
      <c r="N1036" s="498"/>
      <c r="O1036" s="498"/>
      <c r="P1036" s="503"/>
      <c r="Q1036" s="498"/>
      <c r="R1036" s="503"/>
      <c r="S1036" s="498"/>
      <c r="T1036" s="502"/>
      <c r="U1036" s="504"/>
      <c r="V1036" s="282"/>
      <c r="W1036" s="282"/>
      <c r="X1036" s="282"/>
    </row>
    <row r="1037" spans="1:35">
      <c r="A1037" s="198"/>
      <c r="B1037" s="214" t="s">
        <v>207</v>
      </c>
      <c r="C1037" s="211">
        <f>C1038+C1039+C1040+C1041+C1042+C1043+C1044+C1045+C1046+C1047</f>
        <v>22164555</v>
      </c>
      <c r="D1037" s="211">
        <f t="shared" ref="D1037:V1037" si="179">D1038+D1039+D1040+D1041+D1042+D1043+D1044+D1045+D1046+D1047</f>
        <v>0</v>
      </c>
      <c r="E1037" s="211">
        <f t="shared" si="179"/>
        <v>0</v>
      </c>
      <c r="F1037" s="211">
        <f t="shared" si="179"/>
        <v>0</v>
      </c>
      <c r="G1037" s="211">
        <f t="shared" si="179"/>
        <v>0</v>
      </c>
      <c r="H1037" s="211">
        <f t="shared" si="179"/>
        <v>0</v>
      </c>
      <c r="I1037" s="211">
        <f t="shared" si="179"/>
        <v>0</v>
      </c>
      <c r="J1037" s="211">
        <f t="shared" si="179"/>
        <v>0</v>
      </c>
      <c r="K1037" s="211">
        <f t="shared" si="179"/>
        <v>0</v>
      </c>
      <c r="L1037" s="211">
        <f t="shared" si="179"/>
        <v>0</v>
      </c>
      <c r="M1037" s="211">
        <f t="shared" si="179"/>
        <v>0</v>
      </c>
      <c r="N1037" s="211">
        <f t="shared" si="179"/>
        <v>8790</v>
      </c>
      <c r="O1037" s="211">
        <f t="shared" si="179"/>
        <v>22164555</v>
      </c>
      <c r="P1037" s="211">
        <f t="shared" si="179"/>
        <v>0</v>
      </c>
      <c r="Q1037" s="211">
        <f t="shared" si="179"/>
        <v>0</v>
      </c>
      <c r="R1037" s="211">
        <f t="shared" si="179"/>
        <v>0</v>
      </c>
      <c r="S1037" s="211">
        <f t="shared" si="179"/>
        <v>0</v>
      </c>
      <c r="T1037" s="211">
        <f t="shared" si="179"/>
        <v>0</v>
      </c>
      <c r="U1037" s="211">
        <f t="shared" si="179"/>
        <v>0</v>
      </c>
      <c r="V1037" s="211">
        <f t="shared" si="179"/>
        <v>0</v>
      </c>
      <c r="W1037" s="211"/>
      <c r="X1037" s="211"/>
      <c r="Y1037" s="211"/>
      <c r="Z1037" s="211"/>
      <c r="AA1037" s="211"/>
      <c r="AB1037" s="211"/>
      <c r="AC1037" s="211"/>
      <c r="AD1037" s="211"/>
      <c r="AE1037" s="211"/>
      <c r="AF1037" s="211"/>
      <c r="AG1037" s="211"/>
      <c r="AH1037" s="211"/>
      <c r="AI1037" s="211"/>
    </row>
    <row r="1038" spans="1:35">
      <c r="A1038" s="487">
        <v>453</v>
      </c>
      <c r="B1038" s="509" t="s">
        <v>512</v>
      </c>
      <c r="C1038" s="498">
        <v>3034841</v>
      </c>
      <c r="D1038" s="498">
        <v>0</v>
      </c>
      <c r="E1038" s="498">
        <v>0</v>
      </c>
      <c r="F1038" s="498">
        <v>0</v>
      </c>
      <c r="G1038" s="498">
        <v>0</v>
      </c>
      <c r="H1038" s="498">
        <v>0</v>
      </c>
      <c r="I1038" s="498">
        <v>0</v>
      </c>
      <c r="J1038" s="498">
        <v>0</v>
      </c>
      <c r="K1038" s="498">
        <v>0</v>
      </c>
      <c r="L1038" s="502">
        <v>0</v>
      </c>
      <c r="M1038" s="498">
        <v>0</v>
      </c>
      <c r="N1038" s="510">
        <v>1206</v>
      </c>
      <c r="O1038" s="498">
        <v>3034841</v>
      </c>
      <c r="P1038" s="502">
        <v>0</v>
      </c>
      <c r="Q1038" s="498">
        <v>0</v>
      </c>
      <c r="R1038" s="503">
        <v>0</v>
      </c>
      <c r="S1038" s="498">
        <v>0</v>
      </c>
      <c r="T1038" s="502">
        <v>0</v>
      </c>
      <c r="U1038" s="504">
        <v>0</v>
      </c>
      <c r="V1038" s="282"/>
      <c r="W1038" s="282">
        <f>O1038/N1038</f>
        <v>2516.4519071310115</v>
      </c>
      <c r="X1038" s="282"/>
    </row>
    <row r="1039" spans="1:35">
      <c r="A1039" s="487">
        <v>454</v>
      </c>
      <c r="B1039" s="509" t="s">
        <v>513</v>
      </c>
      <c r="C1039" s="498">
        <v>925522</v>
      </c>
      <c r="D1039" s="498">
        <v>0</v>
      </c>
      <c r="E1039" s="498">
        <v>0</v>
      </c>
      <c r="F1039" s="498">
        <v>0</v>
      </c>
      <c r="G1039" s="498">
        <v>0</v>
      </c>
      <c r="H1039" s="498">
        <v>0</v>
      </c>
      <c r="I1039" s="498">
        <v>0</v>
      </c>
      <c r="J1039" s="498">
        <v>0</v>
      </c>
      <c r="K1039" s="498">
        <v>0</v>
      </c>
      <c r="L1039" s="502">
        <v>0</v>
      </c>
      <c r="M1039" s="498">
        <v>0</v>
      </c>
      <c r="N1039" s="510">
        <v>358</v>
      </c>
      <c r="O1039" s="498">
        <v>925522</v>
      </c>
      <c r="P1039" s="502">
        <v>0</v>
      </c>
      <c r="Q1039" s="498">
        <v>0</v>
      </c>
      <c r="R1039" s="503">
        <v>0</v>
      </c>
      <c r="S1039" s="498">
        <v>0</v>
      </c>
      <c r="T1039" s="502">
        <v>0</v>
      </c>
      <c r="U1039" s="504">
        <v>0</v>
      </c>
      <c r="V1039" s="282"/>
      <c r="W1039" s="282">
        <f t="shared" ref="W1039:W1047" si="180">O1039/N1039</f>
        <v>2585.2569832402237</v>
      </c>
      <c r="X1039" s="282"/>
    </row>
    <row r="1040" spans="1:35">
      <c r="A1040" s="487">
        <v>455</v>
      </c>
      <c r="B1040" s="509" t="s">
        <v>514</v>
      </c>
      <c r="C1040" s="498">
        <v>1823451</v>
      </c>
      <c r="D1040" s="498">
        <v>0</v>
      </c>
      <c r="E1040" s="498">
        <v>0</v>
      </c>
      <c r="F1040" s="498">
        <v>0</v>
      </c>
      <c r="G1040" s="498">
        <v>0</v>
      </c>
      <c r="H1040" s="498">
        <v>0</v>
      </c>
      <c r="I1040" s="498">
        <v>0</v>
      </c>
      <c r="J1040" s="498">
        <v>0</v>
      </c>
      <c r="K1040" s="498">
        <v>0</v>
      </c>
      <c r="L1040" s="502">
        <v>0</v>
      </c>
      <c r="M1040" s="498">
        <v>0</v>
      </c>
      <c r="N1040" s="498">
        <v>719</v>
      </c>
      <c r="O1040" s="498">
        <v>1823451</v>
      </c>
      <c r="P1040" s="502">
        <v>0</v>
      </c>
      <c r="Q1040" s="498">
        <v>0</v>
      </c>
      <c r="R1040" s="503">
        <v>0</v>
      </c>
      <c r="S1040" s="498">
        <v>0</v>
      </c>
      <c r="T1040" s="502">
        <v>0</v>
      </c>
      <c r="U1040" s="504">
        <v>0</v>
      </c>
      <c r="V1040" s="282"/>
      <c r="W1040" s="282">
        <f t="shared" si="180"/>
        <v>2536.0931849791377</v>
      </c>
      <c r="X1040" s="282"/>
    </row>
    <row r="1041" spans="1:49">
      <c r="A1041" s="487">
        <v>456</v>
      </c>
      <c r="B1041" s="509" t="s">
        <v>515</v>
      </c>
      <c r="C1041" s="498">
        <v>3802042</v>
      </c>
      <c r="D1041" s="498">
        <v>0</v>
      </c>
      <c r="E1041" s="498">
        <v>0</v>
      </c>
      <c r="F1041" s="498">
        <v>0</v>
      </c>
      <c r="G1041" s="498">
        <v>0</v>
      </c>
      <c r="H1041" s="498">
        <v>0</v>
      </c>
      <c r="I1041" s="498">
        <v>0</v>
      </c>
      <c r="J1041" s="498">
        <v>0</v>
      </c>
      <c r="K1041" s="498">
        <v>0</v>
      </c>
      <c r="L1041" s="502">
        <v>0</v>
      </c>
      <c r="M1041" s="498">
        <v>0</v>
      </c>
      <c r="N1041" s="510">
        <v>1514</v>
      </c>
      <c r="O1041" s="498">
        <v>3802042</v>
      </c>
      <c r="P1041" s="502">
        <v>0</v>
      </c>
      <c r="Q1041" s="498">
        <v>0</v>
      </c>
      <c r="R1041" s="503">
        <v>0</v>
      </c>
      <c r="S1041" s="498">
        <v>0</v>
      </c>
      <c r="T1041" s="502">
        <v>0</v>
      </c>
      <c r="U1041" s="504">
        <v>0</v>
      </c>
      <c r="V1041" s="282"/>
      <c r="W1041" s="282">
        <f t="shared" si="180"/>
        <v>2511.2562747688244</v>
      </c>
      <c r="X1041" s="282"/>
    </row>
    <row r="1042" spans="1:49">
      <c r="A1042" s="487">
        <v>457</v>
      </c>
      <c r="B1042" s="509" t="s">
        <v>516</v>
      </c>
      <c r="C1042" s="498">
        <v>2887804</v>
      </c>
      <c r="D1042" s="498">
        <v>0</v>
      </c>
      <c r="E1042" s="498">
        <v>0</v>
      </c>
      <c r="F1042" s="498">
        <v>0</v>
      </c>
      <c r="G1042" s="498">
        <v>0</v>
      </c>
      <c r="H1042" s="498">
        <v>0</v>
      </c>
      <c r="I1042" s="498">
        <v>0</v>
      </c>
      <c r="J1042" s="498">
        <v>0</v>
      </c>
      <c r="K1042" s="498">
        <v>0</v>
      </c>
      <c r="L1042" s="502">
        <v>0</v>
      </c>
      <c r="M1042" s="498">
        <v>0</v>
      </c>
      <c r="N1042" s="510">
        <v>1147</v>
      </c>
      <c r="O1042" s="498">
        <v>2887804</v>
      </c>
      <c r="P1042" s="502">
        <v>0</v>
      </c>
      <c r="Q1042" s="498">
        <v>0</v>
      </c>
      <c r="R1042" s="503">
        <v>0</v>
      </c>
      <c r="S1042" s="498">
        <v>0</v>
      </c>
      <c r="T1042" s="502">
        <v>0</v>
      </c>
      <c r="U1042" s="504">
        <v>0</v>
      </c>
      <c r="V1042" s="282"/>
      <c r="W1042" s="282">
        <f t="shared" si="180"/>
        <v>2517.7018308631214</v>
      </c>
      <c r="X1042" s="282"/>
    </row>
    <row r="1043" spans="1:49">
      <c r="A1043" s="487">
        <v>458</v>
      </c>
      <c r="B1043" s="509" t="s">
        <v>517</v>
      </c>
      <c r="C1043" s="498">
        <v>928016</v>
      </c>
      <c r="D1043" s="498">
        <v>0</v>
      </c>
      <c r="E1043" s="498">
        <v>0</v>
      </c>
      <c r="F1043" s="498">
        <v>0</v>
      </c>
      <c r="G1043" s="498">
        <v>0</v>
      </c>
      <c r="H1043" s="498">
        <v>0</v>
      </c>
      <c r="I1043" s="498">
        <v>0</v>
      </c>
      <c r="J1043" s="498">
        <v>0</v>
      </c>
      <c r="K1043" s="498">
        <v>0</v>
      </c>
      <c r="L1043" s="502">
        <v>0</v>
      </c>
      <c r="M1043" s="498">
        <v>0</v>
      </c>
      <c r="N1043" s="510">
        <v>359</v>
      </c>
      <c r="O1043" s="498">
        <v>928016</v>
      </c>
      <c r="P1043" s="502">
        <v>0</v>
      </c>
      <c r="Q1043" s="498">
        <v>0</v>
      </c>
      <c r="R1043" s="503">
        <v>0</v>
      </c>
      <c r="S1043" s="498">
        <v>0</v>
      </c>
      <c r="T1043" s="502">
        <v>0</v>
      </c>
      <c r="U1043" s="504">
        <v>0</v>
      </c>
      <c r="V1043" s="282"/>
      <c r="W1043" s="282">
        <f t="shared" si="180"/>
        <v>2585.0027855153203</v>
      </c>
      <c r="X1043" s="282"/>
    </row>
    <row r="1044" spans="1:49">
      <c r="A1044" s="487">
        <v>459</v>
      </c>
      <c r="B1044" s="509" t="s">
        <v>518</v>
      </c>
      <c r="C1044" s="498">
        <v>935370</v>
      </c>
      <c r="D1044" s="498">
        <v>0</v>
      </c>
      <c r="E1044" s="498">
        <v>0</v>
      </c>
      <c r="F1044" s="498">
        <v>0</v>
      </c>
      <c r="G1044" s="498">
        <v>0</v>
      </c>
      <c r="H1044" s="498">
        <v>0</v>
      </c>
      <c r="I1044" s="498">
        <v>0</v>
      </c>
      <c r="J1044" s="498">
        <v>0</v>
      </c>
      <c r="K1044" s="498">
        <v>0</v>
      </c>
      <c r="L1044" s="502">
        <v>0</v>
      </c>
      <c r="M1044" s="498">
        <v>0</v>
      </c>
      <c r="N1044" s="510">
        <v>362</v>
      </c>
      <c r="O1044" s="498">
        <v>935370</v>
      </c>
      <c r="P1044" s="502">
        <v>0</v>
      </c>
      <c r="Q1044" s="498">
        <v>0</v>
      </c>
      <c r="R1044" s="503">
        <v>0</v>
      </c>
      <c r="S1044" s="498">
        <v>0</v>
      </c>
      <c r="T1044" s="502">
        <v>0</v>
      </c>
      <c r="U1044" s="504">
        <v>0</v>
      </c>
      <c r="V1044" s="282"/>
      <c r="W1044" s="282">
        <f t="shared" si="180"/>
        <v>2583.8950276243095</v>
      </c>
      <c r="X1044" s="282"/>
    </row>
    <row r="1045" spans="1:49">
      <c r="A1045" s="487"/>
      <c r="B1045" s="509" t="s">
        <v>519</v>
      </c>
      <c r="C1045" s="498">
        <v>3352678</v>
      </c>
      <c r="D1045" s="498">
        <v>0</v>
      </c>
      <c r="E1045" s="498">
        <v>0</v>
      </c>
      <c r="F1045" s="498">
        <v>0</v>
      </c>
      <c r="G1045" s="498">
        <v>0</v>
      </c>
      <c r="H1045" s="498">
        <v>0</v>
      </c>
      <c r="I1045" s="498">
        <v>0</v>
      </c>
      <c r="J1045" s="498">
        <v>0</v>
      </c>
      <c r="K1045" s="498">
        <v>0</v>
      </c>
      <c r="L1045" s="502">
        <v>0</v>
      </c>
      <c r="M1045" s="498">
        <v>0</v>
      </c>
      <c r="N1045" s="510">
        <v>1341</v>
      </c>
      <c r="O1045" s="498">
        <v>3352678</v>
      </c>
      <c r="P1045" s="502">
        <v>0</v>
      </c>
      <c r="Q1045" s="498">
        <v>0</v>
      </c>
      <c r="R1045" s="503">
        <v>0</v>
      </c>
      <c r="S1045" s="498">
        <v>0</v>
      </c>
      <c r="T1045" s="502">
        <v>0</v>
      </c>
      <c r="U1045" s="504">
        <v>0</v>
      </c>
      <c r="V1045" s="282"/>
      <c r="W1045" s="282">
        <f t="shared" si="180"/>
        <v>2500.132736763609</v>
      </c>
      <c r="X1045" s="282"/>
    </row>
    <row r="1046" spans="1:49">
      <c r="A1046" s="487"/>
      <c r="B1046" s="509" t="s">
        <v>520</v>
      </c>
      <c r="C1046" s="498">
        <v>2535669</v>
      </c>
      <c r="D1046" s="498">
        <v>0</v>
      </c>
      <c r="E1046" s="498">
        <v>0</v>
      </c>
      <c r="F1046" s="498">
        <v>0</v>
      </c>
      <c r="G1046" s="498">
        <v>0</v>
      </c>
      <c r="H1046" s="498">
        <v>0</v>
      </c>
      <c r="I1046" s="498">
        <v>0</v>
      </c>
      <c r="J1046" s="498">
        <v>0</v>
      </c>
      <c r="K1046" s="498">
        <v>0</v>
      </c>
      <c r="L1046" s="502">
        <v>0</v>
      </c>
      <c r="M1046" s="498">
        <v>0</v>
      </c>
      <c r="N1046" s="510">
        <v>1012</v>
      </c>
      <c r="O1046" s="498">
        <v>2535669</v>
      </c>
      <c r="P1046" s="502">
        <v>0</v>
      </c>
      <c r="Q1046" s="498">
        <v>0</v>
      </c>
      <c r="R1046" s="503">
        <v>0</v>
      </c>
      <c r="S1046" s="498">
        <v>0</v>
      </c>
      <c r="T1046" s="502">
        <v>0</v>
      </c>
      <c r="U1046" s="504">
        <v>0</v>
      </c>
      <c r="V1046" s="282"/>
      <c r="W1046" s="282">
        <f t="shared" si="180"/>
        <v>2505.6017786561265</v>
      </c>
      <c r="X1046" s="282"/>
    </row>
    <row r="1047" spans="1:49">
      <c r="A1047" s="487"/>
      <c r="B1047" s="509" t="s">
        <v>521</v>
      </c>
      <c r="C1047" s="498">
        <v>1939162</v>
      </c>
      <c r="D1047" s="498">
        <v>0</v>
      </c>
      <c r="E1047" s="498">
        <v>0</v>
      </c>
      <c r="F1047" s="498">
        <v>0</v>
      </c>
      <c r="G1047" s="498">
        <v>0</v>
      </c>
      <c r="H1047" s="498">
        <v>0</v>
      </c>
      <c r="I1047" s="498">
        <v>0</v>
      </c>
      <c r="J1047" s="498">
        <v>0</v>
      </c>
      <c r="K1047" s="498">
        <v>0</v>
      </c>
      <c r="L1047" s="502">
        <v>0</v>
      </c>
      <c r="M1047" s="498">
        <v>0</v>
      </c>
      <c r="N1047" s="510">
        <v>772</v>
      </c>
      <c r="O1047" s="498">
        <v>1939162</v>
      </c>
      <c r="P1047" s="502">
        <v>0</v>
      </c>
      <c r="Q1047" s="498">
        <v>0</v>
      </c>
      <c r="R1047" s="503">
        <v>0</v>
      </c>
      <c r="S1047" s="498">
        <v>0</v>
      </c>
      <c r="T1047" s="502">
        <v>0</v>
      </c>
      <c r="U1047" s="504">
        <v>0</v>
      </c>
      <c r="V1047" s="282"/>
      <c r="W1047" s="282">
        <f t="shared" si="180"/>
        <v>2511.8678756476684</v>
      </c>
      <c r="X1047" s="282"/>
    </row>
    <row r="1048" spans="1:49">
      <c r="A1048" s="487"/>
      <c r="B1048" s="548"/>
      <c r="C1048" s="498"/>
      <c r="D1048" s="498"/>
      <c r="E1048" s="498"/>
      <c r="F1048" s="498"/>
      <c r="G1048" s="498"/>
      <c r="H1048" s="498"/>
      <c r="I1048" s="498"/>
      <c r="J1048" s="498"/>
      <c r="K1048" s="498"/>
      <c r="L1048" s="502"/>
      <c r="M1048" s="498"/>
      <c r="N1048" s="510"/>
      <c r="O1048" s="498"/>
      <c r="P1048" s="502"/>
      <c r="Q1048" s="498"/>
      <c r="R1048" s="503"/>
      <c r="S1048" s="498"/>
      <c r="T1048" s="502"/>
      <c r="U1048" s="504"/>
      <c r="V1048" s="282"/>
      <c r="W1048" s="282"/>
      <c r="X1048" s="282"/>
    </row>
    <row r="1049" spans="1:49">
      <c r="A1049" s="198"/>
      <c r="B1049" s="216" t="s">
        <v>67</v>
      </c>
      <c r="C1049" s="211">
        <v>2507155.0699999998</v>
      </c>
      <c r="D1049" s="211"/>
      <c r="E1049" s="211"/>
      <c r="F1049" s="211"/>
      <c r="G1049" s="211"/>
      <c r="H1049" s="211"/>
      <c r="I1049" s="211"/>
      <c r="J1049" s="211"/>
      <c r="K1049" s="211">
        <v>0</v>
      </c>
      <c r="L1049" s="212">
        <v>0</v>
      </c>
      <c r="M1049" s="211">
        <v>0</v>
      </c>
      <c r="N1049" s="211">
        <v>1630.2</v>
      </c>
      <c r="O1049" s="211">
        <v>2507155.0699999998</v>
      </c>
      <c r="P1049" s="212">
        <v>0</v>
      </c>
      <c r="Q1049" s="211">
        <v>0</v>
      </c>
      <c r="R1049" s="213">
        <v>0</v>
      </c>
      <c r="S1049" s="211">
        <v>0</v>
      </c>
      <c r="T1049" s="212">
        <v>0</v>
      </c>
      <c r="U1049" s="290">
        <v>0</v>
      </c>
      <c r="V1049" s="282"/>
      <c r="W1049" s="282"/>
      <c r="X1049" s="282"/>
    </row>
    <row r="1050" spans="1:49" ht="30">
      <c r="A1050" s="198"/>
      <c r="B1050" s="214" t="s">
        <v>90</v>
      </c>
      <c r="C1050" s="211">
        <v>728197.07</v>
      </c>
      <c r="D1050" s="211"/>
      <c r="E1050" s="211"/>
      <c r="F1050" s="211"/>
      <c r="G1050" s="211"/>
      <c r="H1050" s="211"/>
      <c r="I1050" s="211"/>
      <c r="J1050" s="211"/>
      <c r="K1050" s="211">
        <v>0</v>
      </c>
      <c r="L1050" s="212">
        <v>0</v>
      </c>
      <c r="M1050" s="211">
        <v>0</v>
      </c>
      <c r="N1050" s="211">
        <v>731.2</v>
      </c>
      <c r="O1050" s="211">
        <v>728197.07</v>
      </c>
      <c r="P1050" s="212">
        <v>0</v>
      </c>
      <c r="Q1050" s="211">
        <v>0</v>
      </c>
      <c r="R1050" s="213">
        <v>0</v>
      </c>
      <c r="S1050" s="211">
        <v>0</v>
      </c>
      <c r="T1050" s="212">
        <v>0</v>
      </c>
      <c r="U1050" s="290">
        <v>0</v>
      </c>
      <c r="V1050" s="282"/>
      <c r="W1050" s="282"/>
      <c r="X1050" s="282"/>
    </row>
    <row r="1051" spans="1:49" s="23" customFormat="1">
      <c r="A1051" s="198">
        <v>464</v>
      </c>
      <c r="B1051" s="241" t="s">
        <v>429</v>
      </c>
      <c r="C1051" s="211">
        <v>728197.07</v>
      </c>
      <c r="D1051" s="211"/>
      <c r="E1051" s="211"/>
      <c r="F1051" s="211"/>
      <c r="G1051" s="211"/>
      <c r="H1051" s="211"/>
      <c r="I1051" s="211"/>
      <c r="J1051" s="211"/>
      <c r="K1051" s="211">
        <v>0</v>
      </c>
      <c r="L1051" s="212">
        <v>0</v>
      </c>
      <c r="M1051" s="211">
        <v>0</v>
      </c>
      <c r="N1051" s="211">
        <v>731.2</v>
      </c>
      <c r="O1051" s="211">
        <v>728197.07</v>
      </c>
      <c r="P1051" s="212">
        <v>0</v>
      </c>
      <c r="Q1051" s="211">
        <v>0</v>
      </c>
      <c r="R1051" s="213">
        <v>0</v>
      </c>
      <c r="S1051" s="211">
        <v>0</v>
      </c>
      <c r="T1051" s="212">
        <v>0</v>
      </c>
      <c r="U1051" s="290">
        <v>0</v>
      </c>
      <c r="V1051" s="282"/>
      <c r="W1051" s="282"/>
      <c r="X1051" s="282"/>
    </row>
    <row r="1052" spans="1:49" ht="38.450000000000003" customHeight="1">
      <c r="A1052" s="487"/>
      <c r="B1052" s="499" t="s">
        <v>127</v>
      </c>
      <c r="C1052" s="498">
        <v>0</v>
      </c>
      <c r="D1052" s="498">
        <v>0</v>
      </c>
      <c r="E1052" s="498">
        <v>0</v>
      </c>
      <c r="F1052" s="498">
        <v>0</v>
      </c>
      <c r="G1052" s="498">
        <v>0</v>
      </c>
      <c r="H1052" s="498">
        <v>0</v>
      </c>
      <c r="I1052" s="498">
        <v>0</v>
      </c>
      <c r="J1052" s="498">
        <v>0</v>
      </c>
      <c r="K1052" s="498">
        <v>0</v>
      </c>
      <c r="L1052" s="502">
        <v>0</v>
      </c>
      <c r="M1052" s="498">
        <v>0</v>
      </c>
      <c r="N1052" s="498">
        <v>0</v>
      </c>
      <c r="O1052" s="498">
        <v>0</v>
      </c>
      <c r="P1052" s="502">
        <v>0</v>
      </c>
      <c r="Q1052" s="498">
        <v>0</v>
      </c>
      <c r="R1052" s="503">
        <v>0</v>
      </c>
      <c r="S1052" s="498">
        <v>0</v>
      </c>
      <c r="T1052" s="502">
        <v>0</v>
      </c>
      <c r="U1052" s="504">
        <v>0</v>
      </c>
      <c r="V1052" s="282"/>
      <c r="W1052" s="282"/>
      <c r="X1052" s="282"/>
    </row>
    <row r="1053" spans="1:49" ht="18.75" customHeight="1">
      <c r="A1053" s="470"/>
      <c r="B1053" s="511" t="s">
        <v>89</v>
      </c>
      <c r="C1053" s="512">
        <f>SUM(C1054:C1221)</f>
        <v>336230870.63</v>
      </c>
      <c r="D1053" s="512"/>
      <c r="E1053" s="512"/>
      <c r="F1053" s="512"/>
      <c r="G1053" s="512"/>
      <c r="H1053" s="512"/>
      <c r="I1053" s="512"/>
      <c r="J1053" s="512"/>
      <c r="K1053" s="512" t="e">
        <f>SUM(K1054:K1221)</f>
        <v>#REF!</v>
      </c>
      <c r="L1053" s="513">
        <v>45</v>
      </c>
      <c r="M1053" s="512">
        <f>SUM(M1054:M1221)</f>
        <v>84665172</v>
      </c>
      <c r="N1053" s="512">
        <f t="shared" ref="N1053" si="181">SUM(N1054:N1221)</f>
        <v>64824.649999999994</v>
      </c>
      <c r="O1053" s="512">
        <f>SUM(O1054:O1221)</f>
        <v>127943364.07000001</v>
      </c>
      <c r="P1053" s="512">
        <f t="shared" ref="P1053" si="182">SUM(P1054:P1221)</f>
        <v>682</v>
      </c>
      <c r="Q1053" s="512">
        <f>SUM(Q1054:Q1221)</f>
        <v>662518</v>
      </c>
      <c r="R1053" s="512">
        <f t="shared" ref="R1053" si="183">SUM(R1054:R1221)</f>
        <v>29106.850000000002</v>
      </c>
      <c r="S1053" s="512">
        <f>SUM(S1054:S1221)</f>
        <v>38255949.950000003</v>
      </c>
      <c r="T1053" s="513">
        <v>0</v>
      </c>
      <c r="U1053" s="514">
        <v>0</v>
      </c>
      <c r="V1053" s="436"/>
      <c r="W1053" s="436"/>
      <c r="X1053" s="436"/>
      <c r="Y1053" s="437"/>
      <c r="Z1053" s="437"/>
      <c r="AA1053" s="437"/>
      <c r="AB1053" s="437"/>
      <c r="AC1053" s="437"/>
      <c r="AD1053" s="437"/>
      <c r="AE1053" s="437"/>
      <c r="AF1053" s="437"/>
      <c r="AG1053" s="437"/>
      <c r="AH1053" s="437"/>
      <c r="AI1053" s="437"/>
    </row>
    <row r="1054" spans="1:49" s="59" customFormat="1">
      <c r="A1054" s="198">
        <v>1</v>
      </c>
      <c r="B1054" s="195" t="s">
        <v>324</v>
      </c>
      <c r="C1054" s="196">
        <v>5982216</v>
      </c>
      <c r="D1054" s="196"/>
      <c r="E1054" s="196"/>
      <c r="F1054" s="196"/>
      <c r="G1054" s="196"/>
      <c r="H1054" s="196"/>
      <c r="I1054" s="196"/>
      <c r="J1054" s="196"/>
      <c r="K1054" s="196">
        <v>0</v>
      </c>
      <c r="L1054" s="194">
        <v>0</v>
      </c>
      <c r="M1054" s="196">
        <v>0</v>
      </c>
      <c r="N1054" s="196">
        <v>0</v>
      </c>
      <c r="O1054" s="196">
        <v>0</v>
      </c>
      <c r="P1054" s="194">
        <v>0</v>
      </c>
      <c r="Q1054" s="196">
        <v>0</v>
      </c>
      <c r="R1054" s="199">
        <v>4158.84</v>
      </c>
      <c r="S1054" s="196">
        <v>5982216</v>
      </c>
      <c r="T1054" s="197">
        <v>0</v>
      </c>
      <c r="U1054" s="288">
        <v>0</v>
      </c>
      <c r="V1054" s="282" t="e">
        <f>C1054-'часть 1'!#REF!</f>
        <v>#REF!</v>
      </c>
      <c r="W1054" s="282"/>
      <c r="X1054" s="28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296"/>
    </row>
    <row r="1055" spans="1:49" s="89" customFormat="1">
      <c r="A1055" s="198">
        <v>2</v>
      </c>
      <c r="B1055" s="195" t="s">
        <v>325</v>
      </c>
      <c r="C1055" s="196">
        <v>9379653</v>
      </c>
      <c r="D1055" s="196"/>
      <c r="E1055" s="196"/>
      <c r="F1055" s="196"/>
      <c r="G1055" s="196"/>
      <c r="H1055" s="196"/>
      <c r="I1055" s="196"/>
      <c r="J1055" s="196"/>
      <c r="K1055" s="196">
        <v>0</v>
      </c>
      <c r="L1055" s="194">
        <v>5</v>
      </c>
      <c r="M1055" s="196">
        <v>9379653</v>
      </c>
      <c r="N1055" s="196">
        <v>0</v>
      </c>
      <c r="O1055" s="196">
        <v>0</v>
      </c>
      <c r="P1055" s="194">
        <v>0</v>
      </c>
      <c r="Q1055" s="196">
        <v>0</v>
      </c>
      <c r="R1055" s="197">
        <v>0</v>
      </c>
      <c r="S1055" s="196">
        <v>0</v>
      </c>
      <c r="T1055" s="197">
        <v>0</v>
      </c>
      <c r="U1055" s="288">
        <v>0</v>
      </c>
      <c r="V1055" s="282" t="e">
        <f>C1055-'часть 1'!#REF!</f>
        <v>#REF!</v>
      </c>
      <c r="W1055" s="282"/>
      <c r="X1055" s="28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296"/>
      <c r="AJ1055" s="59"/>
      <c r="AK1055" s="59"/>
      <c r="AL1055" s="59"/>
      <c r="AM1055" s="59"/>
      <c r="AN1055" s="59"/>
      <c r="AO1055" s="59"/>
      <c r="AP1055" s="59"/>
      <c r="AQ1055" s="59"/>
      <c r="AR1055" s="59"/>
      <c r="AS1055" s="59"/>
      <c r="AT1055" s="59"/>
      <c r="AU1055" s="59"/>
      <c r="AV1055" s="59"/>
      <c r="AW1055" s="59"/>
    </row>
    <row r="1056" spans="1:49" s="59" customFormat="1">
      <c r="A1056" s="198">
        <v>3</v>
      </c>
      <c r="B1056" s="195" t="s">
        <v>321</v>
      </c>
      <c r="C1056" s="196">
        <v>3763756</v>
      </c>
      <c r="D1056" s="196"/>
      <c r="E1056" s="196"/>
      <c r="F1056" s="196"/>
      <c r="G1056" s="196"/>
      <c r="H1056" s="196"/>
      <c r="I1056" s="196"/>
      <c r="J1056" s="196"/>
      <c r="K1056" s="196">
        <v>0</v>
      </c>
      <c r="L1056" s="194">
        <v>2</v>
      </c>
      <c r="M1056" s="196">
        <v>3763756</v>
      </c>
      <c r="N1056" s="196">
        <v>0</v>
      </c>
      <c r="O1056" s="196">
        <v>0</v>
      </c>
      <c r="P1056" s="194">
        <v>0</v>
      </c>
      <c r="Q1056" s="196">
        <v>0</v>
      </c>
      <c r="R1056" s="200">
        <v>0</v>
      </c>
      <c r="S1056" s="196">
        <v>0</v>
      </c>
      <c r="T1056" s="197">
        <v>0</v>
      </c>
      <c r="U1056" s="288">
        <v>0</v>
      </c>
      <c r="V1056" s="282" t="e">
        <f>C1056-'часть 1'!#REF!</f>
        <v>#REF!</v>
      </c>
      <c r="W1056" s="282"/>
      <c r="X1056" s="28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296"/>
    </row>
    <row r="1057" spans="1:35" s="59" customFormat="1">
      <c r="A1057" s="198">
        <v>4</v>
      </c>
      <c r="B1057" s="195" t="s">
        <v>346</v>
      </c>
      <c r="C1057" s="196">
        <v>1095812</v>
      </c>
      <c r="D1057" s="196"/>
      <c r="E1057" s="196"/>
      <c r="F1057" s="196"/>
      <c r="G1057" s="196"/>
      <c r="H1057" s="196"/>
      <c r="I1057" s="196"/>
      <c r="J1057" s="196"/>
      <c r="K1057" s="196">
        <v>1095812</v>
      </c>
      <c r="L1057" s="194">
        <v>0</v>
      </c>
      <c r="M1057" s="196">
        <v>0</v>
      </c>
      <c r="N1057" s="196">
        <v>0</v>
      </c>
      <c r="O1057" s="196">
        <v>0</v>
      </c>
      <c r="P1057" s="194">
        <v>0</v>
      </c>
      <c r="Q1057" s="196">
        <v>0</v>
      </c>
      <c r="R1057" s="200">
        <v>0</v>
      </c>
      <c r="S1057" s="196">
        <v>0</v>
      </c>
      <c r="T1057" s="197">
        <v>0</v>
      </c>
      <c r="U1057" s="288">
        <v>0</v>
      </c>
      <c r="V1057" s="282" t="e">
        <f>C1057-'часть 1'!#REF!</f>
        <v>#REF!</v>
      </c>
      <c r="W1057" s="282"/>
      <c r="X1057" s="28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296"/>
    </row>
    <row r="1058" spans="1:35" s="59" customFormat="1">
      <c r="A1058" s="198">
        <v>5</v>
      </c>
      <c r="B1058" s="195" t="s">
        <v>322</v>
      </c>
      <c r="C1058" s="196">
        <v>5619141</v>
      </c>
      <c r="D1058" s="196"/>
      <c r="E1058" s="196"/>
      <c r="F1058" s="196"/>
      <c r="G1058" s="196"/>
      <c r="H1058" s="196"/>
      <c r="I1058" s="196"/>
      <c r="J1058" s="196"/>
      <c r="K1058" s="196">
        <v>0</v>
      </c>
      <c r="L1058" s="194">
        <v>3</v>
      </c>
      <c r="M1058" s="196">
        <v>5619141</v>
      </c>
      <c r="N1058" s="196">
        <v>0</v>
      </c>
      <c r="O1058" s="196">
        <v>0</v>
      </c>
      <c r="P1058" s="194">
        <v>0</v>
      </c>
      <c r="Q1058" s="196">
        <v>0</v>
      </c>
      <c r="R1058" s="200">
        <v>0</v>
      </c>
      <c r="S1058" s="196">
        <v>0</v>
      </c>
      <c r="T1058" s="197">
        <v>0</v>
      </c>
      <c r="U1058" s="288">
        <v>0</v>
      </c>
      <c r="V1058" s="282" t="e">
        <f>C1058-'часть 1'!#REF!</f>
        <v>#REF!</v>
      </c>
      <c r="W1058" s="282"/>
      <c r="X1058" s="28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296"/>
    </row>
    <row r="1059" spans="1:35" s="59" customFormat="1">
      <c r="A1059" s="198">
        <v>6</v>
      </c>
      <c r="B1059" s="195" t="s">
        <v>320</v>
      </c>
      <c r="C1059" s="196">
        <v>3748388</v>
      </c>
      <c r="D1059" s="196"/>
      <c r="E1059" s="196"/>
      <c r="F1059" s="196"/>
      <c r="G1059" s="196"/>
      <c r="H1059" s="196"/>
      <c r="I1059" s="196"/>
      <c r="J1059" s="196"/>
      <c r="K1059" s="196">
        <v>0</v>
      </c>
      <c r="L1059" s="194">
        <v>2</v>
      </c>
      <c r="M1059" s="196">
        <v>3748388</v>
      </c>
      <c r="N1059" s="196">
        <v>0</v>
      </c>
      <c r="O1059" s="196">
        <v>0</v>
      </c>
      <c r="P1059" s="194">
        <v>0</v>
      </c>
      <c r="Q1059" s="196">
        <v>0</v>
      </c>
      <c r="R1059" s="197">
        <v>0</v>
      </c>
      <c r="S1059" s="196">
        <v>0</v>
      </c>
      <c r="T1059" s="197">
        <v>0</v>
      </c>
      <c r="U1059" s="288">
        <v>0</v>
      </c>
      <c r="V1059" s="282" t="e">
        <f>C1059-'часть 1'!#REF!</f>
        <v>#REF!</v>
      </c>
      <c r="W1059" s="282"/>
      <c r="X1059" s="282"/>
      <c r="Y1059" s="12"/>
      <c r="Z1059" s="12"/>
      <c r="AA1059" s="12"/>
      <c r="AB1059" s="12"/>
      <c r="AC1059" s="12"/>
      <c r="AD1059" s="12"/>
      <c r="AE1059" s="12"/>
      <c r="AF1059" s="12"/>
      <c r="AG1059" s="12"/>
      <c r="AH1059" s="12"/>
      <c r="AI1059" s="296"/>
    </row>
    <row r="1060" spans="1:35" s="59" customFormat="1">
      <c r="A1060" s="198">
        <v>7</v>
      </c>
      <c r="B1060" s="195" t="s">
        <v>327</v>
      </c>
      <c r="C1060" s="196">
        <v>15157748</v>
      </c>
      <c r="D1060" s="196"/>
      <c r="E1060" s="196"/>
      <c r="F1060" s="196"/>
      <c r="G1060" s="196"/>
      <c r="H1060" s="196"/>
      <c r="I1060" s="196"/>
      <c r="J1060" s="196"/>
      <c r="K1060" s="196">
        <v>0</v>
      </c>
      <c r="L1060" s="194">
        <v>8</v>
      </c>
      <c r="M1060" s="196">
        <f>C1060</f>
        <v>15157748</v>
      </c>
      <c r="N1060" s="196">
        <v>0</v>
      </c>
      <c r="O1060" s="196">
        <v>0</v>
      </c>
      <c r="P1060" s="194">
        <v>0</v>
      </c>
      <c r="Q1060" s="196">
        <v>0</v>
      </c>
      <c r="R1060" s="197">
        <v>0</v>
      </c>
      <c r="S1060" s="196">
        <v>0</v>
      </c>
      <c r="T1060" s="197">
        <v>0</v>
      </c>
      <c r="U1060" s="288">
        <v>0</v>
      </c>
      <c r="V1060" s="282" t="e">
        <f>C1060-'часть 1'!#REF!</f>
        <v>#REF!</v>
      </c>
      <c r="W1060" s="282"/>
      <c r="X1060" s="282"/>
      <c r="Y1060" s="12"/>
      <c r="Z1060" s="12"/>
      <c r="AA1060" s="12"/>
      <c r="AB1060" s="12"/>
      <c r="AC1060" s="12"/>
      <c r="AD1060" s="12"/>
      <c r="AE1060" s="12"/>
      <c r="AF1060" s="12"/>
      <c r="AG1060" s="12"/>
      <c r="AH1060" s="12"/>
      <c r="AI1060" s="296"/>
    </row>
    <row r="1061" spans="1:35" s="59" customFormat="1">
      <c r="A1061" s="198">
        <v>8</v>
      </c>
      <c r="B1061" s="195" t="s">
        <v>323</v>
      </c>
      <c r="C1061" s="196">
        <v>1030213</v>
      </c>
      <c r="D1061" s="196"/>
      <c r="E1061" s="196"/>
      <c r="F1061" s="196"/>
      <c r="G1061" s="196"/>
      <c r="H1061" s="196"/>
      <c r="I1061" s="196"/>
      <c r="J1061" s="196"/>
      <c r="K1061" s="196">
        <v>0</v>
      </c>
      <c r="L1061" s="194">
        <v>0</v>
      </c>
      <c r="M1061" s="196">
        <v>0</v>
      </c>
      <c r="N1061" s="196">
        <v>513.79999999999995</v>
      </c>
      <c r="O1061" s="199">
        <f>C1061</f>
        <v>1030213</v>
      </c>
      <c r="P1061" s="194">
        <v>0</v>
      </c>
      <c r="Q1061" s="196">
        <v>0</v>
      </c>
      <c r="R1061" s="200">
        <v>0</v>
      </c>
      <c r="S1061" s="196">
        <v>0</v>
      </c>
      <c r="T1061" s="197">
        <v>0</v>
      </c>
      <c r="U1061" s="288">
        <v>0</v>
      </c>
      <c r="V1061" s="282" t="e">
        <f>C1061-'часть 1'!#REF!</f>
        <v>#REF!</v>
      </c>
      <c r="W1061" s="282"/>
      <c r="X1061" s="28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296"/>
    </row>
    <row r="1062" spans="1:35" s="59" customFormat="1">
      <c r="A1062" s="198">
        <v>9</v>
      </c>
      <c r="B1062" s="195" t="s">
        <v>319</v>
      </c>
      <c r="C1062" s="196">
        <v>530465</v>
      </c>
      <c r="D1062" s="196"/>
      <c r="E1062" s="196"/>
      <c r="F1062" s="196"/>
      <c r="G1062" s="196"/>
      <c r="H1062" s="196"/>
      <c r="I1062" s="196"/>
      <c r="J1062" s="196"/>
      <c r="K1062" s="196" t="e">
        <f>#REF!</f>
        <v>#REF!</v>
      </c>
      <c r="L1062" s="194">
        <v>0</v>
      </c>
      <c r="M1062" s="196">
        <v>0</v>
      </c>
      <c r="N1062" s="199">
        <v>0</v>
      </c>
      <c r="O1062" s="196">
        <v>0</v>
      </c>
      <c r="P1062" s="194">
        <v>0</v>
      </c>
      <c r="Q1062" s="196">
        <v>0</v>
      </c>
      <c r="R1062" s="200">
        <v>0</v>
      </c>
      <c r="S1062" s="196">
        <v>0</v>
      </c>
      <c r="T1062" s="197">
        <v>0</v>
      </c>
      <c r="U1062" s="288">
        <v>0</v>
      </c>
      <c r="V1062" s="282" t="e">
        <f>C1062-'часть 1'!#REF!</f>
        <v>#REF!</v>
      </c>
      <c r="W1062" s="282"/>
      <c r="X1062" s="28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296"/>
    </row>
    <row r="1063" spans="1:35" s="59" customFormat="1">
      <c r="A1063" s="198">
        <v>10</v>
      </c>
      <c r="B1063" s="195" t="s">
        <v>326</v>
      </c>
      <c r="C1063" s="196">
        <v>1983854</v>
      </c>
      <c r="D1063" s="196"/>
      <c r="E1063" s="196"/>
      <c r="F1063" s="196"/>
      <c r="G1063" s="196"/>
      <c r="H1063" s="196"/>
      <c r="I1063" s="196"/>
      <c r="J1063" s="196"/>
      <c r="K1063" s="196">
        <v>0</v>
      </c>
      <c r="L1063" s="194">
        <v>0</v>
      </c>
      <c r="M1063" s="196">
        <v>0</v>
      </c>
      <c r="N1063" s="196">
        <v>1000</v>
      </c>
      <c r="O1063" s="196">
        <v>1983854</v>
      </c>
      <c r="P1063" s="194">
        <v>0</v>
      </c>
      <c r="Q1063" s="196">
        <v>0</v>
      </c>
      <c r="R1063" s="197">
        <v>0</v>
      </c>
      <c r="S1063" s="196">
        <v>0</v>
      </c>
      <c r="T1063" s="197">
        <v>0</v>
      </c>
      <c r="U1063" s="288">
        <v>0</v>
      </c>
      <c r="V1063" s="282" t="e">
        <f>C1063-'часть 1'!#REF!</f>
        <v>#REF!</v>
      </c>
      <c r="W1063" s="282"/>
      <c r="X1063" s="28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296"/>
    </row>
    <row r="1064" spans="1:35" s="59" customFormat="1">
      <c r="A1064" s="198">
        <v>11</v>
      </c>
      <c r="B1064" s="195" t="s">
        <v>388</v>
      </c>
      <c r="C1064" s="196">
        <v>1206304</v>
      </c>
      <c r="D1064" s="196"/>
      <c r="E1064" s="196"/>
      <c r="F1064" s="196"/>
      <c r="G1064" s="196"/>
      <c r="H1064" s="196"/>
      <c r="I1064" s="196"/>
      <c r="J1064" s="196"/>
      <c r="K1064" s="196">
        <v>0</v>
      </c>
      <c r="L1064" s="194">
        <v>0</v>
      </c>
      <c r="M1064" s="196">
        <v>0</v>
      </c>
      <c r="N1064" s="196">
        <v>576</v>
      </c>
      <c r="O1064" s="196">
        <v>1206304</v>
      </c>
      <c r="P1064" s="194">
        <v>0</v>
      </c>
      <c r="Q1064" s="196">
        <v>0</v>
      </c>
      <c r="R1064" s="197">
        <v>0</v>
      </c>
      <c r="S1064" s="196">
        <v>0</v>
      </c>
      <c r="T1064" s="197">
        <v>0</v>
      </c>
      <c r="U1064" s="288">
        <v>0</v>
      </c>
      <c r="V1064" s="282" t="e">
        <f>C1064-'часть 1'!#REF!</f>
        <v>#REF!</v>
      </c>
      <c r="W1064" s="282"/>
      <c r="X1064" s="28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296"/>
    </row>
    <row r="1065" spans="1:35" s="59" customFormat="1" ht="30">
      <c r="A1065" s="198">
        <v>12</v>
      </c>
      <c r="B1065" s="195" t="s">
        <v>419</v>
      </c>
      <c r="C1065" s="196">
        <v>402530.2</v>
      </c>
      <c r="D1065" s="196"/>
      <c r="E1065" s="196"/>
      <c r="F1065" s="196"/>
      <c r="G1065" s="196"/>
      <c r="H1065" s="196"/>
      <c r="I1065" s="196"/>
      <c r="J1065" s="196"/>
      <c r="K1065" s="196">
        <v>402530.2</v>
      </c>
      <c r="L1065" s="194">
        <v>0</v>
      </c>
      <c r="M1065" s="196">
        <v>0</v>
      </c>
      <c r="N1065" s="196">
        <v>0</v>
      </c>
      <c r="O1065" s="196">
        <v>0</v>
      </c>
      <c r="P1065" s="194">
        <v>0</v>
      </c>
      <c r="Q1065" s="196">
        <v>0</v>
      </c>
      <c r="R1065" s="197">
        <v>0</v>
      </c>
      <c r="S1065" s="196">
        <v>0</v>
      </c>
      <c r="T1065" s="197">
        <v>0</v>
      </c>
      <c r="U1065" s="288">
        <v>0</v>
      </c>
      <c r="V1065" s="282" t="e">
        <f>C1065-'часть 1'!#REF!</f>
        <v>#REF!</v>
      </c>
      <c r="W1065" s="282"/>
      <c r="X1065" s="28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296"/>
    </row>
    <row r="1066" spans="1:35" s="59" customFormat="1">
      <c r="A1066" s="198">
        <v>13</v>
      </c>
      <c r="B1066" s="195" t="s">
        <v>387</v>
      </c>
      <c r="C1066" s="196">
        <v>2861497</v>
      </c>
      <c r="D1066" s="196"/>
      <c r="E1066" s="196"/>
      <c r="F1066" s="196"/>
      <c r="G1066" s="196"/>
      <c r="H1066" s="196"/>
      <c r="I1066" s="196"/>
      <c r="J1066" s="196"/>
      <c r="K1066" s="196">
        <v>0</v>
      </c>
      <c r="L1066" s="194">
        <v>0</v>
      </c>
      <c r="M1066" s="196">
        <v>0</v>
      </c>
      <c r="N1066" s="196">
        <v>1450</v>
      </c>
      <c r="O1066" s="196">
        <v>2861497</v>
      </c>
      <c r="P1066" s="194">
        <v>0</v>
      </c>
      <c r="Q1066" s="196">
        <v>0</v>
      </c>
      <c r="R1066" s="197">
        <v>0</v>
      </c>
      <c r="S1066" s="196">
        <v>0</v>
      </c>
      <c r="T1066" s="197">
        <v>0</v>
      </c>
      <c r="U1066" s="288">
        <v>0</v>
      </c>
      <c r="V1066" s="282" t="e">
        <f>C1066-'часть 1'!#REF!</f>
        <v>#REF!</v>
      </c>
      <c r="W1066" s="282"/>
      <c r="X1066" s="28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296"/>
    </row>
    <row r="1067" spans="1:35" s="59" customFormat="1">
      <c r="A1067" s="198">
        <v>14</v>
      </c>
      <c r="B1067" s="195" t="s">
        <v>334</v>
      </c>
      <c r="C1067" s="196">
        <v>1535065.47</v>
      </c>
      <c r="D1067" s="196"/>
      <c r="E1067" s="196"/>
      <c r="F1067" s="196"/>
      <c r="G1067" s="196"/>
      <c r="H1067" s="196"/>
      <c r="I1067" s="196"/>
      <c r="J1067" s="196"/>
      <c r="K1067" s="196">
        <v>0</v>
      </c>
      <c r="L1067" s="194">
        <v>0</v>
      </c>
      <c r="M1067" s="196">
        <v>0</v>
      </c>
      <c r="N1067" s="196">
        <v>0</v>
      </c>
      <c r="O1067" s="196">
        <v>0</v>
      </c>
      <c r="P1067" s="194">
        <v>0</v>
      </c>
      <c r="Q1067" s="196">
        <v>0</v>
      </c>
      <c r="R1067" s="196">
        <v>1641</v>
      </c>
      <c r="S1067" s="196">
        <v>1535065.47</v>
      </c>
      <c r="T1067" s="197">
        <v>0</v>
      </c>
      <c r="U1067" s="288">
        <v>0</v>
      </c>
      <c r="V1067" s="282" t="e">
        <f>C1067-'часть 1'!#REF!</f>
        <v>#REF!</v>
      </c>
      <c r="W1067" s="282"/>
      <c r="X1067" s="28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296"/>
    </row>
    <row r="1068" spans="1:35" s="59" customFormat="1">
      <c r="A1068" s="198">
        <v>15</v>
      </c>
      <c r="B1068" s="195" t="s">
        <v>330</v>
      </c>
      <c r="C1068" s="196">
        <v>930534</v>
      </c>
      <c r="D1068" s="196"/>
      <c r="E1068" s="196"/>
      <c r="F1068" s="196"/>
      <c r="G1068" s="196"/>
      <c r="H1068" s="196"/>
      <c r="I1068" s="196"/>
      <c r="J1068" s="196"/>
      <c r="K1068" s="196">
        <v>930534</v>
      </c>
      <c r="L1068" s="194">
        <v>0</v>
      </c>
      <c r="M1068" s="196">
        <v>0</v>
      </c>
      <c r="N1068" s="196">
        <v>0</v>
      </c>
      <c r="O1068" s="196">
        <v>0</v>
      </c>
      <c r="P1068" s="194">
        <v>0</v>
      </c>
      <c r="Q1068" s="196">
        <v>0</v>
      </c>
      <c r="R1068" s="200">
        <v>0</v>
      </c>
      <c r="S1068" s="196">
        <v>0</v>
      </c>
      <c r="T1068" s="197">
        <v>0</v>
      </c>
      <c r="U1068" s="288">
        <v>0</v>
      </c>
      <c r="V1068" s="282" t="e">
        <f>C1068-'часть 1'!#REF!</f>
        <v>#REF!</v>
      </c>
      <c r="W1068" s="282"/>
      <c r="X1068" s="282"/>
      <c r="Y1068" s="4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296"/>
    </row>
    <row r="1069" spans="1:35" s="59" customFormat="1">
      <c r="A1069" s="198">
        <v>16</v>
      </c>
      <c r="B1069" s="195" t="s">
        <v>328</v>
      </c>
      <c r="C1069" s="196">
        <v>662518</v>
      </c>
      <c r="D1069" s="196"/>
      <c r="E1069" s="196"/>
      <c r="F1069" s="196"/>
      <c r="G1069" s="196"/>
      <c r="H1069" s="196"/>
      <c r="I1069" s="196"/>
      <c r="J1069" s="196"/>
      <c r="K1069" s="196">
        <v>0</v>
      </c>
      <c r="L1069" s="194">
        <v>0</v>
      </c>
      <c r="M1069" s="196">
        <v>0</v>
      </c>
      <c r="N1069" s="196">
        <v>0</v>
      </c>
      <c r="O1069" s="196">
        <v>0</v>
      </c>
      <c r="P1069" s="196">
        <v>682</v>
      </c>
      <c r="Q1069" s="196">
        <f>C1069</f>
        <v>662518</v>
      </c>
      <c r="R1069" s="197">
        <v>0</v>
      </c>
      <c r="S1069" s="196">
        <v>0</v>
      </c>
      <c r="T1069" s="197">
        <v>0</v>
      </c>
      <c r="U1069" s="288">
        <v>0</v>
      </c>
      <c r="V1069" s="282">
        <f>C1069-'часть 1'!L1082</f>
        <v>662518</v>
      </c>
      <c r="W1069" s="282"/>
      <c r="X1069" s="28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296"/>
    </row>
    <row r="1070" spans="1:35" s="59" customFormat="1">
      <c r="A1070" s="198">
        <v>17</v>
      </c>
      <c r="B1070" s="195" t="s">
        <v>333</v>
      </c>
      <c r="C1070" s="196">
        <v>2346663</v>
      </c>
      <c r="D1070" s="196"/>
      <c r="E1070" s="196"/>
      <c r="F1070" s="196"/>
      <c r="G1070" s="196"/>
      <c r="H1070" s="196"/>
      <c r="I1070" s="196"/>
      <c r="J1070" s="196"/>
      <c r="K1070" s="196">
        <v>2346663</v>
      </c>
      <c r="L1070" s="194">
        <v>0</v>
      </c>
      <c r="M1070" s="196">
        <v>0</v>
      </c>
      <c r="N1070" s="199">
        <v>0</v>
      </c>
      <c r="O1070" s="196">
        <v>0</v>
      </c>
      <c r="P1070" s="194">
        <v>0</v>
      </c>
      <c r="Q1070" s="196">
        <v>0</v>
      </c>
      <c r="R1070" s="200">
        <v>0</v>
      </c>
      <c r="S1070" s="196">
        <v>0</v>
      </c>
      <c r="T1070" s="197">
        <v>0</v>
      </c>
      <c r="U1070" s="288">
        <v>0</v>
      </c>
      <c r="V1070" s="282" t="e">
        <f>C1070-'часть 1'!#REF!</f>
        <v>#REF!</v>
      </c>
      <c r="W1070" s="282"/>
      <c r="X1070" s="282"/>
      <c r="Y1070" s="12"/>
      <c r="Z1070" s="12"/>
      <c r="AA1070" s="12"/>
      <c r="AB1070" s="12"/>
      <c r="AC1070" s="12"/>
      <c r="AD1070" s="12"/>
      <c r="AE1070" s="15"/>
      <c r="AF1070" s="12"/>
      <c r="AG1070" s="12"/>
      <c r="AH1070" s="12"/>
      <c r="AI1070" s="296"/>
    </row>
    <row r="1071" spans="1:35" s="59" customFormat="1">
      <c r="A1071" s="198">
        <v>18</v>
      </c>
      <c r="B1071" s="195" t="s">
        <v>331</v>
      </c>
      <c r="C1071" s="196">
        <v>727019</v>
      </c>
      <c r="D1071" s="196"/>
      <c r="E1071" s="196"/>
      <c r="F1071" s="196"/>
      <c r="G1071" s="196"/>
      <c r="H1071" s="196"/>
      <c r="I1071" s="196"/>
      <c r="J1071" s="196"/>
      <c r="K1071" s="196">
        <v>727019</v>
      </c>
      <c r="L1071" s="194">
        <v>0</v>
      </c>
      <c r="M1071" s="196">
        <v>0</v>
      </c>
      <c r="N1071" s="196">
        <v>0</v>
      </c>
      <c r="O1071" s="196">
        <v>0</v>
      </c>
      <c r="P1071" s="194">
        <v>0</v>
      </c>
      <c r="Q1071" s="196">
        <v>0</v>
      </c>
      <c r="R1071" s="200">
        <v>0</v>
      </c>
      <c r="S1071" s="196">
        <v>0</v>
      </c>
      <c r="T1071" s="197">
        <v>0</v>
      </c>
      <c r="U1071" s="288">
        <v>0</v>
      </c>
      <c r="V1071" s="282" t="e">
        <f>C1071-'часть 1'!#REF!</f>
        <v>#REF!</v>
      </c>
      <c r="W1071" s="282"/>
      <c r="X1071" s="282"/>
      <c r="Y1071" s="12"/>
      <c r="Z1071" s="12"/>
      <c r="AA1071" s="12"/>
      <c r="AB1071" s="12"/>
      <c r="AC1071" s="12"/>
      <c r="AD1071" s="12"/>
      <c r="AE1071" s="12"/>
      <c r="AF1071" s="12"/>
      <c r="AG1071" s="12"/>
      <c r="AH1071" s="12"/>
      <c r="AI1071" s="296"/>
    </row>
    <row r="1072" spans="1:35" s="59" customFormat="1">
      <c r="A1072" s="198">
        <v>19</v>
      </c>
      <c r="B1072" s="195" t="s">
        <v>329</v>
      </c>
      <c r="C1072" s="196">
        <v>538121</v>
      </c>
      <c r="D1072" s="196"/>
      <c r="E1072" s="196"/>
      <c r="F1072" s="196"/>
      <c r="G1072" s="196"/>
      <c r="H1072" s="196"/>
      <c r="I1072" s="196"/>
      <c r="J1072" s="196"/>
      <c r="K1072" s="196">
        <v>538121</v>
      </c>
      <c r="L1072" s="194">
        <v>0</v>
      </c>
      <c r="M1072" s="196">
        <v>0</v>
      </c>
      <c r="N1072" s="196">
        <v>0</v>
      </c>
      <c r="O1072" s="196">
        <v>0</v>
      </c>
      <c r="P1072" s="194">
        <v>0</v>
      </c>
      <c r="Q1072" s="196">
        <v>0</v>
      </c>
      <c r="R1072" s="197">
        <v>0</v>
      </c>
      <c r="S1072" s="196">
        <v>0</v>
      </c>
      <c r="T1072" s="197">
        <v>0</v>
      </c>
      <c r="U1072" s="288">
        <v>0</v>
      </c>
      <c r="V1072" s="282" t="e">
        <f>C1072-'часть 1'!#REF!</f>
        <v>#REF!</v>
      </c>
      <c r="W1072" s="282"/>
      <c r="X1072" s="282"/>
      <c r="Y1072" s="4"/>
      <c r="Z1072" s="12"/>
      <c r="AA1072" s="12"/>
      <c r="AB1072" s="12"/>
      <c r="AC1072" s="12"/>
      <c r="AD1072" s="12"/>
      <c r="AE1072" s="12"/>
      <c r="AF1072" s="12"/>
      <c r="AG1072" s="12"/>
      <c r="AH1072" s="12"/>
      <c r="AI1072" s="296"/>
    </row>
    <row r="1073" spans="1:49" s="59" customFormat="1">
      <c r="A1073" s="198">
        <v>20</v>
      </c>
      <c r="B1073" s="195" t="s">
        <v>332</v>
      </c>
      <c r="C1073" s="196">
        <v>1756852</v>
      </c>
      <c r="D1073" s="196"/>
      <c r="E1073" s="196"/>
      <c r="F1073" s="196"/>
      <c r="G1073" s="196"/>
      <c r="H1073" s="196"/>
      <c r="I1073" s="196"/>
      <c r="J1073" s="196"/>
      <c r="K1073" s="196">
        <v>0</v>
      </c>
      <c r="L1073" s="194">
        <v>0</v>
      </c>
      <c r="M1073" s="196">
        <v>0</v>
      </c>
      <c r="N1073" s="196">
        <v>891</v>
      </c>
      <c r="O1073" s="196">
        <v>1756852</v>
      </c>
      <c r="P1073" s="194">
        <v>0</v>
      </c>
      <c r="Q1073" s="196">
        <v>0</v>
      </c>
      <c r="R1073" s="197">
        <v>0</v>
      </c>
      <c r="S1073" s="196">
        <v>0</v>
      </c>
      <c r="T1073" s="197">
        <v>0</v>
      </c>
      <c r="U1073" s="288">
        <v>0</v>
      </c>
      <c r="V1073" s="282" t="e">
        <f>C1073-'часть 1'!#REF!</f>
        <v>#REF!</v>
      </c>
      <c r="W1073" s="282"/>
      <c r="X1073" s="28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296"/>
    </row>
    <row r="1074" spans="1:49" s="59" customFormat="1">
      <c r="A1074" s="198">
        <v>21</v>
      </c>
      <c r="B1074" s="195" t="s">
        <v>316</v>
      </c>
      <c r="C1074" s="196">
        <v>676398.28</v>
      </c>
      <c r="D1074" s="196"/>
      <c r="E1074" s="196"/>
      <c r="F1074" s="196"/>
      <c r="G1074" s="196"/>
      <c r="H1074" s="196"/>
      <c r="I1074" s="196"/>
      <c r="J1074" s="196"/>
      <c r="K1074" s="196">
        <v>0</v>
      </c>
      <c r="L1074" s="194">
        <v>0</v>
      </c>
      <c r="M1074" s="196">
        <v>0</v>
      </c>
      <c r="N1074" s="196">
        <v>0</v>
      </c>
      <c r="O1074" s="196">
        <v>0</v>
      </c>
      <c r="P1074" s="194">
        <v>0</v>
      </c>
      <c r="Q1074" s="196">
        <v>0</v>
      </c>
      <c r="R1074" s="196">
        <v>1444</v>
      </c>
      <c r="S1074" s="196">
        <v>676398.28</v>
      </c>
      <c r="T1074" s="197">
        <v>0</v>
      </c>
      <c r="U1074" s="288">
        <v>0</v>
      </c>
      <c r="V1074" s="282" t="e">
        <f>C1074-'часть 1'!#REF!</f>
        <v>#REF!</v>
      </c>
      <c r="W1074" s="282"/>
      <c r="X1074" s="28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296"/>
    </row>
    <row r="1075" spans="1:49" s="59" customFormat="1">
      <c r="A1075" s="198">
        <v>22</v>
      </c>
      <c r="B1075" s="195" t="s">
        <v>313</v>
      </c>
      <c r="C1075" s="196">
        <v>766539</v>
      </c>
      <c r="D1075" s="196"/>
      <c r="E1075" s="196"/>
      <c r="F1075" s="196"/>
      <c r="G1075" s="196"/>
      <c r="H1075" s="196"/>
      <c r="I1075" s="196"/>
      <c r="J1075" s="196"/>
      <c r="K1075" s="196">
        <v>0</v>
      </c>
      <c r="L1075" s="194">
        <v>0</v>
      </c>
      <c r="M1075" s="196">
        <v>0</v>
      </c>
      <c r="N1075" s="196">
        <v>378.5</v>
      </c>
      <c r="O1075" s="196">
        <v>766539</v>
      </c>
      <c r="P1075" s="194">
        <v>0</v>
      </c>
      <c r="Q1075" s="196">
        <v>0</v>
      </c>
      <c r="R1075" s="197">
        <v>0</v>
      </c>
      <c r="S1075" s="196">
        <v>0</v>
      </c>
      <c r="T1075" s="197">
        <v>0</v>
      </c>
      <c r="U1075" s="288">
        <v>0</v>
      </c>
      <c r="V1075" s="282">
        <f>C1075-'часть 1'!L1083</f>
        <v>766539</v>
      </c>
      <c r="W1075" s="282"/>
      <c r="X1075" s="28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296"/>
      <c r="AJ1075" s="89"/>
      <c r="AK1075" s="89"/>
      <c r="AL1075" s="89"/>
      <c r="AM1075" s="89"/>
      <c r="AN1075" s="89"/>
      <c r="AO1075" s="89"/>
      <c r="AP1075" s="89"/>
      <c r="AQ1075" s="89"/>
      <c r="AR1075" s="89"/>
      <c r="AS1075" s="89"/>
      <c r="AT1075" s="89"/>
      <c r="AU1075" s="89"/>
      <c r="AV1075" s="89"/>
      <c r="AW1075" s="89"/>
    </row>
    <row r="1076" spans="1:49" s="59" customFormat="1">
      <c r="A1076" s="198">
        <v>23</v>
      </c>
      <c r="B1076" s="195" t="s">
        <v>312</v>
      </c>
      <c r="C1076" s="196">
        <v>1186114</v>
      </c>
      <c r="D1076" s="196"/>
      <c r="E1076" s="196"/>
      <c r="F1076" s="196"/>
      <c r="G1076" s="196"/>
      <c r="H1076" s="196"/>
      <c r="I1076" s="196"/>
      <c r="J1076" s="196"/>
      <c r="K1076" s="196">
        <v>0</v>
      </c>
      <c r="L1076" s="194">
        <v>0</v>
      </c>
      <c r="M1076" s="196">
        <v>0</v>
      </c>
      <c r="N1076" s="196">
        <v>586.29999999999995</v>
      </c>
      <c r="O1076" s="196">
        <v>1186114</v>
      </c>
      <c r="P1076" s="194">
        <v>0</v>
      </c>
      <c r="Q1076" s="196">
        <v>0</v>
      </c>
      <c r="R1076" s="197">
        <v>0</v>
      </c>
      <c r="S1076" s="196">
        <v>0</v>
      </c>
      <c r="T1076" s="197">
        <v>0</v>
      </c>
      <c r="U1076" s="288">
        <v>0</v>
      </c>
      <c r="V1076" s="282">
        <f>C1076-'часть 1'!L1084</f>
        <v>1186114</v>
      </c>
      <c r="W1076" s="282"/>
      <c r="X1076" s="28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296"/>
    </row>
    <row r="1077" spans="1:49" s="89" customFormat="1">
      <c r="A1077" s="198">
        <v>24</v>
      </c>
      <c r="B1077" s="195" t="s">
        <v>311</v>
      </c>
      <c r="C1077" s="196">
        <v>178272.59</v>
      </c>
      <c r="D1077" s="196"/>
      <c r="E1077" s="196"/>
      <c r="F1077" s="196"/>
      <c r="G1077" s="196"/>
      <c r="H1077" s="196"/>
      <c r="I1077" s="196"/>
      <c r="J1077" s="196"/>
      <c r="K1077" s="196">
        <v>178272.59</v>
      </c>
      <c r="L1077" s="194">
        <v>0</v>
      </c>
      <c r="M1077" s="196">
        <v>0</v>
      </c>
      <c r="N1077" s="199">
        <v>0</v>
      </c>
      <c r="O1077" s="196">
        <v>0</v>
      </c>
      <c r="P1077" s="194">
        <v>0</v>
      </c>
      <c r="Q1077" s="196">
        <v>0</v>
      </c>
      <c r="R1077" s="200">
        <v>0</v>
      </c>
      <c r="S1077" s="196">
        <v>0</v>
      </c>
      <c r="T1077" s="197">
        <v>0</v>
      </c>
      <c r="U1077" s="288">
        <v>0</v>
      </c>
      <c r="V1077" s="282">
        <f>C1077-'часть 1'!L1085</f>
        <v>-604161103.17000008</v>
      </c>
      <c r="W1077" s="282"/>
      <c r="X1077" s="28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296"/>
      <c r="AJ1077" s="59"/>
      <c r="AK1077" s="59"/>
      <c r="AL1077" s="59"/>
      <c r="AM1077" s="59"/>
      <c r="AN1077" s="59"/>
      <c r="AO1077" s="59"/>
      <c r="AP1077" s="59"/>
      <c r="AQ1077" s="59"/>
      <c r="AR1077" s="59"/>
      <c r="AS1077" s="59"/>
      <c r="AT1077" s="59"/>
      <c r="AU1077" s="59"/>
      <c r="AV1077" s="59"/>
      <c r="AW1077" s="59"/>
    </row>
    <row r="1078" spans="1:49" s="59" customFormat="1">
      <c r="A1078" s="198">
        <v>25</v>
      </c>
      <c r="B1078" s="195" t="s">
        <v>315</v>
      </c>
      <c r="C1078" s="196">
        <v>1087116</v>
      </c>
      <c r="D1078" s="196"/>
      <c r="E1078" s="196"/>
      <c r="F1078" s="196"/>
      <c r="G1078" s="196"/>
      <c r="H1078" s="196"/>
      <c r="I1078" s="196"/>
      <c r="J1078" s="196"/>
      <c r="K1078" s="196" t="e">
        <f>#REF!</f>
        <v>#REF!</v>
      </c>
      <c r="L1078" s="194">
        <v>0</v>
      </c>
      <c r="M1078" s="196">
        <v>0</v>
      </c>
      <c r="N1078" s="196">
        <v>0</v>
      </c>
      <c r="O1078" s="196">
        <v>0</v>
      </c>
      <c r="P1078" s="194">
        <v>0</v>
      </c>
      <c r="Q1078" s="196">
        <v>0</v>
      </c>
      <c r="R1078" s="197">
        <v>0</v>
      </c>
      <c r="S1078" s="196">
        <v>0</v>
      </c>
      <c r="T1078" s="197">
        <v>0</v>
      </c>
      <c r="U1078" s="288">
        <v>0</v>
      </c>
      <c r="V1078" s="282">
        <f>C1078-'часть 1'!L1086</f>
        <v>-335143754.63</v>
      </c>
      <c r="W1078" s="282"/>
      <c r="X1078" s="28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296"/>
    </row>
    <row r="1079" spans="1:49" s="59" customFormat="1">
      <c r="A1079" s="198">
        <v>26</v>
      </c>
      <c r="B1079" s="195" t="s">
        <v>351</v>
      </c>
      <c r="C1079" s="196">
        <v>1411363</v>
      </c>
      <c r="D1079" s="196"/>
      <c r="E1079" s="196"/>
      <c r="F1079" s="196"/>
      <c r="G1079" s="196"/>
      <c r="H1079" s="196"/>
      <c r="I1079" s="196"/>
      <c r="J1079" s="196"/>
      <c r="K1079" s="196">
        <v>0</v>
      </c>
      <c r="L1079" s="194">
        <v>0</v>
      </c>
      <c r="M1079" s="196">
        <v>0</v>
      </c>
      <c r="N1079" s="196">
        <v>702</v>
      </c>
      <c r="O1079" s="196">
        <v>1411363</v>
      </c>
      <c r="P1079" s="194">
        <v>0</v>
      </c>
      <c r="Q1079" s="196">
        <v>0</v>
      </c>
      <c r="R1079" s="197">
        <v>0</v>
      </c>
      <c r="S1079" s="196">
        <v>0</v>
      </c>
      <c r="T1079" s="197">
        <v>0</v>
      </c>
      <c r="U1079" s="288">
        <v>0</v>
      </c>
      <c r="V1079" s="282">
        <f>C1079-'часть 1'!L1087</f>
        <v>-4570853</v>
      </c>
      <c r="W1079" s="282"/>
      <c r="X1079" s="28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296"/>
    </row>
    <row r="1080" spans="1:49" s="59" customFormat="1">
      <c r="A1080" s="198">
        <v>27</v>
      </c>
      <c r="B1080" s="195" t="s">
        <v>314</v>
      </c>
      <c r="C1080" s="196">
        <v>1136666</v>
      </c>
      <c r="D1080" s="196"/>
      <c r="E1080" s="196"/>
      <c r="F1080" s="196"/>
      <c r="G1080" s="196"/>
      <c r="H1080" s="196"/>
      <c r="I1080" s="196"/>
      <c r="J1080" s="196"/>
      <c r="K1080" s="196">
        <v>0</v>
      </c>
      <c r="L1080" s="194">
        <v>0</v>
      </c>
      <c r="M1080" s="196">
        <v>0</v>
      </c>
      <c r="N1080" s="196">
        <v>552</v>
      </c>
      <c r="O1080" s="196">
        <v>1136666</v>
      </c>
      <c r="P1080" s="194">
        <v>0</v>
      </c>
      <c r="Q1080" s="196">
        <v>0</v>
      </c>
      <c r="R1080" s="200">
        <v>0</v>
      </c>
      <c r="S1080" s="196">
        <v>0</v>
      </c>
      <c r="T1080" s="197">
        <v>0</v>
      </c>
      <c r="U1080" s="288">
        <v>0</v>
      </c>
      <c r="V1080" s="282">
        <f>C1080-'часть 1'!L1088</f>
        <v>-8242987</v>
      </c>
      <c r="W1080" s="282"/>
      <c r="X1080" s="28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296"/>
    </row>
    <row r="1081" spans="1:49" s="59" customFormat="1">
      <c r="A1081" s="198">
        <v>28</v>
      </c>
      <c r="B1081" s="195" t="s">
        <v>369</v>
      </c>
      <c r="C1081" s="196">
        <v>1385674</v>
      </c>
      <c r="D1081" s="196"/>
      <c r="E1081" s="196"/>
      <c r="F1081" s="196"/>
      <c r="G1081" s="196"/>
      <c r="H1081" s="196"/>
      <c r="I1081" s="196"/>
      <c r="J1081" s="196"/>
      <c r="K1081" s="196">
        <v>1385674</v>
      </c>
      <c r="L1081" s="194">
        <v>0</v>
      </c>
      <c r="M1081" s="196">
        <v>0</v>
      </c>
      <c r="N1081" s="196">
        <v>0</v>
      </c>
      <c r="O1081" s="196">
        <v>0</v>
      </c>
      <c r="P1081" s="194">
        <v>0</v>
      </c>
      <c r="Q1081" s="196">
        <v>0</v>
      </c>
      <c r="R1081" s="197">
        <v>0</v>
      </c>
      <c r="S1081" s="196">
        <v>0</v>
      </c>
      <c r="T1081" s="197">
        <v>0</v>
      </c>
      <c r="U1081" s="288">
        <v>0</v>
      </c>
      <c r="V1081" s="282">
        <f>C1081-'часть 1'!L1089</f>
        <v>-2378082</v>
      </c>
      <c r="W1081" s="282"/>
      <c r="X1081" s="28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296"/>
    </row>
    <row r="1082" spans="1:49" s="59" customFormat="1">
      <c r="A1082" s="198">
        <v>29</v>
      </c>
      <c r="B1082" s="195" t="s">
        <v>370</v>
      </c>
      <c r="C1082" s="196">
        <v>4619990</v>
      </c>
      <c r="D1082" s="196"/>
      <c r="E1082" s="196"/>
      <c r="F1082" s="196"/>
      <c r="G1082" s="196"/>
      <c r="H1082" s="196"/>
      <c r="I1082" s="196"/>
      <c r="J1082" s="196"/>
      <c r="K1082" s="196">
        <v>0</v>
      </c>
      <c r="L1082" s="194">
        <v>0</v>
      </c>
      <c r="M1082" s="196">
        <v>0</v>
      </c>
      <c r="N1082" s="196">
        <v>2319</v>
      </c>
      <c r="O1082" s="196">
        <v>4619990</v>
      </c>
      <c r="P1082" s="194">
        <v>0</v>
      </c>
      <c r="Q1082" s="196">
        <v>0</v>
      </c>
      <c r="R1082" s="200">
        <v>0</v>
      </c>
      <c r="S1082" s="196">
        <v>0</v>
      </c>
      <c r="T1082" s="197">
        <v>0</v>
      </c>
      <c r="U1082" s="288">
        <v>0</v>
      </c>
      <c r="V1082" s="282">
        <f>C1082-'часть 1'!L1090</f>
        <v>3524178</v>
      </c>
      <c r="W1082" s="282"/>
      <c r="X1082" s="28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296"/>
    </row>
    <row r="1083" spans="1:49" s="59" customFormat="1">
      <c r="A1083" s="198">
        <v>30</v>
      </c>
      <c r="B1083" s="195" t="s">
        <v>373</v>
      </c>
      <c r="C1083" s="196">
        <v>1865304</v>
      </c>
      <c r="D1083" s="196"/>
      <c r="E1083" s="196"/>
      <c r="F1083" s="196"/>
      <c r="G1083" s="196"/>
      <c r="H1083" s="196"/>
      <c r="I1083" s="196"/>
      <c r="J1083" s="196"/>
      <c r="K1083" s="196">
        <v>0</v>
      </c>
      <c r="L1083" s="194">
        <v>0</v>
      </c>
      <c r="M1083" s="196">
        <v>0</v>
      </c>
      <c r="N1083" s="196">
        <v>924</v>
      </c>
      <c r="O1083" s="196">
        <v>1865304</v>
      </c>
      <c r="P1083" s="194">
        <v>0</v>
      </c>
      <c r="Q1083" s="196">
        <v>0</v>
      </c>
      <c r="R1083" s="197">
        <v>0</v>
      </c>
      <c r="S1083" s="196">
        <v>0</v>
      </c>
      <c r="T1083" s="197">
        <v>0</v>
      </c>
      <c r="U1083" s="288">
        <v>0</v>
      </c>
      <c r="V1083" s="282">
        <f>C1083-'часть 1'!L1091</f>
        <v>-3753837</v>
      </c>
      <c r="W1083" s="282"/>
      <c r="X1083" s="282"/>
      <c r="Y1083" s="12"/>
      <c r="Z1083" s="12"/>
      <c r="AA1083" s="12"/>
      <c r="AB1083" s="12"/>
      <c r="AC1083" s="12"/>
      <c r="AD1083" s="12"/>
      <c r="AE1083" s="12"/>
      <c r="AF1083" s="12"/>
      <c r="AG1083" s="12"/>
      <c r="AH1083" s="12"/>
      <c r="AI1083" s="296"/>
    </row>
    <row r="1084" spans="1:49" s="59" customFormat="1">
      <c r="A1084" s="198">
        <v>31</v>
      </c>
      <c r="B1084" s="195" t="s">
        <v>381</v>
      </c>
      <c r="C1084" s="196">
        <v>1870910</v>
      </c>
      <c r="D1084" s="196"/>
      <c r="E1084" s="196"/>
      <c r="F1084" s="196"/>
      <c r="G1084" s="196"/>
      <c r="H1084" s="196"/>
      <c r="I1084" s="196"/>
      <c r="J1084" s="196"/>
      <c r="K1084" s="196">
        <v>0</v>
      </c>
      <c r="L1084" s="194">
        <v>0</v>
      </c>
      <c r="M1084" s="196">
        <v>0</v>
      </c>
      <c r="N1084" s="196">
        <v>946.3</v>
      </c>
      <c r="O1084" s="196">
        <v>1870910</v>
      </c>
      <c r="P1084" s="194">
        <v>0</v>
      </c>
      <c r="Q1084" s="196">
        <v>0</v>
      </c>
      <c r="R1084" s="197">
        <v>0</v>
      </c>
      <c r="S1084" s="196">
        <v>0</v>
      </c>
      <c r="T1084" s="197">
        <v>0</v>
      </c>
      <c r="U1084" s="288">
        <v>0</v>
      </c>
      <c r="V1084" s="282">
        <f>C1084-'часть 1'!L1092</f>
        <v>-1877478</v>
      </c>
      <c r="W1084" s="282"/>
      <c r="X1084" s="282"/>
      <c r="Y1084" s="12"/>
      <c r="Z1084" s="12"/>
      <c r="AA1084" s="12"/>
      <c r="AB1084" s="12"/>
      <c r="AC1084" s="12"/>
      <c r="AD1084" s="12"/>
      <c r="AE1084" s="12"/>
      <c r="AF1084" s="12"/>
      <c r="AG1084" s="12"/>
      <c r="AH1084" s="12"/>
      <c r="AI1084" s="296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</row>
    <row r="1085" spans="1:49" s="59" customFormat="1">
      <c r="A1085" s="198">
        <v>32</v>
      </c>
      <c r="B1085" s="195" t="s">
        <v>382</v>
      </c>
      <c r="C1085" s="196">
        <v>1533757</v>
      </c>
      <c r="D1085" s="196"/>
      <c r="E1085" s="196"/>
      <c r="F1085" s="196"/>
      <c r="G1085" s="196"/>
      <c r="H1085" s="196"/>
      <c r="I1085" s="196"/>
      <c r="J1085" s="196"/>
      <c r="K1085" s="196">
        <v>0</v>
      </c>
      <c r="L1085" s="194">
        <v>0</v>
      </c>
      <c r="M1085" s="196">
        <v>0</v>
      </c>
      <c r="N1085" s="196">
        <v>772.9</v>
      </c>
      <c r="O1085" s="196">
        <v>1533757</v>
      </c>
      <c r="P1085" s="194">
        <v>0</v>
      </c>
      <c r="Q1085" s="196">
        <v>0</v>
      </c>
      <c r="R1085" s="197">
        <v>0</v>
      </c>
      <c r="S1085" s="196">
        <v>0</v>
      </c>
      <c r="T1085" s="197">
        <v>0</v>
      </c>
      <c r="U1085" s="288">
        <v>0</v>
      </c>
      <c r="V1085" s="282">
        <f>C1085-'часть 1'!L1093</f>
        <v>-13623991</v>
      </c>
      <c r="W1085" s="282"/>
      <c r="X1085" s="28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296"/>
    </row>
    <row r="1086" spans="1:49">
      <c r="A1086" s="194">
        <v>33</v>
      </c>
      <c r="B1086" s="195" t="s">
        <v>371</v>
      </c>
      <c r="C1086" s="196">
        <v>939858</v>
      </c>
      <c r="D1086" s="196"/>
      <c r="E1086" s="196"/>
      <c r="F1086" s="196"/>
      <c r="G1086" s="196"/>
      <c r="H1086" s="196"/>
      <c r="I1086" s="196"/>
      <c r="J1086" s="196"/>
      <c r="K1086" s="196">
        <v>939858</v>
      </c>
      <c r="L1086" s="194">
        <v>0</v>
      </c>
      <c r="M1086" s="196">
        <v>0</v>
      </c>
      <c r="N1086" s="196">
        <v>0</v>
      </c>
      <c r="O1086" s="196">
        <v>0</v>
      </c>
      <c r="P1086" s="194">
        <v>0</v>
      </c>
      <c r="Q1086" s="196">
        <v>0</v>
      </c>
      <c r="R1086" s="200">
        <v>0</v>
      </c>
      <c r="S1086" s="196">
        <v>0</v>
      </c>
      <c r="T1086" s="197">
        <v>0</v>
      </c>
      <c r="U1086" s="288">
        <v>0</v>
      </c>
      <c r="V1086" s="282">
        <f>C1086-'часть 1'!L1094</f>
        <v>-90355</v>
      </c>
      <c r="W1086" s="282"/>
      <c r="X1086" s="28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296"/>
      <c r="AJ1086" s="89"/>
      <c r="AK1086" s="89"/>
      <c r="AL1086" s="89"/>
      <c r="AM1086" s="89"/>
      <c r="AN1086" s="89"/>
      <c r="AO1086" s="89"/>
      <c r="AP1086" s="89"/>
      <c r="AQ1086" s="89"/>
      <c r="AR1086" s="89"/>
      <c r="AS1086" s="89"/>
      <c r="AT1086" s="89"/>
      <c r="AU1086" s="89"/>
      <c r="AV1086" s="89"/>
      <c r="AW1086" s="89"/>
    </row>
    <row r="1087" spans="1:49" s="59" customFormat="1">
      <c r="A1087" s="198">
        <v>34</v>
      </c>
      <c r="B1087" s="195" t="s">
        <v>377</v>
      </c>
      <c r="C1087" s="196">
        <v>2368392</v>
      </c>
      <c r="D1087" s="196"/>
      <c r="E1087" s="196"/>
      <c r="F1087" s="196"/>
      <c r="G1087" s="196"/>
      <c r="H1087" s="196"/>
      <c r="I1087" s="196"/>
      <c r="J1087" s="196"/>
      <c r="K1087" s="196">
        <v>0</v>
      </c>
      <c r="L1087" s="194">
        <v>0</v>
      </c>
      <c r="M1087" s="196">
        <v>0</v>
      </c>
      <c r="N1087" s="196">
        <v>1200</v>
      </c>
      <c r="O1087" s="199">
        <v>2368392</v>
      </c>
      <c r="P1087" s="194">
        <v>0</v>
      </c>
      <c r="Q1087" s="196">
        <v>0</v>
      </c>
      <c r="R1087" s="197">
        <v>0</v>
      </c>
      <c r="S1087" s="196">
        <v>0</v>
      </c>
      <c r="T1087" s="197">
        <v>0</v>
      </c>
      <c r="U1087" s="288">
        <v>0</v>
      </c>
      <c r="V1087" s="282">
        <f>C1087-'часть 1'!L1095</f>
        <v>1837927</v>
      </c>
      <c r="W1087" s="282"/>
      <c r="X1087" s="28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296"/>
    </row>
    <row r="1088" spans="1:49" s="89" customFormat="1">
      <c r="A1088" s="198">
        <v>35</v>
      </c>
      <c r="B1088" s="195" t="s">
        <v>378</v>
      </c>
      <c r="C1088" s="196">
        <v>2433930.91</v>
      </c>
      <c r="D1088" s="196"/>
      <c r="E1088" s="196"/>
      <c r="F1088" s="196"/>
      <c r="G1088" s="196"/>
      <c r="H1088" s="196"/>
      <c r="I1088" s="196"/>
      <c r="J1088" s="196"/>
      <c r="K1088" s="196">
        <v>1478520.9100000001</v>
      </c>
      <c r="L1088" s="194">
        <v>0</v>
      </c>
      <c r="M1088" s="196">
        <v>0</v>
      </c>
      <c r="N1088" s="196">
        <v>526.79999999999995</v>
      </c>
      <c r="O1088" s="196">
        <v>955410</v>
      </c>
      <c r="P1088" s="194">
        <v>0</v>
      </c>
      <c r="Q1088" s="196">
        <v>0</v>
      </c>
      <c r="R1088" s="200">
        <v>0</v>
      </c>
      <c r="S1088" s="196">
        <v>0</v>
      </c>
      <c r="T1088" s="197">
        <v>0</v>
      </c>
      <c r="U1088" s="288">
        <v>0</v>
      </c>
      <c r="V1088" s="282">
        <f>C1088-'часть 1'!L1096</f>
        <v>450076.91000000015</v>
      </c>
      <c r="W1088" s="282"/>
      <c r="X1088" s="28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296"/>
      <c r="AJ1088" s="59"/>
      <c r="AK1088" s="59"/>
      <c r="AL1088" s="59"/>
      <c r="AM1088" s="59"/>
      <c r="AN1088" s="59"/>
      <c r="AO1088" s="59"/>
      <c r="AP1088" s="59"/>
      <c r="AQ1088" s="59"/>
      <c r="AR1088" s="59"/>
      <c r="AS1088" s="59"/>
      <c r="AT1088" s="59"/>
      <c r="AU1088" s="59"/>
      <c r="AV1088" s="59"/>
      <c r="AW1088" s="59"/>
    </row>
    <row r="1089" spans="1:49" s="59" customFormat="1">
      <c r="A1089" s="198">
        <v>36</v>
      </c>
      <c r="B1089" s="195" t="s">
        <v>383</v>
      </c>
      <c r="C1089" s="196">
        <v>1721850</v>
      </c>
      <c r="D1089" s="196"/>
      <c r="E1089" s="196"/>
      <c r="F1089" s="196"/>
      <c r="G1089" s="196"/>
      <c r="H1089" s="196"/>
      <c r="I1089" s="196"/>
      <c r="J1089" s="196"/>
      <c r="K1089" s="196">
        <v>0</v>
      </c>
      <c r="L1089" s="194">
        <v>0</v>
      </c>
      <c r="M1089" s="196">
        <v>0</v>
      </c>
      <c r="N1089" s="196">
        <v>868.68</v>
      </c>
      <c r="O1089" s="196">
        <v>1721850</v>
      </c>
      <c r="P1089" s="194">
        <v>0</v>
      </c>
      <c r="Q1089" s="196">
        <v>0</v>
      </c>
      <c r="R1089" s="197">
        <v>0</v>
      </c>
      <c r="S1089" s="196">
        <v>0</v>
      </c>
      <c r="T1089" s="197">
        <v>0</v>
      </c>
      <c r="U1089" s="288">
        <v>0</v>
      </c>
      <c r="V1089" s="282">
        <f>C1089-'часть 1'!L1097</f>
        <v>515546</v>
      </c>
      <c r="W1089" s="282"/>
      <c r="X1089" s="28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296"/>
    </row>
    <row r="1090" spans="1:49" s="59" customFormat="1">
      <c r="A1090" s="198">
        <v>37</v>
      </c>
      <c r="B1090" s="195" t="s">
        <v>368</v>
      </c>
      <c r="C1090" s="196">
        <v>814117</v>
      </c>
      <c r="D1090" s="196"/>
      <c r="E1090" s="196"/>
      <c r="F1090" s="196"/>
      <c r="G1090" s="196"/>
      <c r="H1090" s="196"/>
      <c r="I1090" s="196"/>
      <c r="J1090" s="196"/>
      <c r="K1090" s="196">
        <v>814117</v>
      </c>
      <c r="L1090" s="194">
        <v>0</v>
      </c>
      <c r="M1090" s="196">
        <v>0</v>
      </c>
      <c r="N1090" s="196">
        <v>0</v>
      </c>
      <c r="O1090" s="196">
        <v>0</v>
      </c>
      <c r="P1090" s="194">
        <v>0</v>
      </c>
      <c r="Q1090" s="196">
        <v>0</v>
      </c>
      <c r="R1090" s="197">
        <v>0</v>
      </c>
      <c r="S1090" s="196">
        <v>0</v>
      </c>
      <c r="T1090" s="197">
        <v>0</v>
      </c>
      <c r="U1090" s="288">
        <v>0</v>
      </c>
      <c r="V1090" s="282">
        <f>C1090-'часть 1'!L1098</f>
        <v>411586.8</v>
      </c>
      <c r="W1090" s="282"/>
      <c r="X1090" s="28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296"/>
    </row>
    <row r="1091" spans="1:49" s="59" customFormat="1">
      <c r="A1091" s="198">
        <v>38</v>
      </c>
      <c r="B1091" s="195" t="s">
        <v>375</v>
      </c>
      <c r="C1091" s="196">
        <v>3045081</v>
      </c>
      <c r="D1091" s="196"/>
      <c r="E1091" s="196"/>
      <c r="F1091" s="196"/>
      <c r="G1091" s="196"/>
      <c r="H1091" s="196"/>
      <c r="I1091" s="196"/>
      <c r="J1091" s="196"/>
      <c r="K1091" s="196">
        <v>0</v>
      </c>
      <c r="L1091" s="194">
        <v>0</v>
      </c>
      <c r="M1091" s="196">
        <v>0</v>
      </c>
      <c r="N1091" s="196">
        <v>0</v>
      </c>
      <c r="O1091" s="196">
        <v>0</v>
      </c>
      <c r="P1091" s="194">
        <v>0</v>
      </c>
      <c r="Q1091" s="196">
        <v>0</v>
      </c>
      <c r="R1091" s="196">
        <v>2108</v>
      </c>
      <c r="S1091" s="196">
        <v>3045081</v>
      </c>
      <c r="T1091" s="197">
        <v>0</v>
      </c>
      <c r="U1091" s="288">
        <v>0</v>
      </c>
      <c r="V1091" s="282">
        <f>C1091-'часть 1'!L1099</f>
        <v>183584</v>
      </c>
      <c r="W1091" s="282"/>
      <c r="X1091" s="28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296"/>
    </row>
    <row r="1092" spans="1:49" s="59" customFormat="1">
      <c r="A1092" s="198">
        <v>39</v>
      </c>
      <c r="B1092" s="195" t="s">
        <v>380</v>
      </c>
      <c r="C1092" s="196">
        <v>2244806</v>
      </c>
      <c r="D1092" s="196"/>
      <c r="E1092" s="196"/>
      <c r="F1092" s="196"/>
      <c r="G1092" s="196"/>
      <c r="H1092" s="196"/>
      <c r="I1092" s="196"/>
      <c r="J1092" s="196"/>
      <c r="K1092" s="196">
        <v>0</v>
      </c>
      <c r="L1092" s="194">
        <v>0</v>
      </c>
      <c r="M1092" s="196">
        <v>0</v>
      </c>
      <c r="N1092" s="199">
        <v>1120</v>
      </c>
      <c r="O1092" s="196">
        <v>2244806</v>
      </c>
      <c r="P1092" s="194">
        <v>0</v>
      </c>
      <c r="Q1092" s="196">
        <v>0</v>
      </c>
      <c r="R1092" s="200">
        <v>0</v>
      </c>
      <c r="S1092" s="196">
        <v>0</v>
      </c>
      <c r="T1092" s="197">
        <v>0</v>
      </c>
      <c r="U1092" s="288">
        <v>0</v>
      </c>
      <c r="V1092" s="282">
        <f>C1092-'часть 1'!L1100</f>
        <v>709740.53</v>
      </c>
      <c r="W1092" s="282"/>
      <c r="X1092" s="28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296"/>
    </row>
    <row r="1093" spans="1:49" s="59" customFormat="1">
      <c r="A1093" s="198">
        <v>40</v>
      </c>
      <c r="B1093" s="195" t="s">
        <v>374</v>
      </c>
      <c r="C1093" s="196">
        <v>1361273</v>
      </c>
      <c r="D1093" s="196"/>
      <c r="E1093" s="196"/>
      <c r="F1093" s="196"/>
      <c r="G1093" s="196"/>
      <c r="H1093" s="196"/>
      <c r="I1093" s="196"/>
      <c r="J1093" s="196"/>
      <c r="K1093" s="196">
        <v>347471</v>
      </c>
      <c r="L1093" s="194">
        <v>0</v>
      </c>
      <c r="M1093" s="196">
        <v>0</v>
      </c>
      <c r="N1093" s="196">
        <v>0</v>
      </c>
      <c r="O1093" s="196">
        <v>0</v>
      </c>
      <c r="P1093" s="194">
        <v>0</v>
      </c>
      <c r="Q1093" s="196">
        <v>0</v>
      </c>
      <c r="R1093" s="196">
        <v>1105</v>
      </c>
      <c r="S1093" s="196">
        <v>1013802</v>
      </c>
      <c r="T1093" s="197">
        <v>0</v>
      </c>
      <c r="U1093" s="288">
        <v>0</v>
      </c>
      <c r="V1093" s="282">
        <f>C1093-'часть 1'!L1101</f>
        <v>430739</v>
      </c>
      <c r="W1093" s="282"/>
      <c r="X1093" s="28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296"/>
    </row>
    <row r="1094" spans="1:49" s="59" customFormat="1">
      <c r="A1094" s="198">
        <v>41</v>
      </c>
      <c r="B1094" s="195" t="s">
        <v>376</v>
      </c>
      <c r="C1094" s="196">
        <v>2421596</v>
      </c>
      <c r="D1094" s="196"/>
      <c r="E1094" s="196"/>
      <c r="F1094" s="196"/>
      <c r="G1094" s="196"/>
      <c r="H1094" s="196"/>
      <c r="I1094" s="196"/>
      <c r="J1094" s="196"/>
      <c r="K1094" s="196">
        <v>0</v>
      </c>
      <c r="L1094" s="194">
        <v>0</v>
      </c>
      <c r="M1094" s="196">
        <v>0</v>
      </c>
      <c r="N1094" s="196">
        <v>1230.72</v>
      </c>
      <c r="O1094" s="199">
        <v>2421596</v>
      </c>
      <c r="P1094" s="194">
        <v>0</v>
      </c>
      <c r="Q1094" s="196">
        <v>0</v>
      </c>
      <c r="R1094" s="197">
        <v>0</v>
      </c>
      <c r="S1094" s="196">
        <v>0</v>
      </c>
      <c r="T1094" s="197">
        <v>0</v>
      </c>
      <c r="U1094" s="288">
        <v>0</v>
      </c>
      <c r="V1094" s="282">
        <f>C1094-'часть 1'!L1102</f>
        <v>1759078</v>
      </c>
      <c r="W1094" s="282"/>
      <c r="X1094" s="28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296"/>
    </row>
    <row r="1095" spans="1:49" s="59" customFormat="1">
      <c r="A1095" s="198">
        <v>42</v>
      </c>
      <c r="B1095" s="195" t="s">
        <v>379</v>
      </c>
      <c r="C1095" s="196">
        <v>2056315</v>
      </c>
      <c r="D1095" s="196"/>
      <c r="E1095" s="196"/>
      <c r="F1095" s="196"/>
      <c r="G1095" s="196"/>
      <c r="H1095" s="196"/>
      <c r="I1095" s="196"/>
      <c r="J1095" s="196"/>
      <c r="K1095" s="196">
        <v>0</v>
      </c>
      <c r="L1095" s="194">
        <v>0</v>
      </c>
      <c r="M1095" s="196">
        <v>0</v>
      </c>
      <c r="N1095" s="196">
        <v>978</v>
      </c>
      <c r="O1095" s="196">
        <v>2056315</v>
      </c>
      <c r="P1095" s="194">
        <v>0</v>
      </c>
      <c r="Q1095" s="196">
        <v>0</v>
      </c>
      <c r="R1095" s="200">
        <v>0</v>
      </c>
      <c r="S1095" s="196">
        <v>0</v>
      </c>
      <c r="T1095" s="197">
        <v>0</v>
      </c>
      <c r="U1095" s="288">
        <v>0</v>
      </c>
      <c r="V1095" s="282">
        <f>C1095-'часть 1'!L1103</f>
        <v>-290348</v>
      </c>
      <c r="W1095" s="282"/>
      <c r="X1095" s="282"/>
      <c r="Y1095" s="12"/>
      <c r="Z1095" s="12"/>
      <c r="AA1095" s="12"/>
      <c r="AB1095" s="12"/>
      <c r="AC1095" s="12"/>
      <c r="AD1095" s="12"/>
      <c r="AE1095" s="12"/>
      <c r="AF1095" s="12"/>
      <c r="AG1095" s="12"/>
      <c r="AH1095" s="12"/>
      <c r="AI1095" s="296"/>
    </row>
    <row r="1096" spans="1:49" s="59" customFormat="1">
      <c r="A1096" s="198">
        <v>43</v>
      </c>
      <c r="B1096" s="195" t="s">
        <v>372</v>
      </c>
      <c r="C1096" s="196">
        <v>9473593</v>
      </c>
      <c r="D1096" s="196"/>
      <c r="E1096" s="196"/>
      <c r="F1096" s="196"/>
      <c r="G1096" s="196"/>
      <c r="H1096" s="196"/>
      <c r="I1096" s="196"/>
      <c r="J1096" s="196"/>
      <c r="K1096" s="196">
        <v>0</v>
      </c>
      <c r="L1096" s="194">
        <v>5</v>
      </c>
      <c r="M1096" s="196">
        <v>9473593</v>
      </c>
      <c r="N1096" s="196">
        <v>0</v>
      </c>
      <c r="O1096" s="196">
        <v>0</v>
      </c>
      <c r="P1096" s="194">
        <v>0</v>
      </c>
      <c r="Q1096" s="196">
        <v>0</v>
      </c>
      <c r="R1096" s="197">
        <v>0</v>
      </c>
      <c r="S1096" s="196">
        <v>0</v>
      </c>
      <c r="T1096" s="197">
        <v>0</v>
      </c>
      <c r="U1096" s="288">
        <v>0</v>
      </c>
      <c r="V1096" s="282">
        <f>C1096-'часть 1'!L1104</f>
        <v>8746574</v>
      </c>
      <c r="W1096" s="282"/>
      <c r="X1096" s="282"/>
      <c r="Y1096" s="12"/>
      <c r="Z1096" s="12"/>
      <c r="AA1096" s="12"/>
      <c r="AB1096" s="12"/>
      <c r="AC1096" s="12"/>
      <c r="AD1096" s="12"/>
      <c r="AE1096" s="12"/>
      <c r="AF1096" s="12"/>
      <c r="AG1096" s="12"/>
      <c r="AH1096" s="12"/>
      <c r="AI1096" s="296"/>
    </row>
    <row r="1097" spans="1:49" s="59" customFormat="1">
      <c r="A1097" s="198">
        <v>44</v>
      </c>
      <c r="B1097" s="195" t="s">
        <v>344</v>
      </c>
      <c r="C1097" s="196">
        <v>4441828</v>
      </c>
      <c r="D1097" s="196"/>
      <c r="E1097" s="196"/>
      <c r="F1097" s="196"/>
      <c r="G1097" s="196"/>
      <c r="H1097" s="196"/>
      <c r="I1097" s="196"/>
      <c r="J1097" s="196"/>
      <c r="K1097" s="196">
        <v>0</v>
      </c>
      <c r="L1097" s="194">
        <v>0</v>
      </c>
      <c r="M1097" s="196">
        <v>0</v>
      </c>
      <c r="N1097" s="196">
        <v>0</v>
      </c>
      <c r="O1097" s="196">
        <v>0</v>
      </c>
      <c r="P1097" s="194">
        <v>0</v>
      </c>
      <c r="Q1097" s="196">
        <v>0</v>
      </c>
      <c r="R1097" s="196">
        <v>3081.4</v>
      </c>
      <c r="S1097" s="196">
        <v>4441828</v>
      </c>
      <c r="T1097" s="197">
        <v>0</v>
      </c>
      <c r="U1097" s="288">
        <v>0</v>
      </c>
      <c r="V1097" s="282">
        <f>C1097-'часть 1'!L1105</f>
        <v>3903707</v>
      </c>
      <c r="W1097" s="282"/>
      <c r="X1097" s="28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296"/>
    </row>
    <row r="1098" spans="1:49" s="59" customFormat="1">
      <c r="A1098" s="198">
        <v>45</v>
      </c>
      <c r="B1098" s="195" t="s">
        <v>348</v>
      </c>
      <c r="C1098" s="196">
        <v>3051089</v>
      </c>
      <c r="D1098" s="196"/>
      <c r="E1098" s="196"/>
      <c r="F1098" s="196"/>
      <c r="G1098" s="196"/>
      <c r="H1098" s="196"/>
      <c r="I1098" s="196"/>
      <c r="J1098" s="196"/>
      <c r="K1098" s="196">
        <v>0</v>
      </c>
      <c r="L1098" s="194">
        <v>0</v>
      </c>
      <c r="M1098" s="196">
        <v>0</v>
      </c>
      <c r="N1098" s="196">
        <v>1549</v>
      </c>
      <c r="O1098" s="196">
        <v>3051089</v>
      </c>
      <c r="P1098" s="194">
        <v>0</v>
      </c>
      <c r="Q1098" s="196">
        <v>0</v>
      </c>
      <c r="R1098" s="197">
        <v>0</v>
      </c>
      <c r="S1098" s="196">
        <v>0</v>
      </c>
      <c r="T1098" s="197">
        <v>0</v>
      </c>
      <c r="U1098" s="288">
        <v>0</v>
      </c>
      <c r="V1098" s="282">
        <f>C1098-'часть 1'!L1106</f>
        <v>1294237</v>
      </c>
      <c r="W1098" s="282"/>
      <c r="X1098" s="28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296"/>
    </row>
    <row r="1099" spans="1:49" s="59" customFormat="1">
      <c r="A1099" s="198">
        <v>46</v>
      </c>
      <c r="B1099" s="195" t="s">
        <v>386</v>
      </c>
      <c r="C1099" s="196">
        <v>869749</v>
      </c>
      <c r="D1099" s="196"/>
      <c r="E1099" s="196"/>
      <c r="F1099" s="196"/>
      <c r="G1099" s="196"/>
      <c r="H1099" s="196"/>
      <c r="I1099" s="196"/>
      <c r="J1099" s="196"/>
      <c r="K1099" s="196">
        <v>0</v>
      </c>
      <c r="L1099" s="194">
        <v>0</v>
      </c>
      <c r="M1099" s="196">
        <v>0</v>
      </c>
      <c r="N1099" s="196">
        <v>431.5</v>
      </c>
      <c r="O1099" s="196">
        <f>C1099</f>
        <v>869749</v>
      </c>
      <c r="P1099" s="194">
        <v>0</v>
      </c>
      <c r="Q1099" s="196">
        <v>0</v>
      </c>
      <c r="R1099" s="197">
        <v>0</v>
      </c>
      <c r="S1099" s="196">
        <v>0</v>
      </c>
      <c r="T1099" s="197">
        <v>0</v>
      </c>
      <c r="U1099" s="288">
        <v>0</v>
      </c>
      <c r="V1099" s="282">
        <f>C1099-'часть 1'!L1107</f>
        <v>193350.71999999997</v>
      </c>
      <c r="W1099" s="282"/>
      <c r="X1099" s="28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296"/>
    </row>
    <row r="1100" spans="1:49" s="59" customFormat="1">
      <c r="A1100" s="198">
        <v>47</v>
      </c>
      <c r="B1100" s="195" t="s">
        <v>461</v>
      </c>
      <c r="C1100" s="196">
        <v>869880</v>
      </c>
      <c r="D1100" s="196"/>
      <c r="E1100" s="196"/>
      <c r="F1100" s="196"/>
      <c r="G1100" s="196"/>
      <c r="H1100" s="196"/>
      <c r="I1100" s="196"/>
      <c r="J1100" s="196"/>
      <c r="K1100" s="196">
        <v>0</v>
      </c>
      <c r="L1100" s="194">
        <v>0</v>
      </c>
      <c r="M1100" s="196">
        <v>0</v>
      </c>
      <c r="N1100" s="196">
        <v>431.5</v>
      </c>
      <c r="O1100" s="199">
        <f>C1100</f>
        <v>869880</v>
      </c>
      <c r="P1100" s="194">
        <v>0</v>
      </c>
      <c r="Q1100" s="196">
        <v>0</v>
      </c>
      <c r="R1100" s="200">
        <v>0</v>
      </c>
      <c r="S1100" s="196">
        <v>0</v>
      </c>
      <c r="T1100" s="197">
        <v>0</v>
      </c>
      <c r="U1100" s="288">
        <v>0</v>
      </c>
      <c r="V1100" s="282">
        <f>C1100-'часть 1'!L1108</f>
        <v>103341</v>
      </c>
      <c r="W1100" s="282"/>
      <c r="X1100" s="28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296"/>
    </row>
    <row r="1101" spans="1:49" s="59" customFormat="1" ht="30">
      <c r="A1101" s="198">
        <v>48</v>
      </c>
      <c r="B1101" s="195" t="s">
        <v>462</v>
      </c>
      <c r="C1101" s="196">
        <v>172302</v>
      </c>
      <c r="D1101" s="196"/>
      <c r="E1101" s="196"/>
      <c r="F1101" s="196"/>
      <c r="G1101" s="196"/>
      <c r="H1101" s="196"/>
      <c r="I1101" s="196"/>
      <c r="J1101" s="196"/>
      <c r="K1101" s="196">
        <v>172302</v>
      </c>
      <c r="L1101" s="194">
        <v>0</v>
      </c>
      <c r="M1101" s="196">
        <v>0</v>
      </c>
      <c r="N1101" s="196">
        <v>0</v>
      </c>
      <c r="O1101" s="196">
        <v>0</v>
      </c>
      <c r="P1101" s="194">
        <v>0</v>
      </c>
      <c r="Q1101" s="196">
        <v>0</v>
      </c>
      <c r="R1101" s="197">
        <v>0</v>
      </c>
      <c r="S1101" s="196">
        <v>0</v>
      </c>
      <c r="T1101" s="197">
        <v>0</v>
      </c>
      <c r="U1101" s="288">
        <v>0</v>
      </c>
      <c r="V1101" s="282">
        <f>C1101-'часть 1'!L1109</f>
        <v>-1013812</v>
      </c>
      <c r="W1101" s="282"/>
      <c r="X1101" s="28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296"/>
      <c r="AJ1101" s="89"/>
      <c r="AK1101" s="89"/>
      <c r="AL1101" s="89"/>
      <c r="AM1101" s="89"/>
      <c r="AN1101" s="89"/>
      <c r="AO1101" s="89"/>
      <c r="AP1101" s="89"/>
      <c r="AQ1101" s="89"/>
      <c r="AR1101" s="89"/>
      <c r="AS1101" s="89"/>
      <c r="AT1101" s="89"/>
      <c r="AU1101" s="89"/>
      <c r="AV1101" s="89"/>
      <c r="AW1101" s="89"/>
    </row>
    <row r="1102" spans="1:49" s="59" customFormat="1">
      <c r="A1102" s="198">
        <v>49</v>
      </c>
      <c r="B1102" s="195" t="s">
        <v>389</v>
      </c>
      <c r="C1102" s="196">
        <v>3706393</v>
      </c>
      <c r="D1102" s="196"/>
      <c r="E1102" s="196"/>
      <c r="F1102" s="196"/>
      <c r="G1102" s="196"/>
      <c r="H1102" s="196"/>
      <c r="I1102" s="196"/>
      <c r="J1102" s="196"/>
      <c r="K1102" s="196" t="e">
        <f>#REF!</f>
        <v>#REF!</v>
      </c>
      <c r="L1102" s="194">
        <v>0</v>
      </c>
      <c r="M1102" s="196">
        <v>0</v>
      </c>
      <c r="N1102" s="196">
        <v>0</v>
      </c>
      <c r="O1102" s="196">
        <v>0</v>
      </c>
      <c r="P1102" s="194">
        <v>0</v>
      </c>
      <c r="Q1102" s="196">
        <v>0</v>
      </c>
      <c r="R1102" s="197">
        <v>0</v>
      </c>
      <c r="S1102" s="196">
        <v>0</v>
      </c>
      <c r="T1102" s="197">
        <v>0</v>
      </c>
      <c r="U1102" s="288">
        <v>0</v>
      </c>
      <c r="V1102" s="282">
        <f>C1102-'часть 1'!L1110</f>
        <v>3528120.41</v>
      </c>
      <c r="W1102" s="282"/>
      <c r="X1102" s="28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296"/>
    </row>
    <row r="1103" spans="1:49" s="59" customFormat="1">
      <c r="A1103" s="198">
        <v>50</v>
      </c>
      <c r="B1103" s="195" t="s">
        <v>317</v>
      </c>
      <c r="C1103" s="196">
        <v>698585</v>
      </c>
      <c r="D1103" s="196"/>
      <c r="E1103" s="196"/>
      <c r="F1103" s="196"/>
      <c r="G1103" s="196"/>
      <c r="H1103" s="196"/>
      <c r="I1103" s="196"/>
      <c r="J1103" s="196"/>
      <c r="K1103" s="196">
        <v>698585</v>
      </c>
      <c r="L1103" s="194">
        <v>0</v>
      </c>
      <c r="M1103" s="196">
        <v>0</v>
      </c>
      <c r="N1103" s="199">
        <v>0</v>
      </c>
      <c r="O1103" s="196">
        <v>0</v>
      </c>
      <c r="P1103" s="194">
        <v>0</v>
      </c>
      <c r="Q1103" s="196">
        <v>0</v>
      </c>
      <c r="R1103" s="200">
        <v>0</v>
      </c>
      <c r="S1103" s="196">
        <v>0</v>
      </c>
      <c r="T1103" s="197">
        <v>0</v>
      </c>
      <c r="U1103" s="288">
        <v>0</v>
      </c>
      <c r="V1103" s="282">
        <f>C1103-'часть 1'!L1111</f>
        <v>-388531</v>
      </c>
      <c r="W1103" s="282"/>
      <c r="X1103" s="28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296"/>
    </row>
    <row r="1104" spans="1:49" s="59" customFormat="1">
      <c r="A1104" s="198">
        <v>51</v>
      </c>
      <c r="B1104" s="195" t="s">
        <v>384</v>
      </c>
      <c r="C1104" s="196">
        <v>951740</v>
      </c>
      <c r="D1104" s="196"/>
      <c r="E1104" s="196"/>
      <c r="F1104" s="196"/>
      <c r="G1104" s="196"/>
      <c r="H1104" s="196"/>
      <c r="I1104" s="196"/>
      <c r="J1104" s="196"/>
      <c r="K1104" s="196">
        <v>0</v>
      </c>
      <c r="L1104" s="194">
        <v>0</v>
      </c>
      <c r="M1104" s="196">
        <v>0</v>
      </c>
      <c r="N1104" s="196">
        <v>471.1</v>
      </c>
      <c r="O1104" s="196">
        <v>951740</v>
      </c>
      <c r="P1104" s="194">
        <v>0</v>
      </c>
      <c r="Q1104" s="196">
        <v>0</v>
      </c>
      <c r="R1104" s="197">
        <v>0</v>
      </c>
      <c r="S1104" s="196">
        <v>0</v>
      </c>
      <c r="T1104" s="197">
        <v>0</v>
      </c>
      <c r="U1104" s="288">
        <v>0</v>
      </c>
      <c r="V1104" s="282">
        <f>C1104-'часть 1'!L1112</f>
        <v>-459623</v>
      </c>
      <c r="W1104" s="282"/>
      <c r="X1104" s="28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296"/>
    </row>
    <row r="1105" spans="1:38">
      <c r="A1105" s="198">
        <v>52</v>
      </c>
      <c r="B1105" s="195" t="s">
        <v>247</v>
      </c>
      <c r="C1105" s="196">
        <v>2056139</v>
      </c>
      <c r="D1105" s="196"/>
      <c r="E1105" s="196"/>
      <c r="F1105" s="196"/>
      <c r="G1105" s="196"/>
      <c r="H1105" s="196"/>
      <c r="I1105" s="196"/>
      <c r="J1105" s="196"/>
      <c r="K1105" s="196">
        <v>0</v>
      </c>
      <c r="L1105" s="194">
        <v>0</v>
      </c>
      <c r="M1105" s="196">
        <v>0</v>
      </c>
      <c r="N1105" s="196">
        <v>1020</v>
      </c>
      <c r="O1105" s="196">
        <v>2056139</v>
      </c>
      <c r="P1105" s="194">
        <v>0</v>
      </c>
      <c r="Q1105" s="196">
        <v>0</v>
      </c>
      <c r="R1105" s="200">
        <v>0</v>
      </c>
      <c r="S1105" s="196">
        <v>0</v>
      </c>
      <c r="T1105" s="197">
        <v>0</v>
      </c>
      <c r="U1105" s="288">
        <v>0</v>
      </c>
      <c r="V1105" s="282">
        <f>C1105-'часть 1'!L1113</f>
        <v>919473</v>
      </c>
      <c r="W1105" s="282"/>
      <c r="X1105" s="28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296"/>
    </row>
    <row r="1106" spans="1:38">
      <c r="A1106" s="198">
        <v>53</v>
      </c>
      <c r="B1106" s="195" t="s">
        <v>274</v>
      </c>
      <c r="C1106" s="196">
        <v>1321356</v>
      </c>
      <c r="D1106" s="196"/>
      <c r="E1106" s="196"/>
      <c r="F1106" s="196"/>
      <c r="G1106" s="196"/>
      <c r="H1106" s="196"/>
      <c r="I1106" s="196"/>
      <c r="J1106" s="196"/>
      <c r="K1106" s="196">
        <v>0</v>
      </c>
      <c r="L1106" s="194">
        <v>0</v>
      </c>
      <c r="M1106" s="196">
        <v>0</v>
      </c>
      <c r="N1106" s="196">
        <v>662</v>
      </c>
      <c r="O1106" s="199">
        <v>1321356</v>
      </c>
      <c r="P1106" s="194">
        <v>0</v>
      </c>
      <c r="Q1106" s="196">
        <v>0</v>
      </c>
      <c r="R1106" s="197">
        <v>0</v>
      </c>
      <c r="S1106" s="196">
        <v>0</v>
      </c>
      <c r="T1106" s="197">
        <v>0</v>
      </c>
      <c r="U1106" s="288">
        <v>0</v>
      </c>
      <c r="V1106" s="282">
        <f>C1106-'часть 1'!L1114</f>
        <v>-64318</v>
      </c>
      <c r="W1106" s="282"/>
      <c r="X1106" s="28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296"/>
    </row>
    <row r="1107" spans="1:38" ht="30">
      <c r="A1107" s="198">
        <v>54</v>
      </c>
      <c r="B1107" s="195" t="s">
        <v>338</v>
      </c>
      <c r="C1107" s="196">
        <v>1679278</v>
      </c>
      <c r="D1107" s="196"/>
      <c r="E1107" s="196"/>
      <c r="F1107" s="196"/>
      <c r="G1107" s="196"/>
      <c r="H1107" s="196"/>
      <c r="I1107" s="196"/>
      <c r="J1107" s="196"/>
      <c r="K1107" s="196">
        <v>355519</v>
      </c>
      <c r="L1107" s="194">
        <v>0</v>
      </c>
      <c r="M1107" s="196">
        <v>0</v>
      </c>
      <c r="N1107" s="196">
        <v>663.3</v>
      </c>
      <c r="O1107" s="196">
        <v>1323759</v>
      </c>
      <c r="P1107" s="194">
        <v>0</v>
      </c>
      <c r="Q1107" s="196">
        <v>0</v>
      </c>
      <c r="R1107" s="197">
        <v>0</v>
      </c>
      <c r="S1107" s="196">
        <v>0</v>
      </c>
      <c r="T1107" s="197">
        <v>0</v>
      </c>
      <c r="U1107" s="288">
        <v>0</v>
      </c>
      <c r="V1107" s="282">
        <f>C1107-'часть 1'!L1115</f>
        <v>-2940712</v>
      </c>
      <c r="W1107" s="282"/>
      <c r="X1107" s="282"/>
      <c r="Y1107" s="12"/>
      <c r="Z1107" s="12"/>
      <c r="AA1107" s="12"/>
      <c r="AB1107" s="12"/>
      <c r="AC1107" s="12"/>
      <c r="AD1107" s="12"/>
      <c r="AE1107" s="12"/>
      <c r="AF1107" s="12"/>
      <c r="AG1107" s="4"/>
      <c r="AH1107" s="12"/>
      <c r="AI1107" s="296"/>
    </row>
    <row r="1108" spans="1:38" s="11" customFormat="1">
      <c r="A1108" s="198">
        <v>55</v>
      </c>
      <c r="B1108" s="195" t="s">
        <v>272</v>
      </c>
      <c r="C1108" s="196">
        <v>1100896</v>
      </c>
      <c r="D1108" s="196"/>
      <c r="E1108" s="196"/>
      <c r="F1108" s="196"/>
      <c r="G1108" s="196"/>
      <c r="H1108" s="196"/>
      <c r="I1108" s="196"/>
      <c r="J1108" s="196"/>
      <c r="K1108" s="196">
        <v>0</v>
      </c>
      <c r="L1108" s="194">
        <v>0</v>
      </c>
      <c r="M1108" s="196">
        <v>0</v>
      </c>
      <c r="N1108" s="196">
        <v>549</v>
      </c>
      <c r="O1108" s="199">
        <v>1100896</v>
      </c>
      <c r="P1108" s="194">
        <v>0</v>
      </c>
      <c r="Q1108" s="196">
        <v>0</v>
      </c>
      <c r="R1108" s="197">
        <v>0</v>
      </c>
      <c r="S1108" s="196">
        <v>0</v>
      </c>
      <c r="T1108" s="197">
        <v>0</v>
      </c>
      <c r="U1108" s="288">
        <v>0</v>
      </c>
      <c r="V1108" s="282">
        <f>C1108-'часть 1'!L1116</f>
        <v>-764408</v>
      </c>
      <c r="W1108" s="282"/>
      <c r="X1108" s="282"/>
      <c r="Y1108" s="12"/>
      <c r="Z1108" s="12"/>
      <c r="AA1108" s="12"/>
      <c r="AB1108" s="12"/>
      <c r="AC1108" s="12"/>
      <c r="AD1108" s="12"/>
      <c r="AE1108" s="12"/>
      <c r="AF1108" s="12"/>
      <c r="AG1108" s="12"/>
      <c r="AH1108" s="12"/>
      <c r="AI1108" s="296"/>
    </row>
    <row r="1109" spans="1:38" ht="30">
      <c r="A1109" s="198">
        <v>56</v>
      </c>
      <c r="B1109" s="195" t="s">
        <v>337</v>
      </c>
      <c r="C1109" s="196">
        <v>1729707</v>
      </c>
      <c r="D1109" s="196"/>
      <c r="E1109" s="196"/>
      <c r="F1109" s="196"/>
      <c r="G1109" s="196"/>
      <c r="H1109" s="196"/>
      <c r="I1109" s="196"/>
      <c r="J1109" s="196"/>
      <c r="K1109" s="196">
        <v>630140</v>
      </c>
      <c r="L1109" s="194">
        <v>0</v>
      </c>
      <c r="M1109" s="196">
        <v>0</v>
      </c>
      <c r="N1109" s="196">
        <v>0</v>
      </c>
      <c r="O1109" s="196">
        <v>0</v>
      </c>
      <c r="P1109" s="194">
        <v>0</v>
      </c>
      <c r="Q1109" s="196">
        <v>0</v>
      </c>
      <c r="R1109" s="196">
        <v>760.3</v>
      </c>
      <c r="S1109" s="196">
        <v>1099567</v>
      </c>
      <c r="T1109" s="197">
        <v>0</v>
      </c>
      <c r="U1109" s="288">
        <v>0</v>
      </c>
      <c r="V1109" s="282">
        <f>C1109-'часть 1'!L1117</f>
        <v>-141203</v>
      </c>
      <c r="W1109" s="282"/>
      <c r="X1109" s="28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296"/>
    </row>
    <row r="1110" spans="1:38" s="59" customFormat="1">
      <c r="A1110" s="198">
        <v>57</v>
      </c>
      <c r="B1110" s="195" t="s">
        <v>257</v>
      </c>
      <c r="C1110" s="196">
        <v>451222.57</v>
      </c>
      <c r="D1110" s="196"/>
      <c r="E1110" s="196"/>
      <c r="F1110" s="196"/>
      <c r="G1110" s="196"/>
      <c r="H1110" s="196"/>
      <c r="I1110" s="196"/>
      <c r="J1110" s="196"/>
      <c r="K1110" s="196">
        <v>451222.57</v>
      </c>
      <c r="L1110" s="194">
        <v>0</v>
      </c>
      <c r="M1110" s="196">
        <v>0</v>
      </c>
      <c r="N1110" s="196">
        <v>0</v>
      </c>
      <c r="O1110" s="196">
        <v>0</v>
      </c>
      <c r="P1110" s="194">
        <v>0</v>
      </c>
      <c r="Q1110" s="196">
        <v>0</v>
      </c>
      <c r="R1110" s="197">
        <v>0</v>
      </c>
      <c r="S1110" s="196">
        <v>0</v>
      </c>
      <c r="T1110" s="197">
        <v>0</v>
      </c>
      <c r="U1110" s="288">
        <v>0</v>
      </c>
      <c r="V1110" s="282">
        <f>C1110-'часть 1'!L1118</f>
        <v>-1082534.43</v>
      </c>
      <c r="W1110" s="282"/>
      <c r="X1110" s="282"/>
      <c r="Y1110" s="12"/>
      <c r="Z1110" s="12"/>
      <c r="AA1110" s="4"/>
      <c r="AB1110" s="12"/>
      <c r="AC1110" s="12"/>
      <c r="AD1110" s="12"/>
      <c r="AE1110" s="12"/>
      <c r="AF1110" s="12"/>
      <c r="AG1110" s="12"/>
      <c r="AH1110" s="12"/>
      <c r="AI1110" s="296"/>
    </row>
    <row r="1111" spans="1:38" ht="30">
      <c r="A1111" s="198">
        <v>58</v>
      </c>
      <c r="B1111" s="195" t="s">
        <v>307</v>
      </c>
      <c r="C1111" s="196">
        <v>703675.57</v>
      </c>
      <c r="D1111" s="196"/>
      <c r="E1111" s="196"/>
      <c r="F1111" s="196"/>
      <c r="G1111" s="196"/>
      <c r="H1111" s="196"/>
      <c r="I1111" s="196"/>
      <c r="J1111" s="196"/>
      <c r="K1111" s="196">
        <v>0</v>
      </c>
      <c r="L1111" s="194">
        <v>0</v>
      </c>
      <c r="M1111" s="196">
        <v>0</v>
      </c>
      <c r="N1111" s="196">
        <v>378</v>
      </c>
      <c r="O1111" s="196">
        <v>703675.57</v>
      </c>
      <c r="P1111" s="194">
        <v>0</v>
      </c>
      <c r="Q1111" s="196">
        <v>0</v>
      </c>
      <c r="R1111" s="197">
        <v>0</v>
      </c>
      <c r="S1111" s="196">
        <v>0</v>
      </c>
      <c r="T1111" s="197">
        <v>0</v>
      </c>
      <c r="U1111" s="288">
        <v>0</v>
      </c>
      <c r="V1111" s="282">
        <f>C1111-'часть 1'!L1119</f>
        <v>-236182.43000000005</v>
      </c>
      <c r="W1111" s="282"/>
      <c r="X1111" s="28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296"/>
    </row>
    <row r="1112" spans="1:38">
      <c r="A1112" s="198">
        <v>59</v>
      </c>
      <c r="B1112" s="195" t="s">
        <v>268</v>
      </c>
      <c r="C1112" s="196">
        <v>1053533.22</v>
      </c>
      <c r="D1112" s="196"/>
      <c r="E1112" s="196"/>
      <c r="F1112" s="196"/>
      <c r="G1112" s="196"/>
      <c r="H1112" s="196"/>
      <c r="I1112" s="196"/>
      <c r="J1112" s="196"/>
      <c r="K1112" s="196">
        <v>1053533.22</v>
      </c>
      <c r="L1112" s="194">
        <v>0</v>
      </c>
      <c r="M1112" s="196">
        <v>0</v>
      </c>
      <c r="N1112" s="196">
        <v>0</v>
      </c>
      <c r="O1112" s="196">
        <v>0</v>
      </c>
      <c r="P1112" s="194">
        <v>0</v>
      </c>
      <c r="Q1112" s="196">
        <v>0</v>
      </c>
      <c r="R1112" s="197">
        <v>0</v>
      </c>
      <c r="S1112" s="196">
        <v>0</v>
      </c>
      <c r="T1112" s="197">
        <v>0</v>
      </c>
      <c r="U1112" s="288">
        <v>0</v>
      </c>
      <c r="V1112" s="282">
        <f>C1112-'часть 1'!L1120</f>
        <v>-1314858.78</v>
      </c>
      <c r="W1112" s="282"/>
      <c r="X1112" s="28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296"/>
      <c r="AJ1112" s="11"/>
      <c r="AK1112" s="11"/>
      <c r="AL1112" s="11"/>
    </row>
    <row r="1113" spans="1:38">
      <c r="A1113" s="198">
        <v>60</v>
      </c>
      <c r="B1113" s="195" t="s">
        <v>246</v>
      </c>
      <c r="C1113" s="196">
        <v>1253738</v>
      </c>
      <c r="D1113" s="196"/>
      <c r="E1113" s="196"/>
      <c r="F1113" s="196"/>
      <c r="G1113" s="196"/>
      <c r="H1113" s="196"/>
      <c r="I1113" s="196"/>
      <c r="J1113" s="196"/>
      <c r="K1113" s="196">
        <v>0</v>
      </c>
      <c r="L1113" s="194">
        <v>0</v>
      </c>
      <c r="M1113" s="196">
        <v>0</v>
      </c>
      <c r="N1113" s="196">
        <v>622</v>
      </c>
      <c r="O1113" s="196">
        <v>1253738</v>
      </c>
      <c r="P1113" s="194">
        <v>0</v>
      </c>
      <c r="Q1113" s="196">
        <v>0</v>
      </c>
      <c r="R1113" s="200">
        <v>0</v>
      </c>
      <c r="S1113" s="196">
        <v>0</v>
      </c>
      <c r="T1113" s="197">
        <v>0</v>
      </c>
      <c r="U1113" s="288">
        <v>0</v>
      </c>
      <c r="V1113" s="282">
        <f>C1113-'часть 1'!L1121</f>
        <v>-1180192.9100000001</v>
      </c>
      <c r="W1113" s="282"/>
      <c r="X1113" s="28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296"/>
    </row>
    <row r="1114" spans="1:38" s="11" customFormat="1">
      <c r="A1114" s="198">
        <v>61</v>
      </c>
      <c r="B1114" s="195" t="s">
        <v>470</v>
      </c>
      <c r="C1114" s="196">
        <v>1870046</v>
      </c>
      <c r="D1114" s="196"/>
      <c r="E1114" s="196"/>
      <c r="F1114" s="196"/>
      <c r="G1114" s="196"/>
      <c r="H1114" s="196"/>
      <c r="I1114" s="196"/>
      <c r="J1114" s="196"/>
      <c r="K1114" s="196">
        <v>0</v>
      </c>
      <c r="L1114" s="194">
        <v>1</v>
      </c>
      <c r="M1114" s="196">
        <v>1870046</v>
      </c>
      <c r="N1114" s="196">
        <v>0</v>
      </c>
      <c r="O1114" s="196">
        <v>0</v>
      </c>
      <c r="P1114" s="194">
        <v>0</v>
      </c>
      <c r="Q1114" s="196">
        <v>0</v>
      </c>
      <c r="R1114" s="197">
        <v>0</v>
      </c>
      <c r="S1114" s="196">
        <v>0</v>
      </c>
      <c r="T1114" s="197">
        <v>0</v>
      </c>
      <c r="U1114" s="288">
        <v>0</v>
      </c>
      <c r="V1114" s="282">
        <f>C1114-'часть 1'!L1122</f>
        <v>148196</v>
      </c>
      <c r="W1114" s="282"/>
      <c r="X1114" s="28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296"/>
      <c r="AJ1114" s="1"/>
      <c r="AK1114" s="1"/>
      <c r="AL1114" s="1"/>
    </row>
    <row r="1115" spans="1:38">
      <c r="A1115" s="198">
        <v>62</v>
      </c>
      <c r="B1115" s="195" t="s">
        <v>350</v>
      </c>
      <c r="C1115" s="196">
        <v>3720676</v>
      </c>
      <c r="D1115" s="196"/>
      <c r="E1115" s="196"/>
      <c r="F1115" s="196"/>
      <c r="G1115" s="196"/>
      <c r="H1115" s="196"/>
      <c r="I1115" s="196"/>
      <c r="J1115" s="196"/>
      <c r="K1115" s="196">
        <v>0</v>
      </c>
      <c r="L1115" s="194">
        <v>2</v>
      </c>
      <c r="M1115" s="196">
        <v>3720676</v>
      </c>
      <c r="N1115" s="196">
        <v>0</v>
      </c>
      <c r="O1115" s="196">
        <v>0</v>
      </c>
      <c r="P1115" s="194">
        <v>0</v>
      </c>
      <c r="Q1115" s="196">
        <v>0</v>
      </c>
      <c r="R1115" s="197">
        <v>0</v>
      </c>
      <c r="S1115" s="196">
        <v>0</v>
      </c>
      <c r="T1115" s="197">
        <v>0</v>
      </c>
      <c r="U1115" s="288">
        <v>0</v>
      </c>
      <c r="V1115" s="282">
        <f>C1115-'часть 1'!L1123</f>
        <v>2906559</v>
      </c>
      <c r="W1115" s="282"/>
      <c r="X1115" s="28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296"/>
    </row>
    <row r="1116" spans="1:38">
      <c r="A1116" s="198">
        <v>63</v>
      </c>
      <c r="B1116" s="195" t="s">
        <v>251</v>
      </c>
      <c r="C1116" s="196">
        <v>3687908</v>
      </c>
      <c r="D1116" s="196"/>
      <c r="E1116" s="196"/>
      <c r="F1116" s="196"/>
      <c r="G1116" s="196"/>
      <c r="H1116" s="196"/>
      <c r="I1116" s="196"/>
      <c r="J1116" s="196"/>
      <c r="K1116" s="196">
        <v>3687908</v>
      </c>
      <c r="L1116" s="194">
        <v>0</v>
      </c>
      <c r="M1116" s="196">
        <v>0</v>
      </c>
      <c r="N1116" s="196">
        <v>0</v>
      </c>
      <c r="O1116" s="196">
        <v>0</v>
      </c>
      <c r="P1116" s="194">
        <v>0</v>
      </c>
      <c r="Q1116" s="196">
        <v>0</v>
      </c>
      <c r="R1116" s="200">
        <v>0</v>
      </c>
      <c r="S1116" s="196">
        <v>0</v>
      </c>
      <c r="T1116" s="197">
        <v>0</v>
      </c>
      <c r="U1116" s="288">
        <v>0</v>
      </c>
      <c r="V1116" s="282">
        <f>C1116-'часть 1'!L1124</f>
        <v>642827</v>
      </c>
      <c r="W1116" s="282"/>
      <c r="X1116" s="282"/>
      <c r="Y1116" s="12"/>
      <c r="Z1116" s="12"/>
      <c r="AA1116" s="12"/>
      <c r="AB1116" s="12"/>
      <c r="AC1116" s="12"/>
      <c r="AD1116" s="12"/>
      <c r="AE1116" s="64"/>
      <c r="AF1116" s="12"/>
      <c r="AG1116" s="12"/>
      <c r="AH1116" s="12"/>
      <c r="AI1116" s="296"/>
    </row>
    <row r="1117" spans="1:38">
      <c r="A1117" s="198">
        <v>64</v>
      </c>
      <c r="B1117" s="195" t="s">
        <v>226</v>
      </c>
      <c r="C1117" s="196">
        <v>1760967.35</v>
      </c>
      <c r="D1117" s="196"/>
      <c r="E1117" s="196"/>
      <c r="F1117" s="196"/>
      <c r="G1117" s="196"/>
      <c r="H1117" s="196"/>
      <c r="I1117" s="196"/>
      <c r="J1117" s="196"/>
      <c r="K1117" s="196">
        <v>0</v>
      </c>
      <c r="L1117" s="194">
        <v>0</v>
      </c>
      <c r="M1117" s="196">
        <v>0</v>
      </c>
      <c r="N1117" s="196">
        <v>881</v>
      </c>
      <c r="O1117" s="196">
        <v>1760967.35</v>
      </c>
      <c r="P1117" s="194">
        <v>0</v>
      </c>
      <c r="Q1117" s="196">
        <v>0</v>
      </c>
      <c r="R1117" s="200">
        <v>0</v>
      </c>
      <c r="S1117" s="196">
        <v>0</v>
      </c>
      <c r="T1117" s="197">
        <v>0</v>
      </c>
      <c r="U1117" s="288">
        <v>0</v>
      </c>
      <c r="V1117" s="282">
        <f>C1117-'часть 1'!L1125</f>
        <v>-483838.64999999991</v>
      </c>
      <c r="W1117" s="282"/>
      <c r="X1117" s="28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296"/>
    </row>
    <row r="1118" spans="1:38">
      <c r="A1118" s="198">
        <v>65</v>
      </c>
      <c r="B1118" s="195" t="s">
        <v>271</v>
      </c>
      <c r="C1118" s="196">
        <v>881947</v>
      </c>
      <c r="D1118" s="196"/>
      <c r="E1118" s="196"/>
      <c r="F1118" s="196"/>
      <c r="G1118" s="196"/>
      <c r="H1118" s="196"/>
      <c r="I1118" s="196"/>
      <c r="J1118" s="196"/>
      <c r="K1118" s="196">
        <v>881947</v>
      </c>
      <c r="L1118" s="194">
        <v>0</v>
      </c>
      <c r="M1118" s="196">
        <v>0</v>
      </c>
      <c r="N1118" s="196">
        <v>0</v>
      </c>
      <c r="O1118" s="196">
        <v>0</v>
      </c>
      <c r="P1118" s="194">
        <v>0</v>
      </c>
      <c r="Q1118" s="196">
        <v>0</v>
      </c>
      <c r="R1118" s="197">
        <v>0</v>
      </c>
      <c r="S1118" s="196">
        <v>0</v>
      </c>
      <c r="T1118" s="197">
        <v>0</v>
      </c>
      <c r="U1118" s="288">
        <v>0</v>
      </c>
      <c r="V1118" s="282">
        <f>C1118-'часть 1'!L1126</f>
        <v>-479326</v>
      </c>
      <c r="W1118" s="282"/>
      <c r="X1118" s="282"/>
      <c r="Y1118" s="4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296"/>
    </row>
    <row r="1119" spans="1:38">
      <c r="A1119" s="198">
        <v>66</v>
      </c>
      <c r="B1119" s="195" t="s">
        <v>287</v>
      </c>
      <c r="C1119" s="196">
        <v>517739</v>
      </c>
      <c r="D1119" s="196"/>
      <c r="E1119" s="196"/>
      <c r="F1119" s="196"/>
      <c r="G1119" s="196"/>
      <c r="H1119" s="196"/>
      <c r="I1119" s="196"/>
      <c r="J1119" s="196"/>
      <c r="K1119" s="196">
        <v>0</v>
      </c>
      <c r="L1119" s="194">
        <v>0</v>
      </c>
      <c r="M1119" s="196">
        <v>0</v>
      </c>
      <c r="N1119" s="196">
        <v>252</v>
      </c>
      <c r="O1119" s="199">
        <v>517739</v>
      </c>
      <c r="P1119" s="194">
        <v>0</v>
      </c>
      <c r="Q1119" s="196">
        <v>0</v>
      </c>
      <c r="R1119" s="197">
        <v>0</v>
      </c>
      <c r="S1119" s="196">
        <v>0</v>
      </c>
      <c r="T1119" s="197">
        <v>0</v>
      </c>
      <c r="U1119" s="288">
        <v>0</v>
      </c>
      <c r="V1119" s="282">
        <f>C1119-'часть 1'!L1127</f>
        <v>-1903857</v>
      </c>
      <c r="W1119" s="282"/>
      <c r="X1119" s="282"/>
      <c r="Y1119" s="12"/>
      <c r="Z1119" s="12"/>
      <c r="AA1119" s="12"/>
      <c r="AB1119" s="12"/>
      <c r="AC1119" s="12"/>
      <c r="AD1119" s="12"/>
      <c r="AE1119" s="12"/>
      <c r="AF1119" s="12"/>
      <c r="AG1119" s="12"/>
      <c r="AH1119" s="12"/>
      <c r="AI1119" s="296"/>
    </row>
    <row r="1120" spans="1:38">
      <c r="A1120" s="198">
        <v>67</v>
      </c>
      <c r="B1120" s="195" t="s">
        <v>289</v>
      </c>
      <c r="C1120" s="196">
        <v>1728895</v>
      </c>
      <c r="D1120" s="196"/>
      <c r="E1120" s="196"/>
      <c r="F1120" s="196"/>
      <c r="G1120" s="196"/>
      <c r="H1120" s="196"/>
      <c r="I1120" s="196"/>
      <c r="J1120" s="196"/>
      <c r="K1120" s="196">
        <v>0</v>
      </c>
      <c r="L1120" s="194">
        <v>0</v>
      </c>
      <c r="M1120" s="196">
        <v>0</v>
      </c>
      <c r="N1120" s="196">
        <v>873.06</v>
      </c>
      <c r="O1120" s="196">
        <v>1728895</v>
      </c>
      <c r="P1120" s="201">
        <v>0</v>
      </c>
      <c r="Q1120" s="196">
        <v>0</v>
      </c>
      <c r="R1120" s="200">
        <v>0</v>
      </c>
      <c r="S1120" s="196">
        <v>0</v>
      </c>
      <c r="T1120" s="197">
        <v>0</v>
      </c>
      <c r="U1120" s="288">
        <v>0</v>
      </c>
      <c r="V1120" s="282">
        <f>C1120-'часть 1'!L1128</f>
        <v>-327420</v>
      </c>
      <c r="W1120" s="282"/>
      <c r="X1120" s="282"/>
      <c r="Y1120" s="12"/>
      <c r="Z1120" s="12"/>
      <c r="AA1120" s="12"/>
      <c r="AB1120" s="12"/>
      <c r="AC1120" s="12"/>
      <c r="AD1120" s="12"/>
      <c r="AE1120" s="12"/>
      <c r="AF1120" s="12"/>
      <c r="AG1120" s="12"/>
      <c r="AH1120" s="12"/>
      <c r="AI1120" s="296"/>
    </row>
    <row r="1121" spans="1:35">
      <c r="A1121" s="198">
        <v>68</v>
      </c>
      <c r="B1121" s="195" t="s">
        <v>259</v>
      </c>
      <c r="C1121" s="196">
        <v>682529</v>
      </c>
      <c r="D1121" s="196"/>
      <c r="E1121" s="196"/>
      <c r="F1121" s="196"/>
      <c r="G1121" s="196"/>
      <c r="H1121" s="196"/>
      <c r="I1121" s="196"/>
      <c r="J1121" s="196"/>
      <c r="K1121" s="196">
        <v>0</v>
      </c>
      <c r="L1121" s="194">
        <v>0</v>
      </c>
      <c r="M1121" s="196">
        <v>0</v>
      </c>
      <c r="N1121" s="196">
        <v>335.6</v>
      </c>
      <c r="O1121" s="196">
        <v>682529</v>
      </c>
      <c r="P1121" s="194">
        <v>0</v>
      </c>
      <c r="Q1121" s="196">
        <v>0</v>
      </c>
      <c r="R1121" s="197">
        <v>0</v>
      </c>
      <c r="S1121" s="196">
        <v>0</v>
      </c>
      <c r="T1121" s="197">
        <v>0</v>
      </c>
      <c r="U1121" s="288">
        <v>0</v>
      </c>
      <c r="V1121" s="282">
        <f>C1121-'часть 1'!L1129</f>
        <v>-8791064</v>
      </c>
      <c r="W1121" s="282"/>
      <c r="X1121" s="28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296"/>
    </row>
    <row r="1122" spans="1:35">
      <c r="A1122" s="198">
        <v>69</v>
      </c>
      <c r="B1122" s="195" t="s">
        <v>291</v>
      </c>
      <c r="C1122" s="196">
        <v>582157</v>
      </c>
      <c r="D1122" s="196"/>
      <c r="E1122" s="196"/>
      <c r="F1122" s="196"/>
      <c r="G1122" s="196"/>
      <c r="H1122" s="196"/>
      <c r="I1122" s="196"/>
      <c r="J1122" s="196"/>
      <c r="K1122" s="196">
        <v>0</v>
      </c>
      <c r="L1122" s="194">
        <v>0</v>
      </c>
      <c r="M1122" s="196">
        <v>0</v>
      </c>
      <c r="N1122" s="196">
        <v>285</v>
      </c>
      <c r="O1122" s="196">
        <v>582157</v>
      </c>
      <c r="P1122" s="194">
        <v>0</v>
      </c>
      <c r="Q1122" s="196">
        <v>0</v>
      </c>
      <c r="R1122" s="200">
        <v>0</v>
      </c>
      <c r="S1122" s="196">
        <v>0</v>
      </c>
      <c r="T1122" s="197">
        <v>0</v>
      </c>
      <c r="U1122" s="288">
        <v>0</v>
      </c>
      <c r="V1122" s="282">
        <f>C1122-'часть 1'!L1130</f>
        <v>-3859671</v>
      </c>
      <c r="W1122" s="282"/>
      <c r="X1122" s="28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296"/>
    </row>
    <row r="1123" spans="1:35">
      <c r="A1123" s="198">
        <v>70</v>
      </c>
      <c r="B1123" s="195" t="s">
        <v>224</v>
      </c>
      <c r="C1123" s="196">
        <v>701704</v>
      </c>
      <c r="D1123" s="196"/>
      <c r="E1123" s="196"/>
      <c r="F1123" s="196"/>
      <c r="G1123" s="196"/>
      <c r="H1123" s="196"/>
      <c r="I1123" s="196"/>
      <c r="J1123" s="196"/>
      <c r="K1123" s="196">
        <v>701704</v>
      </c>
      <c r="L1123" s="194">
        <v>0</v>
      </c>
      <c r="M1123" s="196">
        <v>0</v>
      </c>
      <c r="N1123" s="199">
        <v>0</v>
      </c>
      <c r="O1123" s="196">
        <v>0</v>
      </c>
      <c r="P1123" s="194">
        <v>0</v>
      </c>
      <c r="Q1123" s="196">
        <v>0</v>
      </c>
      <c r="R1123" s="200">
        <v>0</v>
      </c>
      <c r="S1123" s="196">
        <v>0</v>
      </c>
      <c r="T1123" s="197">
        <v>0</v>
      </c>
      <c r="U1123" s="288">
        <v>0</v>
      </c>
      <c r="V1123" s="282">
        <f>C1123-'часть 1'!L1131</f>
        <v>-2349385</v>
      </c>
      <c r="W1123" s="282"/>
      <c r="X1123" s="282"/>
      <c r="Y1123" s="4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296"/>
    </row>
    <row r="1124" spans="1:35">
      <c r="A1124" s="198">
        <v>71</v>
      </c>
      <c r="B1124" s="195" t="s">
        <v>261</v>
      </c>
      <c r="C1124" s="196">
        <v>1969149</v>
      </c>
      <c r="D1124" s="196"/>
      <c r="E1124" s="196"/>
      <c r="F1124" s="196"/>
      <c r="G1124" s="196"/>
      <c r="H1124" s="196"/>
      <c r="I1124" s="196"/>
      <c r="J1124" s="196"/>
      <c r="K1124" s="196">
        <v>0</v>
      </c>
      <c r="L1124" s="194">
        <v>0</v>
      </c>
      <c r="M1124" s="196">
        <v>0</v>
      </c>
      <c r="N1124" s="196">
        <v>995.8</v>
      </c>
      <c r="O1124" s="196">
        <v>1969149</v>
      </c>
      <c r="P1124" s="194">
        <v>0</v>
      </c>
      <c r="Q1124" s="196">
        <v>0</v>
      </c>
      <c r="R1124" s="197">
        <v>0</v>
      </c>
      <c r="S1124" s="196">
        <v>0</v>
      </c>
      <c r="T1124" s="197">
        <v>0</v>
      </c>
      <c r="U1124" s="288">
        <v>0</v>
      </c>
      <c r="V1124" s="282">
        <f>C1124-'часть 1'!L1132</f>
        <v>1099400</v>
      </c>
      <c r="W1124" s="282"/>
      <c r="X1124" s="28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296"/>
    </row>
    <row r="1125" spans="1:35">
      <c r="A1125" s="198">
        <v>72</v>
      </c>
      <c r="B1125" s="195" t="s">
        <v>239</v>
      </c>
      <c r="C1125" s="196">
        <v>1023088</v>
      </c>
      <c r="D1125" s="196"/>
      <c r="E1125" s="196"/>
      <c r="F1125" s="196"/>
      <c r="G1125" s="196"/>
      <c r="H1125" s="196"/>
      <c r="I1125" s="196"/>
      <c r="J1125" s="196"/>
      <c r="K1125" s="196">
        <v>0</v>
      </c>
      <c r="L1125" s="194">
        <v>0</v>
      </c>
      <c r="M1125" s="196">
        <v>0</v>
      </c>
      <c r="N1125" s="196">
        <v>0</v>
      </c>
      <c r="O1125" s="196">
        <v>0</v>
      </c>
      <c r="P1125" s="194">
        <v>0</v>
      </c>
      <c r="Q1125" s="196">
        <v>0</v>
      </c>
      <c r="R1125" s="196">
        <v>694</v>
      </c>
      <c r="S1125" s="199">
        <v>1023088</v>
      </c>
      <c r="T1125" s="197">
        <v>0</v>
      </c>
      <c r="U1125" s="288">
        <v>0</v>
      </c>
      <c r="V1125" s="282">
        <f>C1125-'часть 1'!L1133</f>
        <v>153208</v>
      </c>
      <c r="W1125" s="282"/>
      <c r="X1125" s="28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296"/>
    </row>
    <row r="1126" spans="1:35">
      <c r="A1126" s="198">
        <v>73</v>
      </c>
      <c r="B1126" s="195" t="s">
        <v>336</v>
      </c>
      <c r="C1126" s="196">
        <v>3334570</v>
      </c>
      <c r="D1126" s="196"/>
      <c r="E1126" s="196"/>
      <c r="F1126" s="196"/>
      <c r="G1126" s="196"/>
      <c r="H1126" s="196"/>
      <c r="I1126" s="196"/>
      <c r="J1126" s="196"/>
      <c r="K1126" s="196" t="e">
        <f>#REF!</f>
        <v>#REF!</v>
      </c>
      <c r="L1126" s="194">
        <v>0</v>
      </c>
      <c r="M1126" s="196">
        <v>0</v>
      </c>
      <c r="N1126" s="199">
        <v>0</v>
      </c>
      <c r="O1126" s="196">
        <v>0</v>
      </c>
      <c r="P1126" s="194">
        <v>0</v>
      </c>
      <c r="Q1126" s="196">
        <v>0</v>
      </c>
      <c r="R1126" s="197">
        <v>0</v>
      </c>
      <c r="S1126" s="196">
        <v>0</v>
      </c>
      <c r="T1126" s="197">
        <v>0</v>
      </c>
      <c r="U1126" s="288">
        <v>0</v>
      </c>
      <c r="V1126" s="282">
        <f>C1126-'часть 1'!L1134</f>
        <v>3162268</v>
      </c>
      <c r="W1126" s="282"/>
      <c r="X1126" s="282"/>
      <c r="Y1126" s="12"/>
      <c r="Z1126" s="12"/>
      <c r="AA1126" s="12"/>
      <c r="AB1126" s="12"/>
      <c r="AC1126" s="12"/>
      <c r="AD1126" s="12"/>
      <c r="AE1126" s="15"/>
      <c r="AF1126" s="12"/>
      <c r="AG1126" s="12"/>
      <c r="AH1126" s="12"/>
      <c r="AI1126" s="296"/>
    </row>
    <row r="1127" spans="1:35">
      <c r="A1127" s="198">
        <v>74</v>
      </c>
      <c r="B1127" s="195" t="s">
        <v>306</v>
      </c>
      <c r="C1127" s="196">
        <v>1127374.33</v>
      </c>
      <c r="D1127" s="196"/>
      <c r="E1127" s="196"/>
      <c r="F1127" s="196"/>
      <c r="G1127" s="196"/>
      <c r="H1127" s="196"/>
      <c r="I1127" s="196"/>
      <c r="J1127" s="196"/>
      <c r="K1127" s="196">
        <v>1127374.33</v>
      </c>
      <c r="L1127" s="194">
        <v>0</v>
      </c>
      <c r="M1127" s="196">
        <v>0</v>
      </c>
      <c r="N1127" s="196">
        <v>0</v>
      </c>
      <c r="O1127" s="196">
        <v>0</v>
      </c>
      <c r="P1127" s="194">
        <v>0</v>
      </c>
      <c r="Q1127" s="196">
        <v>0</v>
      </c>
      <c r="R1127" s="197">
        <v>0</v>
      </c>
      <c r="S1127" s="196">
        <v>0</v>
      </c>
      <c r="T1127" s="197">
        <v>0</v>
      </c>
      <c r="U1127" s="288">
        <v>0</v>
      </c>
      <c r="V1127" s="282">
        <f>C1127-'часть 1'!L1135</f>
        <v>-2579018.67</v>
      </c>
      <c r="W1127" s="282"/>
      <c r="X1127" s="28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296"/>
    </row>
    <row r="1128" spans="1:35">
      <c r="A1128" s="198">
        <v>75</v>
      </c>
      <c r="B1128" s="195" t="s">
        <v>234</v>
      </c>
      <c r="C1128" s="196">
        <v>1161456</v>
      </c>
      <c r="D1128" s="196"/>
      <c r="E1128" s="196"/>
      <c r="F1128" s="196"/>
      <c r="G1128" s="196"/>
      <c r="H1128" s="196"/>
      <c r="I1128" s="196"/>
      <c r="J1128" s="196"/>
      <c r="K1128" s="196">
        <v>1161456</v>
      </c>
      <c r="L1128" s="194">
        <v>0</v>
      </c>
      <c r="M1128" s="196">
        <v>0</v>
      </c>
      <c r="N1128" s="196">
        <v>0</v>
      </c>
      <c r="O1128" s="196">
        <v>0</v>
      </c>
      <c r="P1128" s="194">
        <v>0</v>
      </c>
      <c r="Q1128" s="196">
        <v>0</v>
      </c>
      <c r="R1128" s="197">
        <v>0</v>
      </c>
      <c r="S1128" s="196">
        <v>0</v>
      </c>
      <c r="T1128" s="197">
        <v>0</v>
      </c>
      <c r="U1128" s="288">
        <v>0</v>
      </c>
      <c r="V1128" s="282">
        <f>C1128-'часть 1'!L1136</f>
        <v>462871</v>
      </c>
      <c r="W1128" s="282"/>
      <c r="X1128" s="28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296"/>
    </row>
    <row r="1129" spans="1:35">
      <c r="A1129" s="198">
        <v>76</v>
      </c>
      <c r="B1129" s="195" t="s">
        <v>277</v>
      </c>
      <c r="C1129" s="196">
        <v>1197250.23</v>
      </c>
      <c r="D1129" s="196"/>
      <c r="E1129" s="196"/>
      <c r="F1129" s="196"/>
      <c r="G1129" s="196"/>
      <c r="H1129" s="196"/>
      <c r="I1129" s="196"/>
      <c r="J1129" s="196"/>
      <c r="K1129" s="196">
        <v>1197250.23</v>
      </c>
      <c r="L1129" s="194">
        <v>0</v>
      </c>
      <c r="M1129" s="196">
        <v>0</v>
      </c>
      <c r="N1129" s="199">
        <v>0</v>
      </c>
      <c r="O1129" s="196">
        <v>0</v>
      </c>
      <c r="P1129" s="194">
        <v>0</v>
      </c>
      <c r="Q1129" s="196">
        <v>0</v>
      </c>
      <c r="R1129" s="197">
        <v>0</v>
      </c>
      <c r="S1129" s="196">
        <v>0</v>
      </c>
      <c r="T1129" s="197">
        <v>0</v>
      </c>
      <c r="U1129" s="288">
        <v>0</v>
      </c>
      <c r="V1129" s="282">
        <f>C1129-'часть 1'!L1137</f>
        <v>245510.22999999998</v>
      </c>
      <c r="W1129" s="282"/>
      <c r="X1129" s="28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296"/>
    </row>
    <row r="1130" spans="1:35">
      <c r="A1130" s="198">
        <v>77</v>
      </c>
      <c r="B1130" s="195" t="s">
        <v>303</v>
      </c>
      <c r="C1130" s="196">
        <v>2784233</v>
      </c>
      <c r="D1130" s="196"/>
      <c r="E1130" s="196"/>
      <c r="F1130" s="196"/>
      <c r="G1130" s="196"/>
      <c r="H1130" s="196"/>
      <c r="I1130" s="196"/>
      <c r="J1130" s="196"/>
      <c r="K1130" s="196">
        <v>0</v>
      </c>
      <c r="L1130" s="194">
        <v>0</v>
      </c>
      <c r="M1130" s="196">
        <v>0</v>
      </c>
      <c r="N1130" s="196">
        <v>1391</v>
      </c>
      <c r="O1130" s="196">
        <v>2784233</v>
      </c>
      <c r="P1130" s="194">
        <v>0</v>
      </c>
      <c r="Q1130" s="196">
        <v>0</v>
      </c>
      <c r="R1130" s="197">
        <v>0</v>
      </c>
      <c r="S1130" s="196">
        <v>0</v>
      </c>
      <c r="T1130" s="197">
        <v>0</v>
      </c>
      <c r="U1130" s="288">
        <v>0</v>
      </c>
      <c r="V1130" s="282">
        <f>C1130-'часть 1'!L1138</f>
        <v>728094</v>
      </c>
      <c r="W1130" s="282"/>
      <c r="X1130" s="28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296"/>
    </row>
    <row r="1131" spans="1:35">
      <c r="A1131" s="198">
        <v>78</v>
      </c>
      <c r="B1131" s="195" t="s">
        <v>293</v>
      </c>
      <c r="C1131" s="196">
        <v>2369961</v>
      </c>
      <c r="D1131" s="196"/>
      <c r="E1131" s="196"/>
      <c r="F1131" s="196"/>
      <c r="G1131" s="196"/>
      <c r="H1131" s="196"/>
      <c r="I1131" s="196"/>
      <c r="J1131" s="196"/>
      <c r="K1131" s="196">
        <v>2369961</v>
      </c>
      <c r="L1131" s="194">
        <v>0</v>
      </c>
      <c r="M1131" s="196">
        <v>0</v>
      </c>
      <c r="N1131" s="196">
        <v>0</v>
      </c>
      <c r="O1131" s="196">
        <v>0</v>
      </c>
      <c r="P1131" s="194">
        <v>0</v>
      </c>
      <c r="Q1131" s="196">
        <v>0</v>
      </c>
      <c r="R1131" s="200">
        <v>0</v>
      </c>
      <c r="S1131" s="196">
        <v>0</v>
      </c>
      <c r="T1131" s="197">
        <v>0</v>
      </c>
      <c r="U1131" s="288">
        <v>0</v>
      </c>
      <c r="V1131" s="282">
        <f>C1131-'часть 1'!L1139</f>
        <v>1048605</v>
      </c>
      <c r="W1131" s="282"/>
      <c r="X1131" s="282"/>
      <c r="Y1131" s="12"/>
      <c r="Z1131" s="12"/>
      <c r="AA1131" s="12"/>
      <c r="AB1131" s="12"/>
      <c r="AC1131" s="12"/>
      <c r="AD1131" s="12"/>
      <c r="AE1131" s="12"/>
      <c r="AF1131" s="12"/>
      <c r="AG1131" s="12"/>
      <c r="AH1131" s="12"/>
      <c r="AI1131" s="296"/>
    </row>
    <row r="1132" spans="1:35">
      <c r="A1132" s="198">
        <v>79</v>
      </c>
      <c r="B1132" s="195" t="s">
        <v>463</v>
      </c>
      <c r="C1132" s="196">
        <v>672819</v>
      </c>
      <c r="D1132" s="196"/>
      <c r="E1132" s="196"/>
      <c r="F1132" s="196"/>
      <c r="G1132" s="196"/>
      <c r="H1132" s="196"/>
      <c r="I1132" s="196"/>
      <c r="J1132" s="196"/>
      <c r="K1132" s="196">
        <v>0</v>
      </c>
      <c r="L1132" s="194">
        <v>0</v>
      </c>
      <c r="M1132" s="196">
        <v>0</v>
      </c>
      <c r="N1132" s="196">
        <v>331.4</v>
      </c>
      <c r="O1132" s="196">
        <v>672819</v>
      </c>
      <c r="P1132" s="194">
        <v>0</v>
      </c>
      <c r="Q1132" s="196">
        <v>0</v>
      </c>
      <c r="R1132" s="200">
        <v>0</v>
      </c>
      <c r="S1132" s="196">
        <v>0</v>
      </c>
      <c r="T1132" s="197">
        <v>0</v>
      </c>
      <c r="U1132" s="288">
        <v>0</v>
      </c>
      <c r="V1132" s="282">
        <f>C1132-'часть 1'!L1140</f>
        <v>-1006459</v>
      </c>
      <c r="W1132" s="282"/>
      <c r="X1132" s="282"/>
      <c r="Y1132" s="12"/>
      <c r="Z1132" s="12"/>
      <c r="AA1132" s="12"/>
      <c r="AB1132" s="12"/>
      <c r="AC1132" s="12"/>
      <c r="AD1132" s="12"/>
      <c r="AE1132" s="12"/>
      <c r="AF1132" s="12"/>
      <c r="AG1132" s="12"/>
      <c r="AH1132" s="12"/>
      <c r="AI1132" s="296"/>
    </row>
    <row r="1133" spans="1:35">
      <c r="A1133" s="198">
        <v>80</v>
      </c>
      <c r="B1133" s="195" t="s">
        <v>340</v>
      </c>
      <c r="C1133" s="196">
        <v>1651491</v>
      </c>
      <c r="D1133" s="196"/>
      <c r="E1133" s="196"/>
      <c r="F1133" s="196"/>
      <c r="G1133" s="196"/>
      <c r="H1133" s="196"/>
      <c r="I1133" s="196"/>
      <c r="J1133" s="196"/>
      <c r="K1133" s="196">
        <v>1651491</v>
      </c>
      <c r="L1133" s="194">
        <v>0</v>
      </c>
      <c r="M1133" s="196">
        <v>0</v>
      </c>
      <c r="N1133" s="196">
        <v>0</v>
      </c>
      <c r="O1133" s="196">
        <v>0</v>
      </c>
      <c r="P1133" s="194">
        <v>0</v>
      </c>
      <c r="Q1133" s="196">
        <v>0</v>
      </c>
      <c r="R1133" s="197">
        <v>0</v>
      </c>
      <c r="S1133" s="196">
        <v>0</v>
      </c>
      <c r="T1133" s="197">
        <v>0</v>
      </c>
      <c r="U1133" s="288">
        <v>0</v>
      </c>
      <c r="V1133" s="282">
        <f>C1133-'часть 1'!L1141</f>
        <v>550595</v>
      </c>
      <c r="W1133" s="282"/>
      <c r="X1133" s="28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296"/>
    </row>
    <row r="1134" spans="1:35">
      <c r="A1134" s="198">
        <v>81</v>
      </c>
      <c r="B1134" s="195" t="s">
        <v>254</v>
      </c>
      <c r="C1134" s="196">
        <v>1432926</v>
      </c>
      <c r="D1134" s="196"/>
      <c r="E1134" s="196"/>
      <c r="F1134" s="196"/>
      <c r="G1134" s="196"/>
      <c r="H1134" s="196"/>
      <c r="I1134" s="196"/>
      <c r="J1134" s="196"/>
      <c r="K1134" s="196">
        <v>0</v>
      </c>
      <c r="L1134" s="194">
        <v>0</v>
      </c>
      <c r="M1134" s="196">
        <v>0</v>
      </c>
      <c r="N1134" s="196">
        <v>710.73</v>
      </c>
      <c r="O1134" s="196">
        <v>1432926</v>
      </c>
      <c r="P1134" s="194">
        <v>0</v>
      </c>
      <c r="Q1134" s="196">
        <v>0</v>
      </c>
      <c r="R1134" s="200">
        <v>0</v>
      </c>
      <c r="S1134" s="196">
        <v>0</v>
      </c>
      <c r="T1134" s="197">
        <v>0</v>
      </c>
      <c r="U1134" s="288">
        <v>0</v>
      </c>
      <c r="V1134" s="282">
        <f>C1134-'часть 1'!L1142</f>
        <v>-296781</v>
      </c>
      <c r="W1134" s="282"/>
      <c r="X1134" s="28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296"/>
    </row>
    <row r="1135" spans="1:35">
      <c r="A1135" s="198">
        <v>82</v>
      </c>
      <c r="B1135" s="195" t="s">
        <v>343</v>
      </c>
      <c r="C1135" s="196">
        <v>1137886</v>
      </c>
      <c r="D1135" s="196"/>
      <c r="E1135" s="196"/>
      <c r="F1135" s="196"/>
      <c r="G1135" s="196"/>
      <c r="H1135" s="196"/>
      <c r="I1135" s="196"/>
      <c r="J1135" s="196"/>
      <c r="K1135" s="196">
        <v>0</v>
      </c>
      <c r="L1135" s="194">
        <v>0</v>
      </c>
      <c r="M1135" s="196">
        <v>0</v>
      </c>
      <c r="N1135" s="196">
        <v>0</v>
      </c>
      <c r="O1135" s="196">
        <v>0</v>
      </c>
      <c r="P1135" s="194">
        <v>0</v>
      </c>
      <c r="Q1135" s="196">
        <v>0</v>
      </c>
      <c r="R1135" s="199">
        <v>785.5</v>
      </c>
      <c r="S1135" s="196">
        <v>1137886</v>
      </c>
      <c r="T1135" s="197">
        <v>0</v>
      </c>
      <c r="U1135" s="288">
        <v>0</v>
      </c>
      <c r="V1135" s="282">
        <f>C1135-'часть 1'!L1143</f>
        <v>686663.42999999993</v>
      </c>
      <c r="W1135" s="282"/>
      <c r="X1135" s="28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296"/>
    </row>
    <row r="1136" spans="1:35">
      <c r="A1136" s="198">
        <v>83</v>
      </c>
      <c r="B1136" s="195" t="s">
        <v>305</v>
      </c>
      <c r="C1136" s="196">
        <v>1814838</v>
      </c>
      <c r="D1136" s="196"/>
      <c r="E1136" s="196"/>
      <c r="F1136" s="196"/>
      <c r="G1136" s="196"/>
      <c r="H1136" s="196"/>
      <c r="I1136" s="196"/>
      <c r="J1136" s="196"/>
      <c r="K1136" s="196">
        <v>0</v>
      </c>
      <c r="L1136" s="194">
        <v>0</v>
      </c>
      <c r="M1136" s="196">
        <v>0</v>
      </c>
      <c r="N1136" s="196">
        <v>917</v>
      </c>
      <c r="O1136" s="196">
        <v>1814838</v>
      </c>
      <c r="P1136" s="194">
        <v>0</v>
      </c>
      <c r="Q1136" s="196">
        <v>0</v>
      </c>
      <c r="R1136" s="197">
        <v>0</v>
      </c>
      <c r="S1136" s="196">
        <v>0</v>
      </c>
      <c r="T1136" s="197">
        <v>0</v>
      </c>
      <c r="U1136" s="288">
        <v>0</v>
      </c>
      <c r="V1136" s="282">
        <f>C1136-'часть 1'!L1144</f>
        <v>1111162.4300000002</v>
      </c>
      <c r="W1136" s="282"/>
      <c r="X1136" s="28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296"/>
    </row>
    <row r="1137" spans="1:35">
      <c r="A1137" s="198">
        <v>84</v>
      </c>
      <c r="B1137" s="195" t="s">
        <v>345</v>
      </c>
      <c r="C1137" s="196">
        <v>1544359.54</v>
      </c>
      <c r="D1137" s="196"/>
      <c r="E1137" s="196"/>
      <c r="F1137" s="196"/>
      <c r="G1137" s="196"/>
      <c r="H1137" s="196"/>
      <c r="I1137" s="196"/>
      <c r="J1137" s="196"/>
      <c r="K1137" s="196">
        <v>1544359.54</v>
      </c>
      <c r="L1137" s="194">
        <v>0</v>
      </c>
      <c r="M1137" s="196">
        <v>0</v>
      </c>
      <c r="N1137" s="196">
        <v>0</v>
      </c>
      <c r="O1137" s="196">
        <v>0</v>
      </c>
      <c r="P1137" s="194">
        <v>0</v>
      </c>
      <c r="Q1137" s="196">
        <v>0</v>
      </c>
      <c r="R1137" s="197">
        <v>0</v>
      </c>
      <c r="S1137" s="196">
        <v>0</v>
      </c>
      <c r="T1137" s="197">
        <v>0</v>
      </c>
      <c r="U1137" s="288">
        <v>0</v>
      </c>
      <c r="V1137" s="282">
        <f>C1137-'часть 1'!L1145</f>
        <v>490826.32000000007</v>
      </c>
      <c r="W1137" s="282"/>
      <c r="X1137" s="28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297"/>
    </row>
    <row r="1138" spans="1:35" ht="30">
      <c r="A1138" s="198">
        <v>85</v>
      </c>
      <c r="B1138" s="195" t="s">
        <v>454</v>
      </c>
      <c r="C1138" s="196">
        <v>1787034</v>
      </c>
      <c r="D1138" s="196"/>
      <c r="E1138" s="196"/>
      <c r="F1138" s="196"/>
      <c r="G1138" s="196"/>
      <c r="H1138" s="196"/>
      <c r="I1138" s="196"/>
      <c r="J1138" s="196"/>
      <c r="K1138" s="196">
        <v>0</v>
      </c>
      <c r="L1138" s="194">
        <v>1</v>
      </c>
      <c r="M1138" s="196">
        <v>1787034</v>
      </c>
      <c r="N1138" s="196">
        <v>0</v>
      </c>
      <c r="O1138" s="196">
        <v>0</v>
      </c>
      <c r="P1138" s="194">
        <v>0</v>
      </c>
      <c r="Q1138" s="196">
        <v>0</v>
      </c>
      <c r="R1138" s="200">
        <v>0</v>
      </c>
      <c r="S1138" s="196">
        <v>0</v>
      </c>
      <c r="T1138" s="197">
        <v>0</v>
      </c>
      <c r="U1138" s="288">
        <v>0</v>
      </c>
      <c r="V1138" s="282">
        <f>C1138-'часть 1'!L1146</f>
        <v>533296</v>
      </c>
      <c r="W1138" s="282"/>
      <c r="X1138" s="28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296"/>
    </row>
    <row r="1139" spans="1:35" ht="30">
      <c r="A1139" s="198">
        <v>86</v>
      </c>
      <c r="B1139" s="195" t="s">
        <v>455</v>
      </c>
      <c r="C1139" s="196">
        <v>437998.57</v>
      </c>
      <c r="D1139" s="196"/>
      <c r="E1139" s="196"/>
      <c r="F1139" s="196"/>
      <c r="G1139" s="196"/>
      <c r="H1139" s="196"/>
      <c r="I1139" s="196"/>
      <c r="J1139" s="196"/>
      <c r="K1139" s="196">
        <v>437998.57</v>
      </c>
      <c r="L1139" s="194">
        <v>0</v>
      </c>
      <c r="M1139" s="196">
        <v>0</v>
      </c>
      <c r="N1139" s="199">
        <v>0</v>
      </c>
      <c r="O1139" s="196">
        <v>0</v>
      </c>
      <c r="P1139" s="194">
        <v>0</v>
      </c>
      <c r="Q1139" s="196">
        <v>0</v>
      </c>
      <c r="R1139" s="200">
        <v>0</v>
      </c>
      <c r="S1139" s="196">
        <v>0</v>
      </c>
      <c r="T1139" s="197">
        <v>0</v>
      </c>
      <c r="U1139" s="288">
        <v>0</v>
      </c>
      <c r="V1139" s="282">
        <f>C1139-'часть 1'!L1147</f>
        <v>-1432047.43</v>
      </c>
      <c r="W1139" s="282"/>
      <c r="X1139" s="28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296"/>
    </row>
    <row r="1140" spans="1:35" ht="30">
      <c r="A1140" s="198">
        <v>87</v>
      </c>
      <c r="B1140" s="195" t="s">
        <v>456</v>
      </c>
      <c r="C1140" s="196">
        <v>1116228</v>
      </c>
      <c r="D1140" s="196"/>
      <c r="E1140" s="196"/>
      <c r="F1140" s="196"/>
      <c r="G1140" s="196"/>
      <c r="H1140" s="196"/>
      <c r="I1140" s="196"/>
      <c r="J1140" s="196"/>
      <c r="K1140" s="196">
        <v>0</v>
      </c>
      <c r="L1140" s="194">
        <v>0</v>
      </c>
      <c r="M1140" s="196">
        <v>0</v>
      </c>
      <c r="N1140" s="196">
        <v>734</v>
      </c>
      <c r="O1140" s="196">
        <v>1116228</v>
      </c>
      <c r="P1140" s="194">
        <v>0</v>
      </c>
      <c r="Q1140" s="196">
        <v>0</v>
      </c>
      <c r="R1140" s="200">
        <v>0</v>
      </c>
      <c r="S1140" s="196">
        <v>0</v>
      </c>
      <c r="T1140" s="197">
        <v>0</v>
      </c>
      <c r="U1140" s="288">
        <v>0</v>
      </c>
      <c r="V1140" s="282">
        <f>C1140-'часть 1'!L1148</f>
        <v>-2604448</v>
      </c>
      <c r="W1140" s="282"/>
      <c r="X1140" s="28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296"/>
    </row>
    <row r="1141" spans="1:35" ht="30">
      <c r="A1141" s="198">
        <v>88</v>
      </c>
      <c r="B1141" s="195" t="s">
        <v>457</v>
      </c>
      <c r="C1141" s="196">
        <v>1313728</v>
      </c>
      <c r="D1141" s="196"/>
      <c r="E1141" s="196"/>
      <c r="F1141" s="196"/>
      <c r="G1141" s="196"/>
      <c r="H1141" s="196"/>
      <c r="I1141" s="196"/>
      <c r="J1141" s="196"/>
      <c r="K1141" s="196">
        <v>0</v>
      </c>
      <c r="L1141" s="194">
        <v>0</v>
      </c>
      <c r="M1141" s="196">
        <v>0</v>
      </c>
      <c r="N1141" s="199">
        <v>660.7</v>
      </c>
      <c r="O1141" s="196">
        <v>1313728</v>
      </c>
      <c r="P1141" s="194">
        <v>0</v>
      </c>
      <c r="Q1141" s="196">
        <v>0</v>
      </c>
      <c r="R1141" s="197">
        <v>0</v>
      </c>
      <c r="S1141" s="196">
        <v>0</v>
      </c>
      <c r="T1141" s="197">
        <v>0</v>
      </c>
      <c r="U1141" s="288">
        <v>0</v>
      </c>
      <c r="V1141" s="282">
        <f>C1141-'часть 1'!L1149</f>
        <v>-2374180</v>
      </c>
      <c r="W1141" s="282"/>
      <c r="X1141" s="28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296"/>
    </row>
    <row r="1142" spans="1:35">
      <c r="A1142" s="198">
        <v>89</v>
      </c>
      <c r="B1142" s="195" t="s">
        <v>241</v>
      </c>
      <c r="C1142" s="196">
        <v>359651</v>
      </c>
      <c r="D1142" s="196"/>
      <c r="E1142" s="196"/>
      <c r="F1142" s="196"/>
      <c r="G1142" s="196"/>
      <c r="H1142" s="196"/>
      <c r="I1142" s="196"/>
      <c r="J1142" s="196"/>
      <c r="K1142" s="196">
        <v>359651</v>
      </c>
      <c r="L1142" s="194">
        <v>0</v>
      </c>
      <c r="M1142" s="196">
        <v>0</v>
      </c>
      <c r="N1142" s="196">
        <v>0</v>
      </c>
      <c r="O1142" s="196">
        <v>0</v>
      </c>
      <c r="P1142" s="194">
        <v>0</v>
      </c>
      <c r="Q1142" s="196">
        <v>0</v>
      </c>
      <c r="R1142" s="197">
        <v>0</v>
      </c>
      <c r="S1142" s="196">
        <v>0</v>
      </c>
      <c r="T1142" s="197">
        <v>0</v>
      </c>
      <c r="U1142" s="288">
        <v>0</v>
      </c>
      <c r="V1142" s="282">
        <f>C1142-'часть 1'!L1150</f>
        <v>-1401316.35</v>
      </c>
      <c r="W1142" s="282"/>
      <c r="X1142" s="282"/>
      <c r="Y1142" s="12"/>
      <c r="Z1142" s="12"/>
      <c r="AA1142" s="12"/>
      <c r="AB1142" s="12"/>
      <c r="AC1142" s="4"/>
      <c r="AD1142" s="12"/>
      <c r="AE1142" s="12"/>
      <c r="AF1142" s="12"/>
      <c r="AG1142" s="12"/>
      <c r="AH1142" s="12"/>
      <c r="AI1142" s="296"/>
    </row>
    <row r="1143" spans="1:35">
      <c r="A1143" s="198">
        <v>90</v>
      </c>
      <c r="B1143" s="195" t="s">
        <v>233</v>
      </c>
      <c r="C1143" s="196">
        <v>906779</v>
      </c>
      <c r="D1143" s="196"/>
      <c r="E1143" s="196"/>
      <c r="F1143" s="196"/>
      <c r="G1143" s="196"/>
      <c r="H1143" s="196"/>
      <c r="I1143" s="196"/>
      <c r="J1143" s="196"/>
      <c r="K1143" s="196">
        <v>906779</v>
      </c>
      <c r="L1143" s="194">
        <v>0</v>
      </c>
      <c r="M1143" s="196">
        <v>0</v>
      </c>
      <c r="N1143" s="196">
        <v>0</v>
      </c>
      <c r="O1143" s="196">
        <v>0</v>
      </c>
      <c r="P1143" s="194">
        <v>0</v>
      </c>
      <c r="Q1143" s="196">
        <v>0</v>
      </c>
      <c r="R1143" s="197">
        <v>0</v>
      </c>
      <c r="S1143" s="196">
        <v>0</v>
      </c>
      <c r="T1143" s="197">
        <v>0</v>
      </c>
      <c r="U1143" s="288">
        <v>0</v>
      </c>
      <c r="V1143" s="282">
        <f>C1143-'часть 1'!L1151</f>
        <v>24832</v>
      </c>
      <c r="W1143" s="282"/>
      <c r="X1143" s="282"/>
      <c r="Y1143" s="12"/>
      <c r="Z1143" s="12"/>
      <c r="AA1143" s="12"/>
      <c r="AB1143" s="12"/>
      <c r="AC1143" s="12"/>
      <c r="AD1143" s="12"/>
      <c r="AE1143" s="12"/>
      <c r="AF1143" s="12"/>
      <c r="AG1143" s="12"/>
      <c r="AH1143" s="12"/>
      <c r="AI1143" s="296"/>
    </row>
    <row r="1144" spans="1:35">
      <c r="A1144" s="198">
        <v>91</v>
      </c>
      <c r="B1144" s="195" t="s">
        <v>278</v>
      </c>
      <c r="C1144" s="196">
        <v>886559</v>
      </c>
      <c r="D1144" s="196"/>
      <c r="E1144" s="196"/>
      <c r="F1144" s="196"/>
      <c r="G1144" s="196"/>
      <c r="H1144" s="196"/>
      <c r="I1144" s="196"/>
      <c r="J1144" s="196"/>
      <c r="K1144" s="196">
        <v>0</v>
      </c>
      <c r="L1144" s="194">
        <v>0</v>
      </c>
      <c r="M1144" s="196">
        <v>0</v>
      </c>
      <c r="N1144" s="196">
        <v>440</v>
      </c>
      <c r="O1144" s="199">
        <v>886559</v>
      </c>
      <c r="P1144" s="194">
        <v>0</v>
      </c>
      <c r="Q1144" s="196">
        <v>0</v>
      </c>
      <c r="R1144" s="197">
        <v>0</v>
      </c>
      <c r="S1144" s="196">
        <v>0</v>
      </c>
      <c r="T1144" s="197">
        <v>0</v>
      </c>
      <c r="U1144" s="288">
        <v>0</v>
      </c>
      <c r="V1144" s="282">
        <f>C1144-'часть 1'!L1152</f>
        <v>368820</v>
      </c>
      <c r="W1144" s="282"/>
      <c r="X1144" s="282"/>
      <c r="Y1144" s="12"/>
      <c r="Z1144" s="12"/>
      <c r="AA1144" s="12"/>
      <c r="AB1144" s="12"/>
      <c r="AC1144" s="12"/>
      <c r="AD1144" s="12"/>
      <c r="AE1144" s="12"/>
      <c r="AF1144" s="12"/>
      <c r="AG1144" s="12"/>
      <c r="AH1144" s="12"/>
      <c r="AI1144" s="296"/>
    </row>
    <row r="1145" spans="1:35">
      <c r="A1145" s="198">
        <v>92</v>
      </c>
      <c r="B1145" s="195" t="s">
        <v>347</v>
      </c>
      <c r="C1145" s="196">
        <v>642210</v>
      </c>
      <c r="D1145" s="196"/>
      <c r="E1145" s="196"/>
      <c r="F1145" s="196"/>
      <c r="G1145" s="196"/>
      <c r="H1145" s="196"/>
      <c r="I1145" s="196"/>
      <c r="J1145" s="196"/>
      <c r="K1145" s="196">
        <v>0</v>
      </c>
      <c r="L1145" s="194">
        <v>0</v>
      </c>
      <c r="M1145" s="196">
        <v>0</v>
      </c>
      <c r="N1145" s="196">
        <v>0</v>
      </c>
      <c r="O1145" s="196">
        <v>0</v>
      </c>
      <c r="P1145" s="194">
        <v>0</v>
      </c>
      <c r="Q1145" s="196">
        <v>0</v>
      </c>
      <c r="R1145" s="196">
        <v>440</v>
      </c>
      <c r="S1145" s="196">
        <v>642210</v>
      </c>
      <c r="T1145" s="197">
        <v>0</v>
      </c>
      <c r="U1145" s="288">
        <v>0</v>
      </c>
      <c r="V1145" s="282">
        <f>C1145-'часть 1'!L1153</f>
        <v>-1086685</v>
      </c>
      <c r="W1145" s="282"/>
      <c r="X1145" s="28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296"/>
    </row>
    <row r="1146" spans="1:35">
      <c r="A1146" s="198">
        <v>93</v>
      </c>
      <c r="B1146" s="195" t="s">
        <v>266</v>
      </c>
      <c r="C1146" s="196">
        <v>1952489</v>
      </c>
      <c r="D1146" s="196"/>
      <c r="E1146" s="196"/>
      <c r="F1146" s="196"/>
      <c r="G1146" s="196"/>
      <c r="H1146" s="196"/>
      <c r="I1146" s="196"/>
      <c r="J1146" s="196"/>
      <c r="K1146" s="196">
        <v>0</v>
      </c>
      <c r="L1146" s="194">
        <v>0</v>
      </c>
      <c r="M1146" s="196">
        <v>0</v>
      </c>
      <c r="N1146" s="196">
        <v>965</v>
      </c>
      <c r="O1146" s="196">
        <v>1952489</v>
      </c>
      <c r="P1146" s="194">
        <v>0</v>
      </c>
      <c r="Q1146" s="196">
        <v>0</v>
      </c>
      <c r="R1146" s="200">
        <v>0</v>
      </c>
      <c r="S1146" s="196">
        <v>0</v>
      </c>
      <c r="T1146" s="197">
        <v>0</v>
      </c>
      <c r="U1146" s="288">
        <v>0</v>
      </c>
      <c r="V1146" s="282">
        <f>C1146-'часть 1'!L1154</f>
        <v>1269960</v>
      </c>
      <c r="W1146" s="282"/>
      <c r="X1146" s="28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296"/>
    </row>
    <row r="1147" spans="1:35">
      <c r="A1147" s="198">
        <v>94</v>
      </c>
      <c r="B1147" s="195" t="s">
        <v>310</v>
      </c>
      <c r="C1147" s="196">
        <v>15157748</v>
      </c>
      <c r="D1147" s="196"/>
      <c r="E1147" s="196"/>
      <c r="F1147" s="196"/>
      <c r="G1147" s="196"/>
      <c r="H1147" s="196"/>
      <c r="I1147" s="196"/>
      <c r="J1147" s="196"/>
      <c r="K1147" s="196">
        <v>0</v>
      </c>
      <c r="L1147" s="194">
        <v>8</v>
      </c>
      <c r="M1147" s="196">
        <v>15157748</v>
      </c>
      <c r="N1147" s="196">
        <v>0</v>
      </c>
      <c r="O1147" s="196">
        <v>0</v>
      </c>
      <c r="P1147" s="194">
        <v>0</v>
      </c>
      <c r="Q1147" s="196">
        <v>0</v>
      </c>
      <c r="R1147" s="197">
        <v>0</v>
      </c>
      <c r="S1147" s="196">
        <v>0</v>
      </c>
      <c r="T1147" s="197">
        <v>0</v>
      </c>
      <c r="U1147" s="288">
        <v>0</v>
      </c>
      <c r="V1147" s="282">
        <f>C1147-'часть 1'!L1155</f>
        <v>14575591</v>
      </c>
      <c r="W1147" s="282"/>
      <c r="X1147" s="28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296"/>
    </row>
    <row r="1148" spans="1:35">
      <c r="A1148" s="198">
        <v>95</v>
      </c>
      <c r="B1148" s="195" t="s">
        <v>281</v>
      </c>
      <c r="C1148" s="196">
        <v>2542298.37</v>
      </c>
      <c r="D1148" s="196"/>
      <c r="E1148" s="196"/>
      <c r="F1148" s="196"/>
      <c r="G1148" s="196"/>
      <c r="H1148" s="196"/>
      <c r="I1148" s="196"/>
      <c r="J1148" s="196"/>
      <c r="K1148" s="196">
        <v>0</v>
      </c>
      <c r="L1148" s="194">
        <v>0</v>
      </c>
      <c r="M1148" s="196">
        <v>0</v>
      </c>
      <c r="N1148" s="196">
        <v>1350</v>
      </c>
      <c r="O1148" s="196">
        <v>2542298.37</v>
      </c>
      <c r="P1148" s="194">
        <v>0</v>
      </c>
      <c r="Q1148" s="196">
        <v>0</v>
      </c>
      <c r="R1148" s="197">
        <v>0</v>
      </c>
      <c r="S1148" s="196">
        <v>0</v>
      </c>
      <c r="T1148" s="197">
        <v>0</v>
      </c>
      <c r="U1148" s="288">
        <v>0</v>
      </c>
      <c r="V1148" s="282">
        <f>C1148-'часть 1'!L1156</f>
        <v>1840594.37</v>
      </c>
      <c r="W1148" s="282"/>
      <c r="X1148" s="28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296"/>
    </row>
    <row r="1149" spans="1:35">
      <c r="A1149" s="198">
        <v>96</v>
      </c>
      <c r="B1149" s="195" t="s">
        <v>248</v>
      </c>
      <c r="C1149" s="196">
        <v>1114586</v>
      </c>
      <c r="D1149" s="196"/>
      <c r="E1149" s="196"/>
      <c r="F1149" s="196"/>
      <c r="G1149" s="196"/>
      <c r="H1149" s="196"/>
      <c r="I1149" s="196"/>
      <c r="J1149" s="196"/>
      <c r="K1149" s="196">
        <v>0</v>
      </c>
      <c r="L1149" s="194">
        <v>0</v>
      </c>
      <c r="M1149" s="196">
        <v>0</v>
      </c>
      <c r="N1149" s="196">
        <v>550</v>
      </c>
      <c r="O1149" s="196">
        <v>1114586</v>
      </c>
      <c r="P1149" s="194">
        <v>0</v>
      </c>
      <c r="Q1149" s="196">
        <v>0</v>
      </c>
      <c r="R1149" s="200">
        <v>0</v>
      </c>
      <c r="S1149" s="196">
        <v>0</v>
      </c>
      <c r="T1149" s="197">
        <v>0</v>
      </c>
      <c r="U1149" s="288">
        <v>0</v>
      </c>
      <c r="V1149" s="282">
        <f>C1149-'часть 1'!L1157</f>
        <v>-854563</v>
      </c>
      <c r="W1149" s="282"/>
      <c r="X1149" s="28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296"/>
    </row>
    <row r="1150" spans="1:35">
      <c r="A1150" s="198">
        <v>97</v>
      </c>
      <c r="B1150" s="195" t="s">
        <v>301</v>
      </c>
      <c r="C1150" s="196">
        <v>5623853</v>
      </c>
      <c r="D1150" s="196"/>
      <c r="E1150" s="196"/>
      <c r="F1150" s="196"/>
      <c r="G1150" s="196"/>
      <c r="H1150" s="196"/>
      <c r="I1150" s="196"/>
      <c r="J1150" s="196"/>
      <c r="K1150" s="196">
        <v>0</v>
      </c>
      <c r="L1150" s="194">
        <v>3</v>
      </c>
      <c r="M1150" s="202">
        <v>5623853</v>
      </c>
      <c r="N1150" s="196">
        <v>0</v>
      </c>
      <c r="O1150" s="196">
        <v>0</v>
      </c>
      <c r="P1150" s="194">
        <v>0</v>
      </c>
      <c r="Q1150" s="196">
        <v>0</v>
      </c>
      <c r="R1150" s="200">
        <v>0</v>
      </c>
      <c r="S1150" s="196">
        <v>0</v>
      </c>
      <c r="T1150" s="197">
        <v>0</v>
      </c>
      <c r="U1150" s="288">
        <v>0</v>
      </c>
      <c r="V1150" s="282">
        <f>C1150-'часть 1'!L1158</f>
        <v>4600765</v>
      </c>
      <c r="W1150" s="282"/>
      <c r="X1150" s="28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296"/>
    </row>
    <row r="1151" spans="1:35">
      <c r="A1151" s="198">
        <v>98</v>
      </c>
      <c r="B1151" s="195" t="s">
        <v>244</v>
      </c>
      <c r="C1151" s="196">
        <v>2721106</v>
      </c>
      <c r="D1151" s="196"/>
      <c r="E1151" s="196"/>
      <c r="F1151" s="196"/>
      <c r="G1151" s="196"/>
      <c r="H1151" s="196"/>
      <c r="I1151" s="196"/>
      <c r="J1151" s="196"/>
      <c r="K1151" s="196">
        <v>0</v>
      </c>
      <c r="L1151" s="194">
        <v>0</v>
      </c>
      <c r="M1151" s="196">
        <v>0</v>
      </c>
      <c r="N1151" s="196">
        <v>1371</v>
      </c>
      <c r="O1151" s="196">
        <v>2721106</v>
      </c>
      <c r="P1151" s="194">
        <v>0</v>
      </c>
      <c r="Q1151" s="196">
        <v>0</v>
      </c>
      <c r="R1151" s="197">
        <v>0</v>
      </c>
      <c r="S1151" s="196">
        <v>0</v>
      </c>
      <c r="T1151" s="197">
        <v>0</v>
      </c>
      <c r="U1151" s="288">
        <v>0</v>
      </c>
      <c r="V1151" s="282">
        <f>C1151-'часть 1'!L1159</f>
        <v>-613464</v>
      </c>
      <c r="W1151" s="282"/>
      <c r="X1151" s="28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296"/>
    </row>
    <row r="1152" spans="1:35">
      <c r="A1152" s="198">
        <v>99</v>
      </c>
      <c r="B1152" s="195" t="s">
        <v>288</v>
      </c>
      <c r="C1152" s="196">
        <v>9789326.5500000007</v>
      </c>
      <c r="D1152" s="196"/>
      <c r="E1152" s="196"/>
      <c r="F1152" s="196"/>
      <c r="G1152" s="196"/>
      <c r="H1152" s="196"/>
      <c r="I1152" s="196"/>
      <c r="J1152" s="196"/>
      <c r="K1152" s="196">
        <v>6592990.5599999996</v>
      </c>
      <c r="L1152" s="194">
        <v>0</v>
      </c>
      <c r="M1152" s="196">
        <v>0</v>
      </c>
      <c r="N1152" s="196">
        <v>2090</v>
      </c>
      <c r="O1152" s="196">
        <v>3196335.99</v>
      </c>
      <c r="P1152" s="194">
        <v>0</v>
      </c>
      <c r="Q1152" s="196">
        <v>0</v>
      </c>
      <c r="R1152" s="197">
        <v>0</v>
      </c>
      <c r="S1152" s="196">
        <v>0</v>
      </c>
      <c r="T1152" s="197">
        <v>0</v>
      </c>
      <c r="U1152" s="288">
        <v>0</v>
      </c>
      <c r="V1152" s="282">
        <f>C1152-'часть 1'!L1160</f>
        <v>8661952.2200000007</v>
      </c>
      <c r="W1152" s="282"/>
      <c r="X1152" s="28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296"/>
    </row>
    <row r="1153" spans="1:35">
      <c r="A1153" s="198">
        <v>100</v>
      </c>
      <c r="B1153" s="195" t="s">
        <v>249</v>
      </c>
      <c r="C1153" s="196">
        <v>1615074</v>
      </c>
      <c r="D1153" s="196"/>
      <c r="E1153" s="196"/>
      <c r="F1153" s="196"/>
      <c r="G1153" s="196"/>
      <c r="H1153" s="196"/>
      <c r="I1153" s="196"/>
      <c r="J1153" s="196"/>
      <c r="K1153" s="196" t="e">
        <f>#REF!</f>
        <v>#REF!</v>
      </c>
      <c r="L1153" s="194">
        <v>0</v>
      </c>
      <c r="M1153" s="196">
        <v>0</v>
      </c>
      <c r="N1153" s="196">
        <v>0</v>
      </c>
      <c r="O1153" s="196">
        <v>0</v>
      </c>
      <c r="P1153" s="194">
        <v>0</v>
      </c>
      <c r="Q1153" s="196">
        <v>0</v>
      </c>
      <c r="R1153" s="200">
        <v>0</v>
      </c>
      <c r="S1153" s="196">
        <v>0</v>
      </c>
      <c r="T1153" s="197">
        <v>0</v>
      </c>
      <c r="U1153" s="288">
        <v>0</v>
      </c>
      <c r="V1153" s="282">
        <f>C1153-'часть 1'!L1161</f>
        <v>453618</v>
      </c>
      <c r="W1153" s="282"/>
      <c r="X1153" s="28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296"/>
    </row>
    <row r="1154" spans="1:35">
      <c r="A1154" s="198">
        <v>101</v>
      </c>
      <c r="B1154" s="195" t="s">
        <v>265</v>
      </c>
      <c r="C1154" s="196">
        <v>824390</v>
      </c>
      <c r="D1154" s="196"/>
      <c r="E1154" s="196"/>
      <c r="F1154" s="196"/>
      <c r="G1154" s="196"/>
      <c r="H1154" s="196"/>
      <c r="I1154" s="196"/>
      <c r="J1154" s="196"/>
      <c r="K1154" s="196">
        <v>824390</v>
      </c>
      <c r="L1154" s="194">
        <v>0</v>
      </c>
      <c r="M1154" s="196">
        <v>0</v>
      </c>
      <c r="N1154" s="196">
        <v>0</v>
      </c>
      <c r="O1154" s="196">
        <v>0</v>
      </c>
      <c r="P1154" s="194">
        <v>0</v>
      </c>
      <c r="Q1154" s="196">
        <v>0</v>
      </c>
      <c r="R1154" s="197">
        <v>0</v>
      </c>
      <c r="S1154" s="196">
        <v>0</v>
      </c>
      <c r="T1154" s="197">
        <v>0</v>
      </c>
      <c r="U1154" s="288">
        <v>0</v>
      </c>
      <c r="V1154" s="282">
        <f>C1154-'часть 1'!L1162</f>
        <v>-372860.23</v>
      </c>
      <c r="W1154" s="282"/>
      <c r="X1154" s="282"/>
      <c r="Y1154" s="12"/>
      <c r="Z1154" s="12"/>
      <c r="AA1154" s="4"/>
      <c r="AB1154" s="12"/>
      <c r="AC1154" s="12"/>
      <c r="AD1154" s="12"/>
      <c r="AE1154" s="12"/>
      <c r="AF1154" s="12"/>
      <c r="AG1154" s="12"/>
      <c r="AH1154" s="12"/>
      <c r="AI1154" s="296"/>
    </row>
    <row r="1155" spans="1:35">
      <c r="A1155" s="198">
        <v>102</v>
      </c>
      <c r="B1155" s="195" t="s">
        <v>292</v>
      </c>
      <c r="C1155" s="196">
        <v>2661189</v>
      </c>
      <c r="D1155" s="196"/>
      <c r="E1155" s="196"/>
      <c r="F1155" s="196"/>
      <c r="G1155" s="196"/>
      <c r="H1155" s="196"/>
      <c r="I1155" s="196"/>
      <c r="J1155" s="196"/>
      <c r="K1155" s="196">
        <v>0</v>
      </c>
      <c r="L1155" s="194">
        <v>0</v>
      </c>
      <c r="M1155" s="196">
        <v>0</v>
      </c>
      <c r="N1155" s="196">
        <v>1338.7</v>
      </c>
      <c r="O1155" s="196">
        <v>2661189</v>
      </c>
      <c r="P1155" s="194">
        <v>0</v>
      </c>
      <c r="Q1155" s="196">
        <v>0</v>
      </c>
      <c r="R1155" s="200">
        <v>0</v>
      </c>
      <c r="S1155" s="196">
        <v>0</v>
      </c>
      <c r="T1155" s="197">
        <v>0</v>
      </c>
      <c r="U1155" s="288">
        <v>0</v>
      </c>
      <c r="V1155" s="282">
        <f>C1155-'часть 1'!L1163</f>
        <v>-123044</v>
      </c>
      <c r="W1155" s="282"/>
      <c r="X1155" s="282"/>
      <c r="Y1155" s="12"/>
      <c r="Z1155" s="12"/>
      <c r="AA1155" s="12"/>
      <c r="AB1155" s="12"/>
      <c r="AC1155" s="12"/>
      <c r="AD1155" s="12"/>
      <c r="AE1155" s="12"/>
      <c r="AF1155" s="12"/>
      <c r="AG1155" s="12"/>
      <c r="AH1155" s="12"/>
      <c r="AI1155" s="296"/>
    </row>
    <row r="1156" spans="1:35">
      <c r="A1156" s="198">
        <v>103</v>
      </c>
      <c r="B1156" s="195" t="s">
        <v>276</v>
      </c>
      <c r="C1156" s="196">
        <v>278220</v>
      </c>
      <c r="D1156" s="196"/>
      <c r="E1156" s="196"/>
      <c r="F1156" s="196"/>
      <c r="G1156" s="196"/>
      <c r="H1156" s="196"/>
      <c r="I1156" s="196"/>
      <c r="J1156" s="196"/>
      <c r="K1156" s="196">
        <v>278220</v>
      </c>
      <c r="L1156" s="194">
        <v>0</v>
      </c>
      <c r="M1156" s="196">
        <v>0</v>
      </c>
      <c r="N1156" s="196">
        <v>0</v>
      </c>
      <c r="O1156" s="196">
        <v>0</v>
      </c>
      <c r="P1156" s="194">
        <v>0</v>
      </c>
      <c r="Q1156" s="196">
        <v>0</v>
      </c>
      <c r="R1156" s="197">
        <v>0</v>
      </c>
      <c r="S1156" s="196">
        <v>0</v>
      </c>
      <c r="T1156" s="197">
        <v>0</v>
      </c>
      <c r="U1156" s="288">
        <v>0</v>
      </c>
      <c r="V1156" s="282">
        <f>C1156-'часть 1'!L1164</f>
        <v>-2091741</v>
      </c>
      <c r="W1156" s="282"/>
      <c r="X1156" s="282"/>
      <c r="Y1156" s="12"/>
      <c r="Z1156" s="12"/>
      <c r="AA1156" s="12"/>
      <c r="AB1156" s="12"/>
      <c r="AC1156" s="12"/>
      <c r="AD1156" s="12"/>
      <c r="AE1156" s="12"/>
      <c r="AF1156" s="12"/>
      <c r="AG1156" s="12"/>
      <c r="AH1156" s="12"/>
      <c r="AI1156" s="296"/>
    </row>
    <row r="1157" spans="1:35">
      <c r="A1157" s="198">
        <v>104</v>
      </c>
      <c r="B1157" s="195" t="s">
        <v>229</v>
      </c>
      <c r="C1157" s="196">
        <v>2511472</v>
      </c>
      <c r="D1157" s="196"/>
      <c r="E1157" s="196"/>
      <c r="F1157" s="196"/>
      <c r="G1157" s="196"/>
      <c r="H1157" s="196"/>
      <c r="I1157" s="196"/>
      <c r="J1157" s="196"/>
      <c r="K1157" s="196">
        <v>2511472</v>
      </c>
      <c r="L1157" s="194">
        <v>0</v>
      </c>
      <c r="M1157" s="196">
        <v>0</v>
      </c>
      <c r="N1157" s="196">
        <v>0</v>
      </c>
      <c r="O1157" s="196">
        <v>0</v>
      </c>
      <c r="P1157" s="194">
        <v>0</v>
      </c>
      <c r="Q1157" s="196">
        <v>0</v>
      </c>
      <c r="R1157" s="197">
        <v>0</v>
      </c>
      <c r="S1157" s="196">
        <v>0</v>
      </c>
      <c r="T1157" s="197">
        <v>0</v>
      </c>
      <c r="U1157" s="288">
        <v>0</v>
      </c>
      <c r="V1157" s="282">
        <f>C1157-'часть 1'!L1165</f>
        <v>1838653</v>
      </c>
      <c r="W1157" s="282"/>
      <c r="X1157" s="28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296"/>
    </row>
    <row r="1158" spans="1:35" ht="30">
      <c r="A1158" s="198">
        <v>105</v>
      </c>
      <c r="B1158" s="195" t="s">
        <v>309</v>
      </c>
      <c r="C1158" s="196">
        <v>871988</v>
      </c>
      <c r="D1158" s="196"/>
      <c r="E1158" s="196"/>
      <c r="F1158" s="196"/>
      <c r="G1158" s="196"/>
      <c r="H1158" s="196"/>
      <c r="I1158" s="196"/>
      <c r="J1158" s="196"/>
      <c r="K1158" s="196">
        <v>0</v>
      </c>
      <c r="L1158" s="194">
        <v>0</v>
      </c>
      <c r="M1158" s="196">
        <v>0</v>
      </c>
      <c r="N1158" s="196">
        <v>438.23</v>
      </c>
      <c r="O1158" s="196">
        <v>871988</v>
      </c>
      <c r="P1158" s="194">
        <v>0</v>
      </c>
      <c r="Q1158" s="196">
        <v>0</v>
      </c>
      <c r="R1158" s="197">
        <v>0</v>
      </c>
      <c r="S1158" s="196">
        <v>0</v>
      </c>
      <c r="T1158" s="197">
        <v>0</v>
      </c>
      <c r="U1158" s="288">
        <v>0</v>
      </c>
      <c r="V1158" s="282">
        <f>C1158-'часть 1'!L1166</f>
        <v>-779503</v>
      </c>
      <c r="W1158" s="282"/>
      <c r="X1158" s="28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296"/>
    </row>
    <row r="1159" spans="1:35" ht="30">
      <c r="A1159" s="198">
        <v>106</v>
      </c>
      <c r="B1159" s="195" t="s">
        <v>308</v>
      </c>
      <c r="C1159" s="196">
        <v>2113335</v>
      </c>
      <c r="D1159" s="196"/>
      <c r="E1159" s="196"/>
      <c r="F1159" s="196"/>
      <c r="G1159" s="196"/>
      <c r="H1159" s="196"/>
      <c r="I1159" s="196"/>
      <c r="J1159" s="196"/>
      <c r="K1159" s="196" t="e">
        <f>#REF!</f>
        <v>#REF!</v>
      </c>
      <c r="L1159" s="194">
        <v>0</v>
      </c>
      <c r="M1159" s="196">
        <v>0</v>
      </c>
      <c r="N1159" s="196">
        <v>0</v>
      </c>
      <c r="O1159" s="196">
        <v>0</v>
      </c>
      <c r="P1159" s="194">
        <v>0</v>
      </c>
      <c r="Q1159" s="196">
        <v>0</v>
      </c>
      <c r="R1159" s="197">
        <v>0</v>
      </c>
      <c r="S1159" s="196">
        <v>0</v>
      </c>
      <c r="T1159" s="197">
        <v>0</v>
      </c>
      <c r="U1159" s="288">
        <v>0</v>
      </c>
      <c r="V1159" s="282">
        <f>C1159-'часть 1'!L1167</f>
        <v>680409</v>
      </c>
      <c r="W1159" s="282"/>
      <c r="X1159" s="28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296"/>
    </row>
    <row r="1160" spans="1:35">
      <c r="A1160" s="198">
        <v>107</v>
      </c>
      <c r="B1160" s="195" t="s">
        <v>296</v>
      </c>
      <c r="C1160" s="196">
        <v>996585</v>
      </c>
      <c r="D1160" s="196"/>
      <c r="E1160" s="196"/>
      <c r="F1160" s="196"/>
      <c r="G1160" s="196"/>
      <c r="H1160" s="196"/>
      <c r="I1160" s="196"/>
      <c r="J1160" s="196"/>
      <c r="K1160" s="196">
        <v>0</v>
      </c>
      <c r="L1160" s="194">
        <v>0</v>
      </c>
      <c r="M1160" s="196">
        <v>0</v>
      </c>
      <c r="N1160" s="196">
        <v>496.2</v>
      </c>
      <c r="O1160" s="196">
        <v>996585</v>
      </c>
      <c r="P1160" s="194">
        <v>0</v>
      </c>
      <c r="Q1160" s="196">
        <v>0</v>
      </c>
      <c r="R1160" s="197">
        <v>0</v>
      </c>
      <c r="S1160" s="196">
        <v>0</v>
      </c>
      <c r="T1160" s="197">
        <v>0</v>
      </c>
      <c r="U1160" s="288">
        <v>0</v>
      </c>
      <c r="V1160" s="282">
        <f>C1160-'часть 1'!L1168</f>
        <v>-141301</v>
      </c>
      <c r="W1160" s="282"/>
      <c r="X1160" s="28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296"/>
    </row>
    <row r="1161" spans="1:35">
      <c r="A1161" s="198">
        <v>108</v>
      </c>
      <c r="B1161" s="195" t="s">
        <v>240</v>
      </c>
      <c r="C1161" s="196">
        <v>637739</v>
      </c>
      <c r="D1161" s="196"/>
      <c r="E1161" s="196"/>
      <c r="F1161" s="196"/>
      <c r="G1161" s="196"/>
      <c r="H1161" s="196"/>
      <c r="I1161" s="196"/>
      <c r="J1161" s="196"/>
      <c r="K1161" s="196">
        <v>637739</v>
      </c>
      <c r="L1161" s="194">
        <v>0</v>
      </c>
      <c r="M1161" s="196">
        <v>0</v>
      </c>
      <c r="N1161" s="196">
        <v>0</v>
      </c>
      <c r="O1161" s="196">
        <v>0</v>
      </c>
      <c r="P1161" s="194">
        <v>0</v>
      </c>
      <c r="Q1161" s="196">
        <v>0</v>
      </c>
      <c r="R1161" s="197">
        <v>0</v>
      </c>
      <c r="S1161" s="196">
        <v>0</v>
      </c>
      <c r="T1161" s="197">
        <v>0</v>
      </c>
      <c r="U1161" s="288">
        <v>0</v>
      </c>
      <c r="V1161" s="282">
        <f>C1161-'часть 1'!L1169</f>
        <v>-1177099</v>
      </c>
      <c r="W1161" s="282"/>
      <c r="X1161" s="28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296"/>
    </row>
    <row r="1162" spans="1:35">
      <c r="A1162" s="198">
        <v>109</v>
      </c>
      <c r="B1162" s="195" t="s">
        <v>243</v>
      </c>
      <c r="C1162" s="196">
        <v>1357217</v>
      </c>
      <c r="D1162" s="196"/>
      <c r="E1162" s="196"/>
      <c r="F1162" s="196"/>
      <c r="G1162" s="196"/>
      <c r="H1162" s="196"/>
      <c r="I1162" s="196"/>
      <c r="J1162" s="196"/>
      <c r="K1162" s="196">
        <v>0</v>
      </c>
      <c r="L1162" s="194">
        <v>0</v>
      </c>
      <c r="M1162" s="196">
        <v>0</v>
      </c>
      <c r="N1162" s="196">
        <v>675</v>
      </c>
      <c r="O1162" s="196">
        <v>1357217</v>
      </c>
      <c r="P1162" s="194">
        <v>0</v>
      </c>
      <c r="Q1162" s="196">
        <v>0</v>
      </c>
      <c r="R1162" s="197">
        <v>0</v>
      </c>
      <c r="S1162" s="196">
        <v>0</v>
      </c>
      <c r="T1162" s="197">
        <v>0</v>
      </c>
      <c r="U1162" s="288">
        <v>0</v>
      </c>
      <c r="V1162" s="282">
        <f>C1162-'часть 1'!L1170</f>
        <v>-187142.54000000004</v>
      </c>
      <c r="W1162" s="282"/>
      <c r="X1162" s="28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296"/>
    </row>
    <row r="1163" spans="1:35">
      <c r="A1163" s="198">
        <v>110</v>
      </c>
      <c r="B1163" s="195" t="s">
        <v>269</v>
      </c>
      <c r="C1163" s="196">
        <v>836226</v>
      </c>
      <c r="D1163" s="196"/>
      <c r="E1163" s="196"/>
      <c r="F1163" s="196"/>
      <c r="G1163" s="196"/>
      <c r="H1163" s="196"/>
      <c r="I1163" s="196"/>
      <c r="J1163" s="196"/>
      <c r="K1163" s="196">
        <v>0</v>
      </c>
      <c r="L1163" s="194">
        <v>0</v>
      </c>
      <c r="M1163" s="196">
        <v>0</v>
      </c>
      <c r="N1163" s="196">
        <v>414.1</v>
      </c>
      <c r="O1163" s="199">
        <v>836226</v>
      </c>
      <c r="P1163" s="194">
        <v>0</v>
      </c>
      <c r="Q1163" s="196">
        <v>0</v>
      </c>
      <c r="R1163" s="197">
        <v>0</v>
      </c>
      <c r="S1163" s="196">
        <v>0</v>
      </c>
      <c r="T1163" s="197">
        <v>0</v>
      </c>
      <c r="U1163" s="288">
        <v>0</v>
      </c>
      <c r="V1163" s="282">
        <f>C1163-'часть 1'!L1171</f>
        <v>-950808</v>
      </c>
      <c r="W1163" s="282"/>
      <c r="X1163" s="28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296"/>
    </row>
    <row r="1164" spans="1:35">
      <c r="A1164" s="198">
        <v>111</v>
      </c>
      <c r="B1164" s="195" t="s">
        <v>299</v>
      </c>
      <c r="C1164" s="196">
        <v>640078</v>
      </c>
      <c r="D1164" s="196"/>
      <c r="E1164" s="196"/>
      <c r="F1164" s="196"/>
      <c r="G1164" s="196"/>
      <c r="H1164" s="196"/>
      <c r="I1164" s="196"/>
      <c r="J1164" s="196"/>
      <c r="K1164" s="196">
        <v>640078</v>
      </c>
      <c r="L1164" s="194">
        <v>0</v>
      </c>
      <c r="M1164" s="196">
        <v>0</v>
      </c>
      <c r="N1164" s="196">
        <v>0</v>
      </c>
      <c r="O1164" s="196">
        <v>0</v>
      </c>
      <c r="P1164" s="194">
        <v>0</v>
      </c>
      <c r="Q1164" s="196">
        <v>0</v>
      </c>
      <c r="R1164" s="197">
        <v>0</v>
      </c>
      <c r="S1164" s="196">
        <v>0</v>
      </c>
      <c r="T1164" s="197">
        <v>0</v>
      </c>
      <c r="U1164" s="288">
        <v>0</v>
      </c>
      <c r="V1164" s="282">
        <f>C1164-'часть 1'!L1172</f>
        <v>202079.43</v>
      </c>
      <c r="W1164" s="282"/>
      <c r="X1164" s="28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296"/>
    </row>
    <row r="1165" spans="1:35">
      <c r="A1165" s="198">
        <v>112</v>
      </c>
      <c r="B1165" s="195" t="s">
        <v>236</v>
      </c>
      <c r="C1165" s="196">
        <v>202649</v>
      </c>
      <c r="D1165" s="196"/>
      <c r="E1165" s="196"/>
      <c r="F1165" s="196"/>
      <c r="G1165" s="196"/>
      <c r="H1165" s="196"/>
      <c r="I1165" s="196"/>
      <c r="J1165" s="196"/>
      <c r="K1165" s="196" t="e">
        <f>#REF!</f>
        <v>#REF!</v>
      </c>
      <c r="L1165" s="194">
        <v>0</v>
      </c>
      <c r="M1165" s="196">
        <v>0</v>
      </c>
      <c r="N1165" s="196">
        <v>0</v>
      </c>
      <c r="O1165" s="196">
        <v>0</v>
      </c>
      <c r="P1165" s="194">
        <v>0</v>
      </c>
      <c r="Q1165" s="196">
        <v>0</v>
      </c>
      <c r="R1165" s="200">
        <v>0</v>
      </c>
      <c r="S1165" s="196">
        <v>0</v>
      </c>
      <c r="T1165" s="197">
        <v>0</v>
      </c>
      <c r="U1165" s="288">
        <v>0</v>
      </c>
      <c r="V1165" s="282">
        <f>C1165-'часть 1'!L1173</f>
        <v>-913579</v>
      </c>
      <c r="W1165" s="282"/>
      <c r="X1165" s="28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296"/>
    </row>
    <row r="1166" spans="1:35">
      <c r="A1166" s="198">
        <v>113</v>
      </c>
      <c r="B1166" s="195" t="s">
        <v>285</v>
      </c>
      <c r="C1166" s="196">
        <v>7892437</v>
      </c>
      <c r="D1166" s="196"/>
      <c r="E1166" s="196"/>
      <c r="F1166" s="196"/>
      <c r="G1166" s="196"/>
      <c r="H1166" s="196"/>
      <c r="I1166" s="196"/>
      <c r="J1166" s="196"/>
      <c r="K1166" s="196">
        <v>7892437</v>
      </c>
      <c r="L1166" s="194">
        <v>0</v>
      </c>
      <c r="M1166" s="196">
        <v>0</v>
      </c>
      <c r="N1166" s="196">
        <v>0</v>
      </c>
      <c r="O1166" s="196">
        <v>0</v>
      </c>
      <c r="P1166" s="194">
        <v>0</v>
      </c>
      <c r="Q1166" s="196">
        <v>0</v>
      </c>
      <c r="R1166" s="197">
        <v>0</v>
      </c>
      <c r="S1166" s="196">
        <v>0</v>
      </c>
      <c r="T1166" s="197">
        <v>0</v>
      </c>
      <c r="U1166" s="288">
        <v>0</v>
      </c>
      <c r="V1166" s="282">
        <f>C1166-'часть 1'!L1174</f>
        <v>6578709</v>
      </c>
      <c r="W1166" s="282"/>
      <c r="X1166" s="28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296"/>
    </row>
    <row r="1167" spans="1:35">
      <c r="A1167" s="198">
        <v>114</v>
      </c>
      <c r="B1167" s="195" t="s">
        <v>237</v>
      </c>
      <c r="C1167" s="196">
        <v>523389</v>
      </c>
      <c r="D1167" s="196"/>
      <c r="E1167" s="196"/>
      <c r="F1167" s="196"/>
      <c r="G1167" s="196"/>
      <c r="H1167" s="196"/>
      <c r="I1167" s="196"/>
      <c r="J1167" s="196"/>
      <c r="K1167" s="196">
        <v>0</v>
      </c>
      <c r="L1167" s="194">
        <v>0</v>
      </c>
      <c r="M1167" s="196">
        <v>0</v>
      </c>
      <c r="N1167" s="196">
        <v>255</v>
      </c>
      <c r="O1167" s="196">
        <v>523389</v>
      </c>
      <c r="P1167" s="194">
        <v>0</v>
      </c>
      <c r="Q1167" s="196">
        <v>0</v>
      </c>
      <c r="R1167" s="200">
        <v>0</v>
      </c>
      <c r="S1167" s="196">
        <v>0</v>
      </c>
      <c r="T1167" s="197">
        <v>0</v>
      </c>
      <c r="U1167" s="288">
        <v>0</v>
      </c>
      <c r="V1167" s="282">
        <f>C1167-'часть 1'!L1175</f>
        <v>163738</v>
      </c>
      <c r="W1167" s="282"/>
      <c r="X1167" s="282"/>
      <c r="Y1167" s="12"/>
      <c r="Z1167" s="12"/>
      <c r="AA1167" s="12"/>
      <c r="AB1167" s="12"/>
      <c r="AC1167" s="12"/>
      <c r="AD1167" s="12"/>
      <c r="AE1167" s="12"/>
      <c r="AF1167" s="12"/>
      <c r="AG1167" s="12"/>
      <c r="AH1167" s="12"/>
      <c r="AI1167" s="296"/>
    </row>
    <row r="1168" spans="1:35">
      <c r="A1168" s="198">
        <v>115</v>
      </c>
      <c r="B1168" s="195" t="s">
        <v>264</v>
      </c>
      <c r="C1168" s="196">
        <v>1038920</v>
      </c>
      <c r="D1168" s="196"/>
      <c r="E1168" s="196"/>
      <c r="F1168" s="196"/>
      <c r="G1168" s="196"/>
      <c r="H1168" s="196"/>
      <c r="I1168" s="196"/>
      <c r="J1168" s="196"/>
      <c r="K1168" s="196">
        <v>1038920</v>
      </c>
      <c r="L1168" s="194">
        <v>0</v>
      </c>
      <c r="M1168" s="196">
        <v>0</v>
      </c>
      <c r="N1168" s="196">
        <v>0</v>
      </c>
      <c r="O1168" s="196">
        <v>0</v>
      </c>
      <c r="P1168" s="194">
        <v>0</v>
      </c>
      <c r="Q1168" s="196">
        <v>0</v>
      </c>
      <c r="R1168" s="197">
        <v>0</v>
      </c>
      <c r="S1168" s="196">
        <v>0</v>
      </c>
      <c r="T1168" s="197">
        <v>0</v>
      </c>
      <c r="U1168" s="288">
        <v>0</v>
      </c>
      <c r="V1168" s="282">
        <f>C1168-'часть 1'!L1176</f>
        <v>132141</v>
      </c>
      <c r="W1168" s="282"/>
      <c r="X1168" s="282"/>
      <c r="Y1168" s="12"/>
      <c r="Z1168" s="12"/>
      <c r="AA1168" s="12"/>
      <c r="AB1168" s="12"/>
      <c r="AC1168" s="4"/>
      <c r="AD1168" s="12"/>
      <c r="AE1168" s="12"/>
      <c r="AF1168" s="12"/>
      <c r="AG1168" s="12"/>
      <c r="AH1168" s="12"/>
      <c r="AI1168" s="296"/>
    </row>
    <row r="1169" spans="1:35">
      <c r="A1169" s="194">
        <v>116</v>
      </c>
      <c r="B1169" s="195" t="s">
        <v>258</v>
      </c>
      <c r="C1169" s="196">
        <v>1742553</v>
      </c>
      <c r="D1169" s="196"/>
      <c r="E1169" s="196"/>
      <c r="F1169" s="196"/>
      <c r="G1169" s="196"/>
      <c r="H1169" s="196"/>
      <c r="I1169" s="196"/>
      <c r="J1169" s="196"/>
      <c r="K1169" s="196">
        <v>0</v>
      </c>
      <c r="L1169" s="194">
        <v>0</v>
      </c>
      <c r="M1169" s="196">
        <v>0</v>
      </c>
      <c r="N1169" s="196">
        <v>874.22</v>
      </c>
      <c r="O1169" s="199">
        <v>1742553</v>
      </c>
      <c r="P1169" s="194">
        <v>0</v>
      </c>
      <c r="Q1169" s="196">
        <v>0</v>
      </c>
      <c r="R1169" s="197">
        <v>0</v>
      </c>
      <c r="S1169" s="196">
        <v>0</v>
      </c>
      <c r="T1169" s="197">
        <v>0</v>
      </c>
      <c r="U1169" s="288">
        <v>0</v>
      </c>
      <c r="V1169" s="282">
        <f>C1169-'часть 1'!L1177</f>
        <v>855994</v>
      </c>
      <c r="W1169" s="282"/>
      <c r="X1169" s="28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296"/>
    </row>
    <row r="1170" spans="1:35">
      <c r="A1170" s="194">
        <v>117</v>
      </c>
      <c r="B1170" s="195" t="s">
        <v>250</v>
      </c>
      <c r="C1170" s="196">
        <v>2124581</v>
      </c>
      <c r="D1170" s="196"/>
      <c r="E1170" s="196"/>
      <c r="F1170" s="196"/>
      <c r="G1170" s="196"/>
      <c r="H1170" s="196"/>
      <c r="I1170" s="196"/>
      <c r="J1170" s="196"/>
      <c r="K1170" s="196">
        <v>0</v>
      </c>
      <c r="L1170" s="194">
        <v>0</v>
      </c>
      <c r="M1170" s="196">
        <v>0</v>
      </c>
      <c r="N1170" s="196">
        <v>1070</v>
      </c>
      <c r="O1170" s="199">
        <v>2124581</v>
      </c>
      <c r="P1170" s="194">
        <v>0</v>
      </c>
      <c r="Q1170" s="196">
        <v>0</v>
      </c>
      <c r="R1170" s="200">
        <v>0</v>
      </c>
      <c r="S1170" s="196">
        <v>0</v>
      </c>
      <c r="T1170" s="197">
        <v>0</v>
      </c>
      <c r="U1170" s="288">
        <v>0</v>
      </c>
      <c r="V1170" s="282">
        <f>C1170-'часть 1'!L1178</f>
        <v>1482371</v>
      </c>
      <c r="W1170" s="282"/>
      <c r="X1170" s="28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296"/>
    </row>
    <row r="1171" spans="1:35">
      <c r="A1171" s="194">
        <v>118</v>
      </c>
      <c r="B1171" s="195" t="s">
        <v>282</v>
      </c>
      <c r="C1171" s="196">
        <v>2347478</v>
      </c>
      <c r="D1171" s="196"/>
      <c r="E1171" s="196"/>
      <c r="F1171" s="196"/>
      <c r="G1171" s="196"/>
      <c r="H1171" s="196"/>
      <c r="I1171" s="196"/>
      <c r="J1171" s="196"/>
      <c r="K1171" s="196">
        <v>0</v>
      </c>
      <c r="L1171" s="194">
        <v>0</v>
      </c>
      <c r="M1171" s="196">
        <v>0</v>
      </c>
      <c r="N1171" s="196">
        <v>1185.07</v>
      </c>
      <c r="O1171" s="196">
        <v>2347478</v>
      </c>
      <c r="P1171" s="194">
        <v>0</v>
      </c>
      <c r="Q1171" s="196">
        <v>0</v>
      </c>
      <c r="R1171" s="197">
        <v>0</v>
      </c>
      <c r="S1171" s="196">
        <v>0</v>
      </c>
      <c r="T1171" s="197">
        <v>0</v>
      </c>
      <c r="U1171" s="288">
        <v>0</v>
      </c>
      <c r="V1171" s="282">
        <f>C1171-'часть 1'!L1179</f>
        <v>394989</v>
      </c>
      <c r="W1171" s="282"/>
      <c r="X1171" s="28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296"/>
    </row>
    <row r="1172" spans="1:35">
      <c r="A1172" s="194">
        <v>119</v>
      </c>
      <c r="B1172" s="195" t="s">
        <v>267</v>
      </c>
      <c r="C1172" s="196">
        <v>2468472</v>
      </c>
      <c r="D1172" s="196"/>
      <c r="E1172" s="196"/>
      <c r="F1172" s="196"/>
      <c r="G1172" s="196"/>
      <c r="H1172" s="196"/>
      <c r="I1172" s="196"/>
      <c r="J1172" s="196"/>
      <c r="K1172" s="196">
        <v>0</v>
      </c>
      <c r="L1172" s="194">
        <v>0</v>
      </c>
      <c r="M1172" s="196">
        <v>0</v>
      </c>
      <c r="N1172" s="199">
        <v>1246.5</v>
      </c>
      <c r="O1172" s="196">
        <v>2468472</v>
      </c>
      <c r="P1172" s="194">
        <v>0</v>
      </c>
      <c r="Q1172" s="196">
        <v>0</v>
      </c>
      <c r="R1172" s="197">
        <v>0</v>
      </c>
      <c r="S1172" s="196">
        <v>0</v>
      </c>
      <c r="T1172" s="197">
        <v>0</v>
      </c>
      <c r="U1172" s="288">
        <v>0</v>
      </c>
      <c r="V1172" s="282">
        <f>C1172-'часть 1'!L1180</f>
        <v>-12689276</v>
      </c>
      <c r="W1172" s="282"/>
      <c r="X1172" s="28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296"/>
    </row>
    <row r="1173" spans="1:35">
      <c r="A1173" s="194">
        <v>120</v>
      </c>
      <c r="B1173" s="195" t="s">
        <v>284</v>
      </c>
      <c r="C1173" s="196">
        <v>1612780</v>
      </c>
      <c r="D1173" s="196"/>
      <c r="E1173" s="196"/>
      <c r="F1173" s="196"/>
      <c r="G1173" s="196"/>
      <c r="H1173" s="196"/>
      <c r="I1173" s="196"/>
      <c r="J1173" s="196"/>
      <c r="K1173" s="196">
        <v>0</v>
      </c>
      <c r="L1173" s="194">
        <v>0</v>
      </c>
      <c r="M1173" s="196">
        <v>0</v>
      </c>
      <c r="N1173" s="196">
        <v>810.5</v>
      </c>
      <c r="O1173" s="196">
        <v>1612780</v>
      </c>
      <c r="P1173" s="194">
        <v>0</v>
      </c>
      <c r="Q1173" s="196">
        <v>0</v>
      </c>
      <c r="R1173" s="197">
        <v>0</v>
      </c>
      <c r="S1173" s="196">
        <v>0</v>
      </c>
      <c r="T1173" s="197">
        <v>0</v>
      </c>
      <c r="U1173" s="288">
        <v>0</v>
      </c>
      <c r="V1173" s="282">
        <f>C1173-'часть 1'!L1181</f>
        <v>-929518.37000000011</v>
      </c>
      <c r="W1173" s="282"/>
      <c r="X1173" s="28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296"/>
    </row>
    <row r="1174" spans="1:35">
      <c r="A1174" s="194">
        <v>121</v>
      </c>
      <c r="B1174" s="195" t="s">
        <v>256</v>
      </c>
      <c r="C1174" s="196">
        <v>2580419</v>
      </c>
      <c r="D1174" s="196"/>
      <c r="E1174" s="196"/>
      <c r="F1174" s="196"/>
      <c r="G1174" s="196"/>
      <c r="H1174" s="196"/>
      <c r="I1174" s="196"/>
      <c r="J1174" s="196"/>
      <c r="K1174" s="196">
        <v>0</v>
      </c>
      <c r="L1174" s="194">
        <v>0</v>
      </c>
      <c r="M1174" s="196">
        <v>0</v>
      </c>
      <c r="N1174" s="196">
        <v>786.3</v>
      </c>
      <c r="O1174" s="196">
        <v>1565675</v>
      </c>
      <c r="P1174" s="194">
        <v>0</v>
      </c>
      <c r="Q1174" s="196">
        <v>0</v>
      </c>
      <c r="R1174" s="196">
        <v>700</v>
      </c>
      <c r="S1174" s="196">
        <v>1014744</v>
      </c>
      <c r="T1174" s="197">
        <v>0</v>
      </c>
      <c r="U1174" s="288">
        <v>0</v>
      </c>
      <c r="V1174" s="282">
        <f>C1174-'часть 1'!L1182</f>
        <v>1465833</v>
      </c>
      <c r="W1174" s="282"/>
      <c r="X1174" s="28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296"/>
    </row>
    <row r="1175" spans="1:35">
      <c r="A1175" s="194">
        <v>122</v>
      </c>
      <c r="B1175" s="195" t="s">
        <v>335</v>
      </c>
      <c r="C1175" s="196">
        <v>1681645</v>
      </c>
      <c r="D1175" s="196"/>
      <c r="E1175" s="196"/>
      <c r="F1175" s="196"/>
      <c r="G1175" s="196"/>
      <c r="H1175" s="196"/>
      <c r="I1175" s="196"/>
      <c r="J1175" s="196"/>
      <c r="K1175" s="196">
        <v>0</v>
      </c>
      <c r="L1175" s="194">
        <v>0</v>
      </c>
      <c r="M1175" s="196">
        <v>0</v>
      </c>
      <c r="N1175" s="196">
        <v>848.59</v>
      </c>
      <c r="O1175" s="196">
        <v>1681645</v>
      </c>
      <c r="P1175" s="194">
        <v>0</v>
      </c>
      <c r="Q1175" s="196">
        <v>0</v>
      </c>
      <c r="R1175" s="200">
        <v>0</v>
      </c>
      <c r="S1175" s="196">
        <v>0</v>
      </c>
      <c r="T1175" s="197">
        <v>0</v>
      </c>
      <c r="U1175" s="288">
        <v>0</v>
      </c>
      <c r="V1175" s="282">
        <f>C1175-'часть 1'!L1183</f>
        <v>-3942208</v>
      </c>
      <c r="W1175" s="282"/>
      <c r="X1175" s="28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296"/>
    </row>
    <row r="1176" spans="1:35">
      <c r="A1176" s="194">
        <v>123</v>
      </c>
      <c r="B1176" s="195" t="s">
        <v>255</v>
      </c>
      <c r="C1176" s="196">
        <v>1318880</v>
      </c>
      <c r="D1176" s="196"/>
      <c r="E1176" s="196"/>
      <c r="F1176" s="196"/>
      <c r="G1176" s="196"/>
      <c r="H1176" s="196"/>
      <c r="I1176" s="196"/>
      <c r="J1176" s="196"/>
      <c r="K1176" s="196">
        <v>0</v>
      </c>
      <c r="L1176" s="194">
        <v>0</v>
      </c>
      <c r="M1176" s="196">
        <v>0</v>
      </c>
      <c r="N1176" s="196">
        <v>660</v>
      </c>
      <c r="O1176" s="196">
        <v>1318880</v>
      </c>
      <c r="P1176" s="194">
        <v>0</v>
      </c>
      <c r="Q1176" s="196">
        <v>0</v>
      </c>
      <c r="R1176" s="200">
        <v>0</v>
      </c>
      <c r="S1176" s="196">
        <v>0</v>
      </c>
      <c r="T1176" s="197">
        <v>0</v>
      </c>
      <c r="U1176" s="288">
        <v>0</v>
      </c>
      <c r="V1176" s="282">
        <f>C1176-'часть 1'!L1184</f>
        <v>-1402226</v>
      </c>
      <c r="W1176" s="282"/>
      <c r="X1176" s="28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296"/>
    </row>
    <row r="1177" spans="1:35">
      <c r="A1177" s="194">
        <v>124</v>
      </c>
      <c r="B1177" s="195" t="s">
        <v>245</v>
      </c>
      <c r="C1177" s="196">
        <v>1566345</v>
      </c>
      <c r="D1177" s="196"/>
      <c r="E1177" s="196"/>
      <c r="F1177" s="196"/>
      <c r="G1177" s="196"/>
      <c r="H1177" s="196"/>
      <c r="I1177" s="196"/>
      <c r="J1177" s="196"/>
      <c r="K1177" s="196">
        <v>0</v>
      </c>
      <c r="L1177" s="194">
        <v>0</v>
      </c>
      <c r="M1177" s="196">
        <v>0</v>
      </c>
      <c r="N1177" s="196">
        <v>422</v>
      </c>
      <c r="O1177" s="196">
        <v>850468</v>
      </c>
      <c r="P1177" s="194">
        <v>0</v>
      </c>
      <c r="Q1177" s="196">
        <v>0</v>
      </c>
      <c r="R1177" s="196">
        <v>492</v>
      </c>
      <c r="S1177" s="196">
        <v>715877</v>
      </c>
      <c r="T1177" s="197">
        <v>0</v>
      </c>
      <c r="U1177" s="288">
        <v>0</v>
      </c>
      <c r="V1177" s="282">
        <f>C1177-'часть 1'!L1185</f>
        <v>-8222981.5500000007</v>
      </c>
      <c r="W1177" s="282"/>
      <c r="X1177" s="28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296"/>
    </row>
    <row r="1178" spans="1:35" ht="30">
      <c r="A1178" s="194">
        <v>125</v>
      </c>
      <c r="B1178" s="195" t="s">
        <v>451</v>
      </c>
      <c r="C1178" s="196">
        <v>1910088</v>
      </c>
      <c r="D1178" s="196"/>
      <c r="E1178" s="196"/>
      <c r="F1178" s="196"/>
      <c r="G1178" s="196"/>
      <c r="H1178" s="196"/>
      <c r="I1178" s="196"/>
      <c r="J1178" s="196"/>
      <c r="K1178" s="196">
        <v>1910088</v>
      </c>
      <c r="L1178" s="194">
        <v>0</v>
      </c>
      <c r="M1178" s="196">
        <v>0</v>
      </c>
      <c r="N1178" s="196">
        <v>0</v>
      </c>
      <c r="O1178" s="196">
        <v>0</v>
      </c>
      <c r="P1178" s="194">
        <v>0</v>
      </c>
      <c r="Q1178" s="196">
        <v>0</v>
      </c>
      <c r="R1178" s="200">
        <v>0</v>
      </c>
      <c r="S1178" s="196">
        <v>0</v>
      </c>
      <c r="T1178" s="197">
        <v>0</v>
      </c>
      <c r="U1178" s="288">
        <v>0</v>
      </c>
      <c r="V1178" s="282">
        <f>C1178-'часть 1'!L1186</f>
        <v>295014</v>
      </c>
      <c r="W1178" s="282"/>
      <c r="X1178" s="28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296"/>
    </row>
    <row r="1179" spans="1:35">
      <c r="A1179" s="194">
        <v>126</v>
      </c>
      <c r="B1179" s="195" t="s">
        <v>280</v>
      </c>
      <c r="C1179" s="196">
        <v>2694957</v>
      </c>
      <c r="D1179" s="196"/>
      <c r="E1179" s="196"/>
      <c r="F1179" s="196"/>
      <c r="G1179" s="196"/>
      <c r="H1179" s="196"/>
      <c r="I1179" s="196"/>
      <c r="J1179" s="196"/>
      <c r="K1179" s="196">
        <v>710638</v>
      </c>
      <c r="L1179" s="194">
        <v>0</v>
      </c>
      <c r="M1179" s="196">
        <v>0</v>
      </c>
      <c r="N1179" s="196">
        <v>0</v>
      </c>
      <c r="O1179" s="196">
        <v>0</v>
      </c>
      <c r="P1179" s="194">
        <v>0</v>
      </c>
      <c r="Q1179" s="196">
        <v>0</v>
      </c>
      <c r="R1179" s="196">
        <v>1359.5</v>
      </c>
      <c r="S1179" s="196">
        <v>1984319</v>
      </c>
      <c r="T1179" s="197">
        <v>0</v>
      </c>
      <c r="U1179" s="288">
        <v>0</v>
      </c>
      <c r="V1179" s="282">
        <f>C1179-'часть 1'!L1187</f>
        <v>1870567</v>
      </c>
      <c r="W1179" s="282"/>
      <c r="X1179" s="282"/>
      <c r="Y1179" s="12"/>
      <c r="Z1179" s="12"/>
      <c r="AA1179" s="12"/>
      <c r="AB1179" s="12"/>
      <c r="AC1179" s="12"/>
      <c r="AD1179" s="12"/>
      <c r="AE1179" s="12"/>
      <c r="AF1179" s="12"/>
      <c r="AG1179" s="12"/>
      <c r="AH1179" s="12"/>
      <c r="AI1179" s="296"/>
    </row>
    <row r="1180" spans="1:35">
      <c r="A1180" s="194">
        <v>127</v>
      </c>
      <c r="B1180" s="195" t="s">
        <v>367</v>
      </c>
      <c r="C1180" s="196">
        <v>580578</v>
      </c>
      <c r="D1180" s="196"/>
      <c r="E1180" s="196"/>
      <c r="F1180" s="196"/>
      <c r="G1180" s="196"/>
      <c r="H1180" s="196"/>
      <c r="I1180" s="196"/>
      <c r="J1180" s="196"/>
      <c r="K1180" s="196">
        <v>0</v>
      </c>
      <c r="L1180" s="194">
        <v>0</v>
      </c>
      <c r="M1180" s="196">
        <v>0</v>
      </c>
      <c r="N1180" s="196">
        <v>293.5</v>
      </c>
      <c r="O1180" s="196">
        <v>580578</v>
      </c>
      <c r="P1180" s="194">
        <v>0</v>
      </c>
      <c r="Q1180" s="196">
        <v>0</v>
      </c>
      <c r="R1180" s="197">
        <v>0</v>
      </c>
      <c r="S1180" s="196">
        <v>0</v>
      </c>
      <c r="T1180" s="197">
        <v>0</v>
      </c>
      <c r="U1180" s="288">
        <v>0</v>
      </c>
      <c r="V1180" s="282">
        <f>C1180-'часть 1'!L1188</f>
        <v>-2080611</v>
      </c>
      <c r="W1180" s="282"/>
      <c r="X1180" s="282"/>
      <c r="Y1180" s="12"/>
      <c r="Z1180" s="12"/>
      <c r="AA1180" s="12"/>
      <c r="AB1180" s="12"/>
      <c r="AC1180" s="12"/>
      <c r="AD1180" s="12"/>
      <c r="AE1180" s="12"/>
      <c r="AF1180" s="12"/>
      <c r="AG1180" s="12"/>
      <c r="AH1180" s="12"/>
      <c r="AI1180" s="296"/>
    </row>
    <row r="1181" spans="1:35">
      <c r="A1181" s="194">
        <v>128</v>
      </c>
      <c r="B1181" s="195" t="s">
        <v>464</v>
      </c>
      <c r="C1181" s="196">
        <v>615357</v>
      </c>
      <c r="D1181" s="196"/>
      <c r="E1181" s="196"/>
      <c r="F1181" s="196"/>
      <c r="G1181" s="196"/>
      <c r="H1181" s="196"/>
      <c r="I1181" s="196"/>
      <c r="J1181" s="196"/>
      <c r="K1181" s="196">
        <v>0</v>
      </c>
      <c r="L1181" s="194">
        <v>0</v>
      </c>
      <c r="M1181" s="196">
        <v>0</v>
      </c>
      <c r="N1181" s="196">
        <v>301</v>
      </c>
      <c r="O1181" s="196">
        <v>615357</v>
      </c>
      <c r="P1181" s="194">
        <v>0</v>
      </c>
      <c r="Q1181" s="196">
        <v>0</v>
      </c>
      <c r="R1181" s="197">
        <v>0</v>
      </c>
      <c r="S1181" s="196">
        <v>0</v>
      </c>
      <c r="T1181" s="197">
        <v>0</v>
      </c>
      <c r="U1181" s="288">
        <v>0</v>
      </c>
      <c r="V1181" s="282">
        <f>C1181-'часть 1'!L1189</f>
        <v>337137</v>
      </c>
      <c r="W1181" s="282"/>
      <c r="X1181" s="28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296"/>
    </row>
    <row r="1182" spans="1:35">
      <c r="A1182" s="194">
        <v>129</v>
      </c>
      <c r="B1182" s="195" t="s">
        <v>385</v>
      </c>
      <c r="C1182" s="196">
        <v>269948.13</v>
      </c>
      <c r="D1182" s="196"/>
      <c r="E1182" s="196"/>
      <c r="F1182" s="196"/>
      <c r="G1182" s="196"/>
      <c r="H1182" s="196"/>
      <c r="I1182" s="196"/>
      <c r="J1182" s="196"/>
      <c r="K1182" s="196">
        <v>269948.13</v>
      </c>
      <c r="L1182" s="194">
        <v>0</v>
      </c>
      <c r="M1182" s="196">
        <v>0</v>
      </c>
      <c r="N1182" s="196">
        <v>0</v>
      </c>
      <c r="O1182" s="196">
        <v>0</v>
      </c>
      <c r="P1182" s="194">
        <v>0</v>
      </c>
      <c r="Q1182" s="196">
        <v>0</v>
      </c>
      <c r="R1182" s="197">
        <v>0</v>
      </c>
      <c r="S1182" s="196">
        <v>0</v>
      </c>
      <c r="T1182" s="197">
        <v>0</v>
      </c>
      <c r="U1182" s="288">
        <v>0</v>
      </c>
      <c r="V1182" s="282">
        <f>C1182-'часть 1'!L1190</f>
        <v>-2241523.87</v>
      </c>
      <c r="W1182" s="282"/>
      <c r="X1182" s="28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296"/>
    </row>
    <row r="1183" spans="1:35">
      <c r="A1183" s="194">
        <v>130</v>
      </c>
      <c r="B1183" s="195" t="s">
        <v>238</v>
      </c>
      <c r="C1183" s="196">
        <v>807980</v>
      </c>
      <c r="D1183" s="196"/>
      <c r="E1183" s="196"/>
      <c r="F1183" s="196"/>
      <c r="G1183" s="196"/>
      <c r="H1183" s="196"/>
      <c r="I1183" s="196"/>
      <c r="J1183" s="196"/>
      <c r="K1183" s="196">
        <v>0</v>
      </c>
      <c r="L1183" s="194">
        <v>0</v>
      </c>
      <c r="M1183" s="196">
        <v>0</v>
      </c>
      <c r="N1183" s="196">
        <v>400</v>
      </c>
      <c r="O1183" s="196">
        <v>807980</v>
      </c>
      <c r="P1183" s="194">
        <v>0</v>
      </c>
      <c r="Q1183" s="196">
        <v>0</v>
      </c>
      <c r="R1183" s="200">
        <v>0</v>
      </c>
      <c r="S1183" s="196">
        <v>0</v>
      </c>
      <c r="T1183" s="197">
        <v>0</v>
      </c>
      <c r="U1183" s="288">
        <v>0</v>
      </c>
      <c r="V1183" s="282">
        <f>C1183-'часть 1'!L1191</f>
        <v>-64008</v>
      </c>
      <c r="W1183" s="282"/>
      <c r="X1183" s="28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296"/>
    </row>
    <row r="1184" spans="1:35">
      <c r="A1184" s="194">
        <v>131</v>
      </c>
      <c r="B1184" s="195" t="s">
        <v>273</v>
      </c>
      <c r="C1184" s="196">
        <v>661525</v>
      </c>
      <c r="D1184" s="196"/>
      <c r="E1184" s="196"/>
      <c r="F1184" s="196"/>
      <c r="G1184" s="196"/>
      <c r="H1184" s="196"/>
      <c r="I1184" s="196"/>
      <c r="J1184" s="196"/>
      <c r="K1184" s="196">
        <v>0</v>
      </c>
      <c r="L1184" s="194">
        <v>0</v>
      </c>
      <c r="M1184" s="196">
        <v>0</v>
      </c>
      <c r="N1184" s="196">
        <v>325</v>
      </c>
      <c r="O1184" s="199">
        <v>661525</v>
      </c>
      <c r="P1184" s="194">
        <v>0</v>
      </c>
      <c r="Q1184" s="196">
        <v>0</v>
      </c>
      <c r="R1184" s="197">
        <v>0</v>
      </c>
      <c r="S1184" s="196">
        <v>0</v>
      </c>
      <c r="T1184" s="197">
        <v>0</v>
      </c>
      <c r="U1184" s="288">
        <v>0</v>
      </c>
      <c r="V1184" s="282">
        <f>C1184-'часть 1'!L1192</f>
        <v>-1451810</v>
      </c>
      <c r="W1184" s="282"/>
      <c r="X1184" s="28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296"/>
    </row>
    <row r="1185" spans="1:35">
      <c r="A1185" s="198">
        <v>132</v>
      </c>
      <c r="B1185" s="195" t="s">
        <v>297</v>
      </c>
      <c r="C1185" s="196">
        <v>3719885</v>
      </c>
      <c r="D1185" s="196"/>
      <c r="E1185" s="196"/>
      <c r="F1185" s="196"/>
      <c r="G1185" s="196"/>
      <c r="H1185" s="196"/>
      <c r="I1185" s="196"/>
      <c r="J1185" s="196"/>
      <c r="K1185" s="196">
        <v>0</v>
      </c>
      <c r="L1185" s="194">
        <v>2</v>
      </c>
      <c r="M1185" s="196">
        <v>3719885</v>
      </c>
      <c r="N1185" s="196">
        <v>0</v>
      </c>
      <c r="O1185" s="196">
        <v>0</v>
      </c>
      <c r="P1185" s="194">
        <v>0</v>
      </c>
      <c r="Q1185" s="196">
        <v>0</v>
      </c>
      <c r="R1185" s="197">
        <v>0</v>
      </c>
      <c r="S1185" s="196">
        <v>0</v>
      </c>
      <c r="T1185" s="197">
        <v>0</v>
      </c>
      <c r="U1185" s="288">
        <v>0</v>
      </c>
      <c r="V1185" s="282">
        <f>C1185-'часть 1'!L1193</f>
        <v>2723300</v>
      </c>
      <c r="W1185" s="282"/>
      <c r="X1185" s="28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296"/>
    </row>
    <row r="1186" spans="1:35">
      <c r="A1186" s="198">
        <v>133</v>
      </c>
      <c r="B1186" s="195" t="s">
        <v>263</v>
      </c>
      <c r="C1186" s="196">
        <v>1726391</v>
      </c>
      <c r="D1186" s="196"/>
      <c r="E1186" s="196"/>
      <c r="F1186" s="196"/>
      <c r="G1186" s="196"/>
      <c r="H1186" s="196"/>
      <c r="I1186" s="196"/>
      <c r="J1186" s="196"/>
      <c r="K1186" s="196">
        <v>0</v>
      </c>
      <c r="L1186" s="194">
        <v>0</v>
      </c>
      <c r="M1186" s="196">
        <v>0</v>
      </c>
      <c r="N1186" s="196">
        <v>866.8</v>
      </c>
      <c r="O1186" s="196">
        <v>1726391</v>
      </c>
      <c r="P1186" s="194">
        <v>0</v>
      </c>
      <c r="Q1186" s="196">
        <v>0</v>
      </c>
      <c r="R1186" s="197">
        <v>0</v>
      </c>
      <c r="S1186" s="196">
        <v>0</v>
      </c>
      <c r="T1186" s="197">
        <v>0</v>
      </c>
      <c r="U1186" s="288">
        <v>0</v>
      </c>
      <c r="V1186" s="282">
        <f>C1186-'часть 1'!L1194</f>
        <v>1088652</v>
      </c>
      <c r="W1186" s="282"/>
      <c r="X1186" s="28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296"/>
    </row>
    <row r="1187" spans="1:35">
      <c r="A1187" s="198">
        <v>134</v>
      </c>
      <c r="B1187" s="195" t="s">
        <v>235</v>
      </c>
      <c r="C1187" s="196">
        <v>1521754</v>
      </c>
      <c r="D1187" s="196"/>
      <c r="E1187" s="196"/>
      <c r="F1187" s="196"/>
      <c r="G1187" s="196"/>
      <c r="H1187" s="196"/>
      <c r="I1187" s="196"/>
      <c r="J1187" s="196"/>
      <c r="K1187" s="196">
        <v>0</v>
      </c>
      <c r="L1187" s="194">
        <v>0</v>
      </c>
      <c r="M1187" s="196">
        <v>0</v>
      </c>
      <c r="N1187" s="196">
        <v>430</v>
      </c>
      <c r="O1187" s="196">
        <v>866735</v>
      </c>
      <c r="P1187" s="194">
        <v>0</v>
      </c>
      <c r="Q1187" s="196">
        <v>0</v>
      </c>
      <c r="R1187" s="196">
        <v>449</v>
      </c>
      <c r="S1187" s="196">
        <v>655019</v>
      </c>
      <c r="T1187" s="197">
        <v>0</v>
      </c>
      <c r="U1187" s="288">
        <v>0</v>
      </c>
      <c r="V1187" s="282">
        <f>C1187-'часть 1'!L1195</f>
        <v>164537</v>
      </c>
      <c r="W1187" s="282"/>
      <c r="X1187" s="28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296"/>
    </row>
    <row r="1188" spans="1:35">
      <c r="A1188" s="198">
        <v>135</v>
      </c>
      <c r="B1188" s="195" t="s">
        <v>227</v>
      </c>
      <c r="C1188" s="196">
        <v>671505</v>
      </c>
      <c r="D1188" s="196"/>
      <c r="E1188" s="196"/>
      <c r="F1188" s="196"/>
      <c r="G1188" s="196"/>
      <c r="H1188" s="196"/>
      <c r="I1188" s="196"/>
      <c r="J1188" s="196"/>
      <c r="K1188" s="196" t="e">
        <f>#REF!</f>
        <v>#REF!</v>
      </c>
      <c r="L1188" s="194">
        <v>0</v>
      </c>
      <c r="M1188" s="196">
        <v>0</v>
      </c>
      <c r="N1188" s="196">
        <v>0</v>
      </c>
      <c r="O1188" s="196">
        <v>0</v>
      </c>
      <c r="P1188" s="194">
        <v>0</v>
      </c>
      <c r="Q1188" s="196">
        <v>0</v>
      </c>
      <c r="R1188" s="196">
        <v>404.5</v>
      </c>
      <c r="S1188" s="196">
        <v>591227</v>
      </c>
      <c r="T1188" s="197">
        <v>0</v>
      </c>
      <c r="U1188" s="288">
        <v>0</v>
      </c>
      <c r="V1188" s="282">
        <f>C1188-'часть 1'!L1196</f>
        <v>-164721</v>
      </c>
      <c r="W1188" s="282"/>
      <c r="X1188" s="282"/>
      <c r="Y1188" s="12"/>
      <c r="Z1188" s="274"/>
      <c r="AA1188" s="12"/>
      <c r="AB1188" s="12"/>
      <c r="AC1188" s="12"/>
      <c r="AD1188" s="12"/>
      <c r="AE1188" s="12"/>
      <c r="AF1188" s="12"/>
      <c r="AG1188" s="12"/>
      <c r="AH1188" s="12"/>
      <c r="AI1188" s="296"/>
    </row>
    <row r="1189" spans="1:35">
      <c r="A1189" s="198">
        <v>136</v>
      </c>
      <c r="B1189" s="195" t="s">
        <v>339</v>
      </c>
      <c r="C1189" s="196">
        <v>1081718</v>
      </c>
      <c r="D1189" s="196"/>
      <c r="E1189" s="196"/>
      <c r="F1189" s="196"/>
      <c r="G1189" s="196"/>
      <c r="H1189" s="196"/>
      <c r="I1189" s="196"/>
      <c r="J1189" s="196"/>
      <c r="K1189" s="196">
        <v>0</v>
      </c>
      <c r="L1189" s="194">
        <v>0</v>
      </c>
      <c r="M1189" s="196">
        <v>0</v>
      </c>
      <c r="N1189" s="196">
        <v>531.70000000000005</v>
      </c>
      <c r="O1189" s="196">
        <v>1081718</v>
      </c>
      <c r="P1189" s="194">
        <v>0</v>
      </c>
      <c r="Q1189" s="196">
        <v>0</v>
      </c>
      <c r="R1189" s="197">
        <v>0</v>
      </c>
      <c r="S1189" s="196">
        <v>0</v>
      </c>
      <c r="T1189" s="197">
        <v>0</v>
      </c>
      <c r="U1189" s="288">
        <v>0</v>
      </c>
      <c r="V1189" s="282">
        <f>C1189-'часть 1'!L1197</f>
        <v>441640</v>
      </c>
      <c r="W1189" s="282"/>
      <c r="X1189" s="28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296"/>
    </row>
    <row r="1190" spans="1:35">
      <c r="A1190" s="198">
        <v>137</v>
      </c>
      <c r="B1190" s="195" t="s">
        <v>231</v>
      </c>
      <c r="C1190" s="196">
        <v>206635</v>
      </c>
      <c r="D1190" s="196"/>
      <c r="E1190" s="196"/>
      <c r="F1190" s="196"/>
      <c r="G1190" s="196"/>
      <c r="H1190" s="196"/>
      <c r="I1190" s="196"/>
      <c r="J1190" s="196"/>
      <c r="K1190" s="196">
        <v>206635</v>
      </c>
      <c r="L1190" s="194">
        <v>0</v>
      </c>
      <c r="M1190" s="196">
        <v>0</v>
      </c>
      <c r="N1190" s="196">
        <v>0</v>
      </c>
      <c r="O1190" s="196">
        <v>0</v>
      </c>
      <c r="P1190" s="194">
        <v>0</v>
      </c>
      <c r="Q1190" s="196">
        <v>0</v>
      </c>
      <c r="R1190" s="197">
        <v>0</v>
      </c>
      <c r="S1190" s="196">
        <v>0</v>
      </c>
      <c r="T1190" s="197">
        <v>0</v>
      </c>
      <c r="U1190" s="288">
        <v>0</v>
      </c>
      <c r="V1190" s="282">
        <f>C1190-'часть 1'!L1198</f>
        <v>3986</v>
      </c>
      <c r="W1190" s="282"/>
      <c r="X1190" s="28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296"/>
    </row>
    <row r="1191" spans="1:35">
      <c r="A1191" s="198">
        <v>138</v>
      </c>
      <c r="B1191" s="195" t="s">
        <v>300</v>
      </c>
      <c r="C1191" s="196">
        <v>1044081.04</v>
      </c>
      <c r="D1191" s="196"/>
      <c r="E1191" s="196"/>
      <c r="F1191" s="196"/>
      <c r="G1191" s="196"/>
      <c r="H1191" s="196"/>
      <c r="I1191" s="196"/>
      <c r="J1191" s="196"/>
      <c r="K1191" s="196">
        <v>0</v>
      </c>
      <c r="L1191" s="194">
        <v>0</v>
      </c>
      <c r="M1191" s="196">
        <v>0</v>
      </c>
      <c r="N1191" s="196">
        <v>516.5</v>
      </c>
      <c r="O1191" s="196">
        <v>1044081.04</v>
      </c>
      <c r="P1191" s="194">
        <v>0</v>
      </c>
      <c r="Q1191" s="196">
        <v>0</v>
      </c>
      <c r="R1191" s="200">
        <v>0</v>
      </c>
      <c r="S1191" s="196">
        <v>0</v>
      </c>
      <c r="T1191" s="197">
        <v>0</v>
      </c>
      <c r="U1191" s="288">
        <v>0</v>
      </c>
      <c r="V1191" s="282">
        <f>C1191-'часть 1'!L1199</f>
        <v>-6848355.96</v>
      </c>
      <c r="W1191" s="282"/>
      <c r="X1191" s="282"/>
      <c r="Y1191" s="12"/>
      <c r="Z1191" s="12"/>
      <c r="AA1191" s="12"/>
      <c r="AB1191" s="12"/>
      <c r="AC1191" s="12"/>
      <c r="AD1191" s="12"/>
      <c r="AE1191" s="12"/>
      <c r="AF1191" s="12"/>
      <c r="AG1191" s="12"/>
      <c r="AH1191" s="12"/>
      <c r="AI1191" s="296"/>
    </row>
    <row r="1192" spans="1:35">
      <c r="A1192" s="198">
        <v>139</v>
      </c>
      <c r="B1192" s="195" t="s">
        <v>283</v>
      </c>
      <c r="C1192" s="196">
        <v>1340000</v>
      </c>
      <c r="D1192" s="196"/>
      <c r="E1192" s="196"/>
      <c r="F1192" s="196"/>
      <c r="G1192" s="196"/>
      <c r="H1192" s="196"/>
      <c r="I1192" s="196"/>
      <c r="J1192" s="196"/>
      <c r="K1192" s="196">
        <v>1340000</v>
      </c>
      <c r="L1192" s="194">
        <v>0</v>
      </c>
      <c r="M1192" s="196">
        <v>0</v>
      </c>
      <c r="N1192" s="196">
        <v>0</v>
      </c>
      <c r="O1192" s="196">
        <v>0</v>
      </c>
      <c r="P1192" s="194">
        <v>0</v>
      </c>
      <c r="Q1192" s="196">
        <v>0</v>
      </c>
      <c r="R1192" s="197">
        <v>0</v>
      </c>
      <c r="S1192" s="196">
        <v>0</v>
      </c>
      <c r="T1192" s="197">
        <v>0</v>
      </c>
      <c r="U1192" s="288">
        <v>0</v>
      </c>
      <c r="V1192" s="282">
        <f>C1192-'часть 1'!L1200</f>
        <v>816611</v>
      </c>
      <c r="W1192" s="282"/>
      <c r="X1192" s="28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296"/>
    </row>
    <row r="1193" spans="1:35">
      <c r="A1193" s="198">
        <v>140</v>
      </c>
      <c r="B1193" s="195" t="s">
        <v>450</v>
      </c>
      <c r="C1193" s="196">
        <v>2294529</v>
      </c>
      <c r="D1193" s="196"/>
      <c r="E1193" s="196"/>
      <c r="F1193" s="196"/>
      <c r="G1193" s="196"/>
      <c r="H1193" s="196"/>
      <c r="I1193" s="196"/>
      <c r="J1193" s="196"/>
      <c r="K1193" s="196">
        <v>0</v>
      </c>
      <c r="L1193" s="194">
        <v>0</v>
      </c>
      <c r="M1193" s="196">
        <v>0</v>
      </c>
      <c r="N1193" s="196">
        <v>1162</v>
      </c>
      <c r="O1193" s="196">
        <v>2294529</v>
      </c>
      <c r="P1193" s="194">
        <v>0</v>
      </c>
      <c r="Q1193" s="196">
        <v>0</v>
      </c>
      <c r="R1193" s="197">
        <v>0</v>
      </c>
      <c r="S1193" s="196">
        <v>0</v>
      </c>
      <c r="T1193" s="197">
        <v>0</v>
      </c>
      <c r="U1193" s="288">
        <v>0</v>
      </c>
      <c r="V1193" s="282">
        <f>C1193-'часть 1'!L1201</f>
        <v>1255609</v>
      </c>
      <c r="W1193" s="282"/>
      <c r="X1193" s="28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296"/>
    </row>
    <row r="1194" spans="1:35">
      <c r="A1194" s="198">
        <v>141</v>
      </c>
      <c r="B1194" s="195" t="s">
        <v>230</v>
      </c>
      <c r="C1194" s="196">
        <v>2615616.2000000002</v>
      </c>
      <c r="D1194" s="196"/>
      <c r="E1194" s="196"/>
      <c r="F1194" s="196"/>
      <c r="G1194" s="196"/>
      <c r="H1194" s="196"/>
      <c r="I1194" s="196"/>
      <c r="J1194" s="196"/>
      <c r="K1194" s="196">
        <v>0</v>
      </c>
      <c r="L1194" s="194">
        <v>0</v>
      </c>
      <c r="M1194" s="196">
        <v>0</v>
      </c>
      <c r="N1194" s="196">
        <v>0</v>
      </c>
      <c r="O1194" s="196">
        <v>0</v>
      </c>
      <c r="P1194" s="194">
        <v>0</v>
      </c>
      <c r="Q1194" s="196">
        <v>0</v>
      </c>
      <c r="R1194" s="196">
        <v>2540</v>
      </c>
      <c r="S1194" s="196">
        <v>2615616.2000000002</v>
      </c>
      <c r="T1194" s="197">
        <v>0</v>
      </c>
      <c r="U1194" s="288">
        <v>0</v>
      </c>
      <c r="V1194" s="282">
        <f>C1194-'часть 1'!L1202</f>
        <v>873063.20000000019</v>
      </c>
      <c r="W1194" s="282"/>
      <c r="X1194" s="28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296"/>
    </row>
    <row r="1195" spans="1:35">
      <c r="A1195" s="198">
        <v>142</v>
      </c>
      <c r="B1195" s="195" t="s">
        <v>295</v>
      </c>
      <c r="C1195" s="196">
        <v>1561539</v>
      </c>
      <c r="D1195" s="196"/>
      <c r="E1195" s="196"/>
      <c r="F1195" s="196"/>
      <c r="G1195" s="196"/>
      <c r="H1195" s="196"/>
      <c r="I1195" s="196"/>
      <c r="J1195" s="196"/>
      <c r="K1195" s="196">
        <v>0</v>
      </c>
      <c r="L1195" s="194">
        <v>0</v>
      </c>
      <c r="M1195" s="196">
        <v>0</v>
      </c>
      <c r="N1195" s="196">
        <v>787.85</v>
      </c>
      <c r="O1195" s="196">
        <v>1561539</v>
      </c>
      <c r="P1195" s="201">
        <v>0</v>
      </c>
      <c r="Q1195" s="196">
        <v>0</v>
      </c>
      <c r="R1195" s="200">
        <v>0</v>
      </c>
      <c r="S1195" s="196">
        <v>0</v>
      </c>
      <c r="T1195" s="197">
        <v>0</v>
      </c>
      <c r="U1195" s="288">
        <v>0</v>
      </c>
      <c r="V1195" s="282">
        <f>C1195-'часть 1'!L1203</f>
        <v>-563042</v>
      </c>
      <c r="W1195" s="282"/>
      <c r="X1195" s="28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296"/>
    </row>
    <row r="1196" spans="1:35">
      <c r="A1196" s="198">
        <v>143</v>
      </c>
      <c r="B1196" s="195" t="s">
        <v>294</v>
      </c>
      <c r="C1196" s="196">
        <v>1421187</v>
      </c>
      <c r="D1196" s="196"/>
      <c r="E1196" s="196"/>
      <c r="F1196" s="196"/>
      <c r="G1196" s="196"/>
      <c r="H1196" s="196"/>
      <c r="I1196" s="196"/>
      <c r="J1196" s="196"/>
      <c r="K1196" s="196">
        <v>0</v>
      </c>
      <c r="L1196" s="194">
        <v>0</v>
      </c>
      <c r="M1196" s="196">
        <v>0</v>
      </c>
      <c r="N1196" s="196">
        <v>687</v>
      </c>
      <c r="O1196" s="199">
        <v>1421187</v>
      </c>
      <c r="P1196" s="194">
        <v>0</v>
      </c>
      <c r="Q1196" s="196">
        <v>0</v>
      </c>
      <c r="R1196" s="200">
        <v>0</v>
      </c>
      <c r="S1196" s="196">
        <v>0</v>
      </c>
      <c r="T1196" s="197">
        <v>0</v>
      </c>
      <c r="U1196" s="288">
        <v>0</v>
      </c>
      <c r="V1196" s="282">
        <f>C1196-'часть 1'!L1204</f>
        <v>-926291</v>
      </c>
      <c r="W1196" s="282"/>
      <c r="X1196" s="28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296"/>
    </row>
    <row r="1197" spans="1:35">
      <c r="A1197" s="198">
        <v>144</v>
      </c>
      <c r="B1197" s="195" t="s">
        <v>270</v>
      </c>
      <c r="C1197" s="196">
        <v>2469740</v>
      </c>
      <c r="D1197" s="196"/>
      <c r="E1197" s="196"/>
      <c r="F1197" s="196"/>
      <c r="G1197" s="196"/>
      <c r="H1197" s="196"/>
      <c r="I1197" s="196"/>
      <c r="J1197" s="196"/>
      <c r="K1197" s="196">
        <v>757154</v>
      </c>
      <c r="L1197" s="194">
        <v>0</v>
      </c>
      <c r="M1197" s="196">
        <v>0</v>
      </c>
      <c r="N1197" s="196">
        <v>868.1</v>
      </c>
      <c r="O1197" s="196">
        <v>1712586</v>
      </c>
      <c r="P1197" s="194">
        <v>0</v>
      </c>
      <c r="Q1197" s="196">
        <v>0</v>
      </c>
      <c r="R1197" s="197">
        <v>0</v>
      </c>
      <c r="S1197" s="196">
        <v>0</v>
      </c>
      <c r="T1197" s="197">
        <v>0</v>
      </c>
      <c r="U1197" s="288">
        <v>0</v>
      </c>
      <c r="V1197" s="282">
        <f>C1197-'часть 1'!L1205</f>
        <v>1268</v>
      </c>
      <c r="W1197" s="282"/>
      <c r="X1197" s="28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296"/>
    </row>
    <row r="1198" spans="1:35">
      <c r="A1198" s="198">
        <v>145</v>
      </c>
      <c r="B1198" s="195" t="s">
        <v>252</v>
      </c>
      <c r="C1198" s="196">
        <v>1104857</v>
      </c>
      <c r="D1198" s="196"/>
      <c r="E1198" s="196"/>
      <c r="F1198" s="196"/>
      <c r="G1198" s="196"/>
      <c r="H1198" s="196"/>
      <c r="I1198" s="196"/>
      <c r="J1198" s="196"/>
      <c r="K1198" s="196">
        <v>0</v>
      </c>
      <c r="L1198" s="194">
        <v>0</v>
      </c>
      <c r="M1198" s="196">
        <v>0</v>
      </c>
      <c r="N1198" s="196">
        <v>545.6</v>
      </c>
      <c r="O1198" s="196">
        <v>1104857</v>
      </c>
      <c r="P1198" s="194">
        <v>0</v>
      </c>
      <c r="Q1198" s="196">
        <v>0</v>
      </c>
      <c r="R1198" s="200">
        <v>0</v>
      </c>
      <c r="S1198" s="196">
        <v>0</v>
      </c>
      <c r="T1198" s="197">
        <v>0</v>
      </c>
      <c r="U1198" s="288">
        <v>0</v>
      </c>
      <c r="V1198" s="282">
        <f>C1198-'часть 1'!L1206</f>
        <v>-507923</v>
      </c>
      <c r="W1198" s="282"/>
      <c r="X1198" s="28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296"/>
    </row>
    <row r="1199" spans="1:35">
      <c r="A1199" s="198">
        <v>146</v>
      </c>
      <c r="B1199" s="195" t="s">
        <v>304</v>
      </c>
      <c r="C1199" s="196">
        <v>1877378</v>
      </c>
      <c r="D1199" s="196"/>
      <c r="E1199" s="196"/>
      <c r="F1199" s="196"/>
      <c r="G1199" s="196"/>
      <c r="H1199" s="196"/>
      <c r="I1199" s="196"/>
      <c r="J1199" s="196"/>
      <c r="K1199" s="196">
        <v>0</v>
      </c>
      <c r="L1199" s="194">
        <v>1</v>
      </c>
      <c r="M1199" s="199">
        <v>1877378</v>
      </c>
      <c r="N1199" s="196">
        <v>0</v>
      </c>
      <c r="O1199" s="196">
        <v>0</v>
      </c>
      <c r="P1199" s="194">
        <v>0</v>
      </c>
      <c r="Q1199" s="196">
        <v>0</v>
      </c>
      <c r="R1199" s="197">
        <v>0</v>
      </c>
      <c r="S1199" s="196">
        <v>0</v>
      </c>
      <c r="T1199" s="197">
        <v>0</v>
      </c>
      <c r="U1199" s="288">
        <v>0</v>
      </c>
      <c r="V1199" s="282">
        <f>C1199-'часть 1'!L1207</f>
        <v>-703041</v>
      </c>
      <c r="W1199" s="282"/>
      <c r="X1199" s="28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296"/>
    </row>
    <row r="1200" spans="1:35">
      <c r="A1200" s="198">
        <v>147</v>
      </c>
      <c r="B1200" s="195" t="s">
        <v>228</v>
      </c>
      <c r="C1200" s="196">
        <v>2945836</v>
      </c>
      <c r="D1200" s="196"/>
      <c r="E1200" s="196"/>
      <c r="F1200" s="196"/>
      <c r="G1200" s="196"/>
      <c r="H1200" s="196"/>
      <c r="I1200" s="196"/>
      <c r="J1200" s="196"/>
      <c r="K1200" s="196" t="e">
        <f>#REF!</f>
        <v>#REF!</v>
      </c>
      <c r="L1200" s="194">
        <v>0</v>
      </c>
      <c r="M1200" s="196">
        <v>0</v>
      </c>
      <c r="N1200" s="196">
        <v>0</v>
      </c>
      <c r="O1200" s="196">
        <v>0</v>
      </c>
      <c r="P1200" s="194">
        <v>0</v>
      </c>
      <c r="Q1200" s="196">
        <v>0</v>
      </c>
      <c r="R1200" s="197">
        <v>0</v>
      </c>
      <c r="S1200" s="196">
        <v>0</v>
      </c>
      <c r="T1200" s="197">
        <v>0</v>
      </c>
      <c r="U1200" s="288">
        <v>0</v>
      </c>
      <c r="V1200" s="282">
        <f>C1200-'часть 1'!L1208</f>
        <v>1264191</v>
      </c>
      <c r="W1200" s="282"/>
      <c r="X1200" s="282"/>
      <c r="Y1200" s="12"/>
      <c r="Z1200" s="12"/>
      <c r="AA1200" s="12"/>
      <c r="AB1200" s="274"/>
      <c r="AC1200" s="12"/>
      <c r="AD1200" s="12"/>
      <c r="AE1200" s="12"/>
      <c r="AF1200" s="274"/>
      <c r="AG1200" s="12"/>
      <c r="AH1200" s="12"/>
      <c r="AI1200" s="296"/>
    </row>
    <row r="1201" spans="1:35">
      <c r="A1201" s="198">
        <v>148</v>
      </c>
      <c r="B1201" s="195" t="s">
        <v>225</v>
      </c>
      <c r="C1201" s="196">
        <v>1118494</v>
      </c>
      <c r="D1201" s="196"/>
      <c r="E1201" s="196"/>
      <c r="F1201" s="196"/>
      <c r="G1201" s="196"/>
      <c r="H1201" s="196"/>
      <c r="I1201" s="196"/>
      <c r="J1201" s="196"/>
      <c r="K1201" s="196">
        <v>1118494</v>
      </c>
      <c r="L1201" s="194">
        <v>0</v>
      </c>
      <c r="M1201" s="196">
        <v>0</v>
      </c>
      <c r="N1201" s="199">
        <v>0</v>
      </c>
      <c r="O1201" s="196">
        <v>0</v>
      </c>
      <c r="P1201" s="194">
        <v>0</v>
      </c>
      <c r="Q1201" s="196">
        <v>0</v>
      </c>
      <c r="R1201" s="200">
        <v>0</v>
      </c>
      <c r="S1201" s="196">
        <v>0</v>
      </c>
      <c r="T1201" s="197">
        <v>0</v>
      </c>
      <c r="U1201" s="288">
        <v>0</v>
      </c>
      <c r="V1201" s="282">
        <f>C1201-'часть 1'!L1209</f>
        <v>-200386</v>
      </c>
      <c r="W1201" s="282"/>
      <c r="X1201" s="28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296"/>
    </row>
    <row r="1202" spans="1:35">
      <c r="A1202" s="198">
        <v>149</v>
      </c>
      <c r="B1202" s="195" t="s">
        <v>232</v>
      </c>
      <c r="C1202" s="196">
        <v>2540427</v>
      </c>
      <c r="D1202" s="196"/>
      <c r="E1202" s="196"/>
      <c r="F1202" s="196"/>
      <c r="G1202" s="196"/>
      <c r="H1202" s="196"/>
      <c r="I1202" s="196"/>
      <c r="J1202" s="196"/>
      <c r="K1202" s="196">
        <v>0</v>
      </c>
      <c r="L1202" s="194">
        <v>0</v>
      </c>
      <c r="M1202" s="196">
        <v>0</v>
      </c>
      <c r="N1202" s="196">
        <v>592</v>
      </c>
      <c r="O1202" s="196">
        <v>1201460</v>
      </c>
      <c r="P1202" s="194">
        <v>0</v>
      </c>
      <c r="Q1202" s="196">
        <v>0</v>
      </c>
      <c r="R1202" s="196">
        <v>922</v>
      </c>
      <c r="S1202" s="196">
        <v>1338967</v>
      </c>
      <c r="T1202" s="197">
        <v>0</v>
      </c>
      <c r="U1202" s="288">
        <v>0</v>
      </c>
      <c r="V1202" s="282">
        <f>C1202-'часть 1'!L1210</f>
        <v>974082</v>
      </c>
      <c r="W1202" s="282"/>
      <c r="X1202" s="28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296"/>
    </row>
    <row r="1203" spans="1:35">
      <c r="A1203" s="198">
        <v>150</v>
      </c>
      <c r="B1203" s="195" t="s">
        <v>275</v>
      </c>
      <c r="C1203" s="196">
        <v>2253297</v>
      </c>
      <c r="D1203" s="196"/>
      <c r="E1203" s="196"/>
      <c r="F1203" s="196"/>
      <c r="G1203" s="196"/>
      <c r="H1203" s="196"/>
      <c r="I1203" s="196"/>
      <c r="J1203" s="196"/>
      <c r="K1203" s="196">
        <v>0</v>
      </c>
      <c r="L1203" s="194">
        <v>0</v>
      </c>
      <c r="M1203" s="196">
        <v>0</v>
      </c>
      <c r="N1203" s="196">
        <v>1126</v>
      </c>
      <c r="O1203" s="196">
        <v>2253297</v>
      </c>
      <c r="P1203" s="194">
        <v>0</v>
      </c>
      <c r="Q1203" s="196">
        <v>0</v>
      </c>
      <c r="R1203" s="197">
        <v>0</v>
      </c>
      <c r="S1203" s="196">
        <v>0</v>
      </c>
      <c r="T1203" s="197">
        <v>0</v>
      </c>
      <c r="U1203" s="288">
        <v>0</v>
      </c>
      <c r="V1203" s="282">
        <f>C1203-'часть 1'!L1211</f>
        <v>343209</v>
      </c>
      <c r="W1203" s="282"/>
      <c r="X1203" s="282"/>
      <c r="Y1203" s="12"/>
      <c r="Z1203" s="12"/>
      <c r="AA1203" s="12"/>
      <c r="AB1203" s="12"/>
      <c r="AC1203" s="12"/>
      <c r="AD1203" s="12"/>
      <c r="AE1203" s="12"/>
      <c r="AF1203" s="12"/>
      <c r="AG1203" s="12"/>
      <c r="AH1203" s="12"/>
      <c r="AI1203" s="296"/>
    </row>
    <row r="1204" spans="1:35" s="278" customFormat="1">
      <c r="A1204" s="194">
        <v>151</v>
      </c>
      <c r="B1204" s="195" t="s">
        <v>286</v>
      </c>
      <c r="C1204" s="196">
        <v>1390061</v>
      </c>
      <c r="D1204" s="196"/>
      <c r="E1204" s="196"/>
      <c r="F1204" s="196"/>
      <c r="G1204" s="196"/>
      <c r="H1204" s="196"/>
      <c r="I1204" s="196"/>
      <c r="J1204" s="196"/>
      <c r="K1204" s="196" t="e">
        <f>#REF!</f>
        <v>#REF!</v>
      </c>
      <c r="L1204" s="194">
        <v>0</v>
      </c>
      <c r="M1204" s="196">
        <v>0</v>
      </c>
      <c r="N1204" s="196">
        <v>0</v>
      </c>
      <c r="O1204" s="196">
        <v>0</v>
      </c>
      <c r="P1204" s="194">
        <v>0</v>
      </c>
      <c r="Q1204" s="196">
        <v>0</v>
      </c>
      <c r="R1204" s="197">
        <v>0</v>
      </c>
      <c r="S1204" s="196">
        <v>0</v>
      </c>
      <c r="T1204" s="197">
        <v>0</v>
      </c>
      <c r="U1204" s="288">
        <v>0</v>
      </c>
      <c r="V1204" s="282">
        <f>C1204-'часть 1'!L1212</f>
        <v>-1304896</v>
      </c>
      <c r="W1204" s="282"/>
      <c r="X1204" s="282"/>
      <c r="Y1204" s="277"/>
      <c r="Z1204" s="277"/>
      <c r="AA1204" s="277"/>
      <c r="AB1204" s="277"/>
      <c r="AC1204" s="277"/>
      <c r="AD1204" s="277"/>
      <c r="AE1204" s="277"/>
      <c r="AF1204" s="277"/>
      <c r="AG1204" s="277"/>
      <c r="AH1204" s="277"/>
      <c r="AI1204" s="298"/>
    </row>
    <row r="1205" spans="1:35" ht="30">
      <c r="A1205" s="198">
        <v>152</v>
      </c>
      <c r="B1205" s="195" t="s">
        <v>342</v>
      </c>
      <c r="C1205" s="196">
        <v>3213804</v>
      </c>
      <c r="D1205" s="196"/>
      <c r="E1205" s="196"/>
      <c r="F1205" s="196"/>
      <c r="G1205" s="196"/>
      <c r="H1205" s="196"/>
      <c r="I1205" s="196"/>
      <c r="J1205" s="196"/>
      <c r="K1205" s="196">
        <v>846948</v>
      </c>
      <c r="L1205" s="194">
        <v>0</v>
      </c>
      <c r="M1205" s="196">
        <v>0</v>
      </c>
      <c r="N1205" s="196">
        <v>1200</v>
      </c>
      <c r="O1205" s="196">
        <v>2366856</v>
      </c>
      <c r="P1205" s="194">
        <v>0</v>
      </c>
      <c r="Q1205" s="196">
        <v>0</v>
      </c>
      <c r="R1205" s="197">
        <v>0</v>
      </c>
      <c r="S1205" s="196">
        <v>0</v>
      </c>
      <c r="T1205" s="197">
        <v>0</v>
      </c>
      <c r="U1205" s="288">
        <v>0</v>
      </c>
      <c r="V1205" s="282">
        <f>C1205-'часть 1'!L1213</f>
        <v>2633226</v>
      </c>
      <c r="W1205" s="282"/>
      <c r="X1205" s="28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296"/>
    </row>
    <row r="1206" spans="1:35">
      <c r="A1206" s="198">
        <v>153</v>
      </c>
      <c r="B1206" s="195" t="s">
        <v>298</v>
      </c>
      <c r="C1206" s="196">
        <v>3202371</v>
      </c>
      <c r="D1206" s="196"/>
      <c r="E1206" s="196"/>
      <c r="F1206" s="196"/>
      <c r="G1206" s="196"/>
      <c r="H1206" s="196"/>
      <c r="I1206" s="196"/>
      <c r="J1206" s="196"/>
      <c r="K1206" s="196">
        <v>0</v>
      </c>
      <c r="L1206" s="194">
        <v>0</v>
      </c>
      <c r="M1206" s="196">
        <v>0</v>
      </c>
      <c r="N1206" s="196">
        <v>0</v>
      </c>
      <c r="O1206" s="196">
        <v>0</v>
      </c>
      <c r="P1206" s="194">
        <v>0</v>
      </c>
      <c r="Q1206" s="196">
        <v>0</v>
      </c>
      <c r="R1206" s="196">
        <v>2220.83</v>
      </c>
      <c r="S1206" s="196">
        <v>3202371</v>
      </c>
      <c r="T1206" s="197">
        <v>0</v>
      </c>
      <c r="U1206" s="288">
        <v>0</v>
      </c>
      <c r="V1206" s="282">
        <f>C1206-'часть 1'!L1214</f>
        <v>2587014</v>
      </c>
      <c r="W1206" s="282"/>
      <c r="X1206" s="28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296"/>
    </row>
    <row r="1207" spans="1:35">
      <c r="A1207" s="198">
        <v>154</v>
      </c>
      <c r="B1207" s="195" t="s">
        <v>253</v>
      </c>
      <c r="C1207" s="196">
        <v>709022</v>
      </c>
      <c r="D1207" s="196"/>
      <c r="E1207" s="196"/>
      <c r="F1207" s="196"/>
      <c r="G1207" s="196"/>
      <c r="H1207" s="196"/>
      <c r="I1207" s="196"/>
      <c r="J1207" s="196"/>
      <c r="K1207" s="196">
        <v>0</v>
      </c>
      <c r="L1207" s="194">
        <v>0</v>
      </c>
      <c r="M1207" s="196">
        <v>0</v>
      </c>
      <c r="N1207" s="196">
        <v>0</v>
      </c>
      <c r="O1207" s="196">
        <v>0</v>
      </c>
      <c r="P1207" s="194">
        <v>0</v>
      </c>
      <c r="Q1207" s="196">
        <v>0</v>
      </c>
      <c r="R1207" s="196">
        <v>486.6</v>
      </c>
      <c r="S1207" s="199">
        <v>709022</v>
      </c>
      <c r="T1207" s="197">
        <v>0</v>
      </c>
      <c r="U1207" s="288">
        <v>0</v>
      </c>
      <c r="V1207" s="282">
        <f>C1207-'часть 1'!L1215</f>
        <v>439073.87</v>
      </c>
      <c r="W1207" s="282"/>
      <c r="X1207" s="28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296"/>
    </row>
    <row r="1208" spans="1:35">
      <c r="A1208" s="194">
        <v>155</v>
      </c>
      <c r="B1208" s="195" t="s">
        <v>260</v>
      </c>
      <c r="C1208" s="196">
        <v>1136930</v>
      </c>
      <c r="D1208" s="196"/>
      <c r="E1208" s="196"/>
      <c r="F1208" s="196"/>
      <c r="G1208" s="196"/>
      <c r="H1208" s="196"/>
      <c r="I1208" s="196"/>
      <c r="J1208" s="196"/>
      <c r="K1208" s="196">
        <v>0</v>
      </c>
      <c r="L1208" s="194">
        <v>0</v>
      </c>
      <c r="M1208" s="196">
        <v>0</v>
      </c>
      <c r="N1208" s="196">
        <v>278</v>
      </c>
      <c r="O1208" s="196">
        <v>570382</v>
      </c>
      <c r="P1208" s="194">
        <v>0</v>
      </c>
      <c r="Q1208" s="196">
        <v>0</v>
      </c>
      <c r="R1208" s="196">
        <v>386.88</v>
      </c>
      <c r="S1208" s="196">
        <v>566548</v>
      </c>
      <c r="T1208" s="197">
        <v>0</v>
      </c>
      <c r="U1208" s="288">
        <v>0</v>
      </c>
      <c r="V1208" s="282">
        <f>C1208-'часть 1'!L1216</f>
        <v>328950</v>
      </c>
      <c r="W1208" s="282"/>
      <c r="X1208" s="28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296"/>
    </row>
    <row r="1209" spans="1:35">
      <c r="A1209" s="198">
        <v>156</v>
      </c>
      <c r="B1209" s="195" t="s">
        <v>349</v>
      </c>
      <c r="C1209" s="196">
        <v>1320636</v>
      </c>
      <c r="D1209" s="196"/>
      <c r="E1209" s="196"/>
      <c r="F1209" s="196"/>
      <c r="G1209" s="196"/>
      <c r="H1209" s="196"/>
      <c r="I1209" s="196"/>
      <c r="J1209" s="196"/>
      <c r="K1209" s="196">
        <v>0</v>
      </c>
      <c r="L1209" s="194">
        <v>0</v>
      </c>
      <c r="M1209" s="196">
        <v>0</v>
      </c>
      <c r="N1209" s="203">
        <v>662</v>
      </c>
      <c r="O1209" s="199">
        <v>1320636</v>
      </c>
      <c r="P1209" s="194">
        <v>0</v>
      </c>
      <c r="Q1209" s="196">
        <v>0</v>
      </c>
      <c r="R1209" s="197">
        <v>0</v>
      </c>
      <c r="S1209" s="196">
        <v>0</v>
      </c>
      <c r="T1209" s="197">
        <v>0</v>
      </c>
      <c r="U1209" s="288">
        <v>0</v>
      </c>
      <c r="V1209" s="282">
        <f>C1209-'часть 1'!L1217</f>
        <v>659111</v>
      </c>
      <c r="W1209" s="282"/>
      <c r="X1209" s="28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296"/>
    </row>
    <row r="1210" spans="1:35">
      <c r="A1210" s="198">
        <v>157</v>
      </c>
      <c r="B1210" s="195" t="s">
        <v>302</v>
      </c>
      <c r="C1210" s="196">
        <v>4265098</v>
      </c>
      <c r="D1210" s="196"/>
      <c r="E1210" s="196"/>
      <c r="F1210" s="196"/>
      <c r="G1210" s="196"/>
      <c r="H1210" s="196"/>
      <c r="I1210" s="196"/>
      <c r="J1210" s="196"/>
      <c r="K1210" s="196">
        <v>0</v>
      </c>
      <c r="L1210" s="194">
        <v>0</v>
      </c>
      <c r="M1210" s="196">
        <v>0</v>
      </c>
      <c r="N1210" s="196">
        <v>0</v>
      </c>
      <c r="O1210" s="196">
        <v>0</v>
      </c>
      <c r="P1210" s="194">
        <v>0</v>
      </c>
      <c r="Q1210" s="196">
        <v>0</v>
      </c>
      <c r="R1210" s="196">
        <v>2927.5</v>
      </c>
      <c r="S1210" s="196">
        <v>4265098</v>
      </c>
      <c r="T1210" s="197">
        <v>0</v>
      </c>
      <c r="U1210" s="288">
        <v>0</v>
      </c>
      <c r="V1210" s="282">
        <f>C1210-'часть 1'!L1218</f>
        <v>545213</v>
      </c>
      <c r="W1210" s="282"/>
      <c r="X1210" s="28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296"/>
    </row>
    <row r="1211" spans="1:35">
      <c r="A1211" s="198">
        <v>158</v>
      </c>
      <c r="B1211" s="195" t="s">
        <v>341</v>
      </c>
      <c r="C1211" s="196">
        <v>2115890</v>
      </c>
      <c r="D1211" s="196"/>
      <c r="E1211" s="196"/>
      <c r="F1211" s="196"/>
      <c r="G1211" s="196"/>
      <c r="H1211" s="196"/>
      <c r="I1211" s="196"/>
      <c r="J1211" s="196"/>
      <c r="K1211" s="196">
        <v>2115890</v>
      </c>
      <c r="L1211" s="194">
        <v>0</v>
      </c>
      <c r="M1211" s="196">
        <v>0</v>
      </c>
      <c r="N1211" s="196">
        <v>0</v>
      </c>
      <c r="O1211" s="196">
        <v>0</v>
      </c>
      <c r="P1211" s="194">
        <v>0</v>
      </c>
      <c r="Q1211" s="196">
        <v>0</v>
      </c>
      <c r="R1211" s="197">
        <v>0</v>
      </c>
      <c r="S1211" s="196">
        <v>0</v>
      </c>
      <c r="T1211" s="197">
        <v>0</v>
      </c>
      <c r="U1211" s="288">
        <v>0</v>
      </c>
      <c r="V1211" s="282">
        <f>C1211-'часть 1'!L1219</f>
        <v>389499</v>
      </c>
      <c r="W1211" s="282"/>
      <c r="X1211" s="28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296"/>
    </row>
    <row r="1212" spans="1:35">
      <c r="A1212" s="198">
        <v>159</v>
      </c>
      <c r="B1212" s="195" t="s">
        <v>242</v>
      </c>
      <c r="C1212" s="196">
        <v>482251.51</v>
      </c>
      <c r="D1212" s="196"/>
      <c r="E1212" s="196"/>
      <c r="F1212" s="196"/>
      <c r="G1212" s="196"/>
      <c r="H1212" s="196"/>
      <c r="I1212" s="196"/>
      <c r="J1212" s="196"/>
      <c r="K1212" s="196">
        <v>482251.51</v>
      </c>
      <c r="L1212" s="194">
        <v>0</v>
      </c>
      <c r="M1212" s="196">
        <v>0</v>
      </c>
      <c r="N1212" s="196">
        <v>0</v>
      </c>
      <c r="O1212" s="196">
        <v>0</v>
      </c>
      <c r="P1212" s="194">
        <v>0</v>
      </c>
      <c r="Q1212" s="196">
        <v>0</v>
      </c>
      <c r="R1212" s="197">
        <v>0</v>
      </c>
      <c r="S1212" s="196">
        <v>0</v>
      </c>
      <c r="T1212" s="197">
        <v>0</v>
      </c>
      <c r="U1212" s="288">
        <v>0</v>
      </c>
      <c r="V1212" s="282">
        <f>C1212-'часть 1'!L1220</f>
        <v>-1039502.49</v>
      </c>
      <c r="W1212" s="282"/>
      <c r="X1212" s="28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296"/>
    </row>
    <row r="1213" spans="1:35">
      <c r="A1213" s="198">
        <v>160</v>
      </c>
      <c r="B1213" s="195" t="s">
        <v>279</v>
      </c>
      <c r="C1213" s="196">
        <v>1018040.92</v>
      </c>
      <c r="D1213" s="196"/>
      <c r="E1213" s="196"/>
      <c r="F1213" s="196"/>
      <c r="G1213" s="196"/>
      <c r="H1213" s="196"/>
      <c r="I1213" s="196"/>
      <c r="J1213" s="196"/>
      <c r="K1213" s="196">
        <v>0</v>
      </c>
      <c r="L1213" s="194">
        <v>0</v>
      </c>
      <c r="M1213" s="196">
        <v>0</v>
      </c>
      <c r="N1213" s="196">
        <v>516.5</v>
      </c>
      <c r="O1213" s="196">
        <v>1018040.92</v>
      </c>
      <c r="P1213" s="194">
        <v>0</v>
      </c>
      <c r="Q1213" s="196">
        <v>0</v>
      </c>
      <c r="R1213" s="197">
        <v>0</v>
      </c>
      <c r="S1213" s="196">
        <v>0</v>
      </c>
      <c r="T1213" s="197">
        <v>0</v>
      </c>
      <c r="U1213" s="288">
        <v>0</v>
      </c>
      <c r="V1213" s="282">
        <f>C1213-'часть 1'!L1221</f>
        <v>346535.92000000004</v>
      </c>
      <c r="W1213" s="282"/>
      <c r="X1213" s="28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296"/>
    </row>
    <row r="1214" spans="1:35">
      <c r="A1214" s="198">
        <v>161</v>
      </c>
      <c r="B1214" s="195" t="s">
        <v>262</v>
      </c>
      <c r="C1214" s="196">
        <v>1871554</v>
      </c>
      <c r="D1214" s="196"/>
      <c r="E1214" s="196"/>
      <c r="F1214" s="196"/>
      <c r="G1214" s="196"/>
      <c r="H1214" s="196"/>
      <c r="I1214" s="196"/>
      <c r="J1214" s="196"/>
      <c r="K1214" s="196">
        <v>0</v>
      </c>
      <c r="L1214" s="194">
        <v>1</v>
      </c>
      <c r="M1214" s="196">
        <v>1871554</v>
      </c>
      <c r="N1214" s="196">
        <v>0</v>
      </c>
      <c r="O1214" s="196">
        <v>0</v>
      </c>
      <c r="P1214" s="194">
        <v>0</v>
      </c>
      <c r="Q1214" s="196">
        <v>0</v>
      </c>
      <c r="R1214" s="197">
        <v>0</v>
      </c>
      <c r="S1214" s="196">
        <v>0</v>
      </c>
      <c r="T1214" s="197">
        <v>0</v>
      </c>
      <c r="U1214" s="288">
        <v>0</v>
      </c>
      <c r="V1214" s="282">
        <f>C1214-'часть 1'!L1222</f>
        <v>789836</v>
      </c>
      <c r="W1214" s="282"/>
      <c r="X1214" s="28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296"/>
    </row>
    <row r="1215" spans="1:35">
      <c r="A1215" s="198">
        <v>162</v>
      </c>
      <c r="B1215" s="195" t="s">
        <v>290</v>
      </c>
      <c r="C1215" s="196">
        <v>2652530</v>
      </c>
      <c r="D1215" s="196"/>
      <c r="E1215" s="196"/>
      <c r="F1215" s="196"/>
      <c r="G1215" s="196"/>
      <c r="H1215" s="196"/>
      <c r="I1215" s="196"/>
      <c r="J1215" s="196"/>
      <c r="K1215" s="196">
        <v>2652530</v>
      </c>
      <c r="L1215" s="194">
        <v>0</v>
      </c>
      <c r="M1215" s="196">
        <v>0</v>
      </c>
      <c r="N1215" s="199">
        <v>0</v>
      </c>
      <c r="O1215" s="196">
        <v>0</v>
      </c>
      <c r="P1215" s="194">
        <v>0</v>
      </c>
      <c r="Q1215" s="196">
        <v>0</v>
      </c>
      <c r="R1215" s="200">
        <v>0</v>
      </c>
      <c r="S1215" s="196">
        <v>0</v>
      </c>
      <c r="T1215" s="197">
        <v>0</v>
      </c>
      <c r="U1215" s="288">
        <v>0</v>
      </c>
      <c r="V1215" s="282">
        <f>C1215-'часть 1'!L1223</f>
        <v>2445895</v>
      </c>
      <c r="W1215" s="282"/>
      <c r="X1215" s="282"/>
      <c r="Y1215" s="12"/>
      <c r="Z1215" s="12"/>
      <c r="AA1215" s="12"/>
      <c r="AB1215" s="12"/>
      <c r="AC1215" s="12"/>
      <c r="AD1215" s="12"/>
      <c r="AE1215" s="12"/>
      <c r="AF1215" s="12"/>
      <c r="AG1215" s="12"/>
      <c r="AH1215" s="12"/>
      <c r="AI1215" s="296"/>
    </row>
    <row r="1216" spans="1:35">
      <c r="A1216" s="198">
        <v>163</v>
      </c>
      <c r="B1216" s="195" t="s">
        <v>356</v>
      </c>
      <c r="C1216" s="196">
        <v>3645969</v>
      </c>
      <c r="D1216" s="196"/>
      <c r="E1216" s="196"/>
      <c r="F1216" s="196"/>
      <c r="G1216" s="196"/>
      <c r="H1216" s="196"/>
      <c r="I1216" s="196"/>
      <c r="J1216" s="196"/>
      <c r="K1216" s="196" t="e">
        <f>#REF!</f>
        <v>#REF!</v>
      </c>
      <c r="L1216" s="194">
        <v>0</v>
      </c>
      <c r="M1216" s="196">
        <v>0</v>
      </c>
      <c r="N1216" s="196">
        <v>0</v>
      </c>
      <c r="O1216" s="196">
        <v>0</v>
      </c>
      <c r="P1216" s="194">
        <v>0</v>
      </c>
      <c r="Q1216" s="196">
        <v>0</v>
      </c>
      <c r="R1216" s="200">
        <v>0</v>
      </c>
      <c r="S1216" s="196">
        <v>0</v>
      </c>
      <c r="T1216" s="197">
        <v>0</v>
      </c>
      <c r="U1216" s="288">
        <v>0</v>
      </c>
      <c r="V1216" s="282">
        <f>C1216-'часть 1'!L1224</f>
        <v>2601887.96</v>
      </c>
      <c r="W1216" s="282"/>
      <c r="X1216" s="282"/>
      <c r="Y1216" s="12"/>
      <c r="Z1216" s="12"/>
      <c r="AA1216" s="12"/>
      <c r="AB1216" s="12"/>
      <c r="AC1216" s="4"/>
      <c r="AD1216" s="12"/>
      <c r="AE1216" s="12"/>
      <c r="AF1216" s="12"/>
      <c r="AG1216" s="12"/>
      <c r="AH1216" s="12"/>
      <c r="AI1216" s="296"/>
    </row>
    <row r="1217" spans="1:35">
      <c r="A1217" s="198">
        <v>164</v>
      </c>
      <c r="B1217" s="195" t="s">
        <v>354</v>
      </c>
      <c r="C1217" s="196">
        <v>771330</v>
      </c>
      <c r="D1217" s="196"/>
      <c r="E1217" s="196"/>
      <c r="F1217" s="196"/>
      <c r="G1217" s="196"/>
      <c r="H1217" s="196"/>
      <c r="I1217" s="196"/>
      <c r="J1217" s="196"/>
      <c r="K1217" s="196">
        <v>0</v>
      </c>
      <c r="L1217" s="194">
        <v>0</v>
      </c>
      <c r="M1217" s="196">
        <v>0</v>
      </c>
      <c r="N1217" s="196">
        <v>376</v>
      </c>
      <c r="O1217" s="196">
        <v>771330</v>
      </c>
      <c r="P1217" s="194">
        <v>0</v>
      </c>
      <c r="Q1217" s="196">
        <v>0</v>
      </c>
      <c r="R1217" s="197">
        <v>0</v>
      </c>
      <c r="S1217" s="196">
        <v>0</v>
      </c>
      <c r="T1217" s="197">
        <v>0</v>
      </c>
      <c r="U1217" s="288">
        <v>0</v>
      </c>
      <c r="V1217" s="282">
        <f>C1217-'часть 1'!L1225</f>
        <v>-568670</v>
      </c>
      <c r="W1217" s="282"/>
      <c r="X1217" s="28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296"/>
    </row>
    <row r="1218" spans="1:35">
      <c r="A1218" s="198">
        <v>165</v>
      </c>
      <c r="B1218" s="195" t="s">
        <v>352</v>
      </c>
      <c r="C1218" s="196">
        <v>1894719</v>
      </c>
      <c r="D1218" s="196"/>
      <c r="E1218" s="196"/>
      <c r="F1218" s="196"/>
      <c r="G1218" s="196"/>
      <c r="H1218" s="196"/>
      <c r="I1218" s="196"/>
      <c r="J1218" s="196"/>
      <c r="K1218" s="196">
        <v>0</v>
      </c>
      <c r="L1218" s="194">
        <v>1</v>
      </c>
      <c r="M1218" s="196">
        <v>1894719</v>
      </c>
      <c r="N1218" s="196">
        <v>0</v>
      </c>
      <c r="O1218" s="196">
        <v>0</v>
      </c>
      <c r="P1218" s="194">
        <v>0</v>
      </c>
      <c r="Q1218" s="196">
        <v>0</v>
      </c>
      <c r="R1218" s="197">
        <v>0</v>
      </c>
      <c r="S1218" s="196">
        <v>0</v>
      </c>
      <c r="T1218" s="197">
        <v>0</v>
      </c>
      <c r="U1218" s="288">
        <v>0</v>
      </c>
      <c r="V1218" s="282">
        <f>C1218-'часть 1'!L1226</f>
        <v>-399810</v>
      </c>
      <c r="W1218" s="282"/>
      <c r="X1218" s="28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296"/>
    </row>
    <row r="1219" spans="1:35">
      <c r="A1219" s="198">
        <v>166</v>
      </c>
      <c r="B1219" s="195" t="s">
        <v>355</v>
      </c>
      <c r="C1219" s="196">
        <v>1492412</v>
      </c>
      <c r="D1219" s="196"/>
      <c r="E1219" s="196"/>
      <c r="F1219" s="196"/>
      <c r="G1219" s="196"/>
      <c r="H1219" s="196"/>
      <c r="I1219" s="196"/>
      <c r="J1219" s="196"/>
      <c r="K1219" s="196">
        <v>0</v>
      </c>
      <c r="L1219" s="194">
        <v>0</v>
      </c>
      <c r="M1219" s="196">
        <v>0</v>
      </c>
      <c r="N1219" s="196">
        <v>752</v>
      </c>
      <c r="O1219" s="196">
        <v>1492412</v>
      </c>
      <c r="P1219" s="194">
        <v>0</v>
      </c>
      <c r="Q1219" s="196">
        <v>0</v>
      </c>
      <c r="R1219" s="197">
        <v>0</v>
      </c>
      <c r="S1219" s="196">
        <v>0</v>
      </c>
      <c r="T1219" s="197">
        <v>0</v>
      </c>
      <c r="U1219" s="288">
        <v>0</v>
      </c>
      <c r="V1219" s="282">
        <f>C1219-'часть 1'!L1227</f>
        <v>-1123204.2000000002</v>
      </c>
      <c r="W1219" s="282"/>
      <c r="X1219" s="28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296"/>
    </row>
    <row r="1220" spans="1:35">
      <c r="A1220" s="198">
        <v>167</v>
      </c>
      <c r="B1220" s="195" t="s">
        <v>318</v>
      </c>
      <c r="C1220" s="196">
        <v>651523.25</v>
      </c>
      <c r="D1220" s="196"/>
      <c r="E1220" s="196"/>
      <c r="F1220" s="196"/>
      <c r="G1220" s="196"/>
      <c r="H1220" s="196"/>
      <c r="I1220" s="196"/>
      <c r="J1220" s="196"/>
      <c r="K1220" s="196">
        <v>651523.25</v>
      </c>
      <c r="L1220" s="194">
        <v>0</v>
      </c>
      <c r="M1220" s="196">
        <v>0</v>
      </c>
      <c r="N1220" s="199">
        <v>0</v>
      </c>
      <c r="O1220" s="196">
        <v>0</v>
      </c>
      <c r="P1220" s="194">
        <v>0</v>
      </c>
      <c r="Q1220" s="196">
        <v>0</v>
      </c>
      <c r="R1220" s="200">
        <v>0</v>
      </c>
      <c r="S1220" s="196">
        <v>0</v>
      </c>
      <c r="T1220" s="197">
        <v>0</v>
      </c>
      <c r="U1220" s="288">
        <v>0</v>
      </c>
      <c r="V1220" s="282">
        <f>C1220-'часть 1'!L1228</f>
        <v>-910015.75</v>
      </c>
      <c r="W1220" s="282"/>
      <c r="X1220" s="28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296"/>
    </row>
    <row r="1221" spans="1:35" ht="15.75" thickBot="1">
      <c r="A1221" s="198">
        <v>168</v>
      </c>
      <c r="B1221" s="195" t="s">
        <v>353</v>
      </c>
      <c r="C1221" s="196">
        <v>1221424.83</v>
      </c>
      <c r="D1221" s="196"/>
      <c r="E1221" s="196"/>
      <c r="F1221" s="196"/>
      <c r="G1221" s="196"/>
      <c r="H1221" s="196"/>
      <c r="I1221" s="196"/>
      <c r="J1221" s="196"/>
      <c r="K1221" s="196">
        <v>0</v>
      </c>
      <c r="L1221" s="194">
        <v>0</v>
      </c>
      <c r="M1221" s="196">
        <v>0</v>
      </c>
      <c r="N1221" s="196">
        <v>640</v>
      </c>
      <c r="O1221" s="196">
        <v>1221424.83</v>
      </c>
      <c r="P1221" s="194">
        <v>0</v>
      </c>
      <c r="Q1221" s="196">
        <v>0</v>
      </c>
      <c r="R1221" s="200">
        <v>0</v>
      </c>
      <c r="S1221" s="196">
        <v>0</v>
      </c>
      <c r="T1221" s="197">
        <v>0</v>
      </c>
      <c r="U1221" s="288">
        <v>0</v>
      </c>
      <c r="V1221" s="282">
        <f>C1221-'часть 1'!L1229</f>
        <v>-199762.16999999993</v>
      </c>
      <c r="W1221" s="282"/>
      <c r="X1221" s="282"/>
      <c r="Y1221" s="65"/>
      <c r="Z1221" s="12"/>
      <c r="AA1221" s="65"/>
      <c r="AB1221" s="12"/>
      <c r="AC1221" s="65"/>
      <c r="AD1221" s="12"/>
      <c r="AE1221" s="65"/>
      <c r="AF1221" s="12"/>
      <c r="AG1221" s="65"/>
      <c r="AH1221" s="12"/>
      <c r="AI1221" s="299"/>
    </row>
    <row r="1222" spans="1:35" ht="31.5" customHeight="1">
      <c r="A1222" s="198"/>
      <c r="B1222" s="195" t="s">
        <v>91</v>
      </c>
      <c r="C1222" s="196">
        <f>C1223+C1224+C1225+C1226+C1227+C1228+C1229+C1230+C1231+C1232+C1233</f>
        <v>20085822.140000001</v>
      </c>
      <c r="D1222" s="196">
        <f t="shared" ref="D1222:U1222" si="184">D1223+D1224+D1225+D1226+D1227+D1228+D1229+D1230+D1231+D1232+D1233</f>
        <v>0</v>
      </c>
      <c r="E1222" s="196">
        <f t="shared" si="184"/>
        <v>0</v>
      </c>
      <c r="F1222" s="196">
        <f t="shared" si="184"/>
        <v>0</v>
      </c>
      <c r="G1222" s="196">
        <f t="shared" si="184"/>
        <v>0</v>
      </c>
      <c r="H1222" s="196">
        <f t="shared" si="184"/>
        <v>0</v>
      </c>
      <c r="I1222" s="196">
        <f t="shared" si="184"/>
        <v>0</v>
      </c>
      <c r="J1222" s="196">
        <f t="shared" si="184"/>
        <v>0</v>
      </c>
      <c r="K1222" s="196">
        <f t="shared" si="184"/>
        <v>0</v>
      </c>
      <c r="L1222" s="196">
        <f t="shared" si="184"/>
        <v>0</v>
      </c>
      <c r="M1222" s="196">
        <f t="shared" si="184"/>
        <v>0</v>
      </c>
      <c r="N1222" s="196">
        <f t="shared" si="184"/>
        <v>6378.11</v>
      </c>
      <c r="O1222" s="196">
        <f t="shared" si="184"/>
        <v>20085822.140000001</v>
      </c>
      <c r="P1222" s="196">
        <f t="shared" si="184"/>
        <v>0</v>
      </c>
      <c r="Q1222" s="196">
        <f t="shared" si="184"/>
        <v>0</v>
      </c>
      <c r="R1222" s="196">
        <f t="shared" si="184"/>
        <v>0</v>
      </c>
      <c r="S1222" s="196">
        <f t="shared" si="184"/>
        <v>0</v>
      </c>
      <c r="T1222" s="196">
        <f t="shared" si="184"/>
        <v>0</v>
      </c>
      <c r="U1222" s="196">
        <f t="shared" si="184"/>
        <v>0</v>
      </c>
      <c r="V1222" s="282"/>
      <c r="W1222" s="282"/>
      <c r="X1222" s="282"/>
    </row>
    <row r="1223" spans="1:35" ht="15.75">
      <c r="A1223" s="198">
        <v>169</v>
      </c>
      <c r="B1223" s="941" t="s">
        <v>963</v>
      </c>
      <c r="C1223" s="196">
        <f>'часть 1'!L1256</f>
        <v>568539.85</v>
      </c>
      <c r="D1223" s="196">
        <v>0</v>
      </c>
      <c r="E1223" s="196">
        <v>0</v>
      </c>
      <c r="F1223" s="196">
        <v>0</v>
      </c>
      <c r="G1223" s="196">
        <v>0</v>
      </c>
      <c r="H1223" s="196">
        <v>0</v>
      </c>
      <c r="I1223" s="196">
        <v>0</v>
      </c>
      <c r="J1223" s="196">
        <v>0</v>
      </c>
      <c r="K1223" s="196">
        <v>0</v>
      </c>
      <c r="L1223" s="207">
        <v>0</v>
      </c>
      <c r="M1223" s="199">
        <v>0</v>
      </c>
      <c r="N1223" s="199">
        <v>311</v>
      </c>
      <c r="O1223" s="199">
        <f>C1223</f>
        <v>568539.85</v>
      </c>
      <c r="P1223" s="208">
        <v>0</v>
      </c>
      <c r="Q1223" s="199">
        <v>0</v>
      </c>
      <c r="R1223" s="200">
        <v>0</v>
      </c>
      <c r="S1223" s="209">
        <v>0</v>
      </c>
      <c r="T1223" s="208">
        <v>0</v>
      </c>
      <c r="U1223" s="289">
        <v>0</v>
      </c>
      <c r="V1223" s="282"/>
      <c r="W1223" s="282">
        <f>O1223/N1223</f>
        <v>1828.1024115755627</v>
      </c>
      <c r="X1223" s="282"/>
    </row>
    <row r="1224" spans="1:35" ht="15.75">
      <c r="A1224" s="198">
        <v>170</v>
      </c>
      <c r="B1224" s="941" t="s">
        <v>964</v>
      </c>
      <c r="C1224" s="196">
        <f>'часть 1'!L1257</f>
        <v>690413</v>
      </c>
      <c r="D1224" s="196">
        <v>0</v>
      </c>
      <c r="E1224" s="196">
        <v>0</v>
      </c>
      <c r="F1224" s="196">
        <v>0</v>
      </c>
      <c r="G1224" s="196">
        <v>0</v>
      </c>
      <c r="H1224" s="196">
        <v>0</v>
      </c>
      <c r="I1224" s="196">
        <v>0</v>
      </c>
      <c r="J1224" s="196">
        <v>0</v>
      </c>
      <c r="K1224" s="196">
        <v>0</v>
      </c>
      <c r="L1224" s="207">
        <v>0</v>
      </c>
      <c r="M1224" s="199">
        <v>0</v>
      </c>
      <c r="N1224" s="199">
        <v>214.48</v>
      </c>
      <c r="O1224" s="199">
        <f t="shared" ref="O1224:O1233" si="185">C1224</f>
        <v>690413</v>
      </c>
      <c r="P1224" s="208">
        <v>0</v>
      </c>
      <c r="Q1224" s="199">
        <v>0</v>
      </c>
      <c r="R1224" s="200">
        <v>0</v>
      </c>
      <c r="S1224" s="209">
        <v>0</v>
      </c>
      <c r="T1224" s="208">
        <v>0</v>
      </c>
      <c r="U1224" s="289">
        <v>0</v>
      </c>
      <c r="V1224" s="282"/>
      <c r="W1224" s="282">
        <f t="shared" ref="W1224:W1233" si="186">O1224/N1224</f>
        <v>3219.0087653860501</v>
      </c>
      <c r="X1224" s="282"/>
    </row>
    <row r="1225" spans="1:35" ht="15.75">
      <c r="A1225" s="198">
        <v>171</v>
      </c>
      <c r="B1225" s="941" t="s">
        <v>965</v>
      </c>
      <c r="C1225" s="196">
        <f>'часть 1'!L1258</f>
        <v>1677206</v>
      </c>
      <c r="D1225" s="196">
        <v>0</v>
      </c>
      <c r="E1225" s="196">
        <v>0</v>
      </c>
      <c r="F1225" s="196">
        <v>0</v>
      </c>
      <c r="G1225" s="196">
        <v>0</v>
      </c>
      <c r="H1225" s="196">
        <v>0</v>
      </c>
      <c r="I1225" s="196">
        <v>0</v>
      </c>
      <c r="J1225" s="196">
        <v>0</v>
      </c>
      <c r="K1225" s="196">
        <v>0</v>
      </c>
      <c r="L1225" s="207">
        <v>0</v>
      </c>
      <c r="M1225" s="199">
        <v>0</v>
      </c>
      <c r="N1225" s="199">
        <v>525</v>
      </c>
      <c r="O1225" s="199">
        <f t="shared" si="185"/>
        <v>1677206</v>
      </c>
      <c r="P1225" s="208">
        <v>0</v>
      </c>
      <c r="Q1225" s="199">
        <v>0</v>
      </c>
      <c r="R1225" s="200">
        <v>0</v>
      </c>
      <c r="S1225" s="209">
        <v>0</v>
      </c>
      <c r="T1225" s="208">
        <v>0</v>
      </c>
      <c r="U1225" s="289">
        <v>0</v>
      </c>
      <c r="V1225" s="282"/>
      <c r="W1225" s="282">
        <f t="shared" si="186"/>
        <v>3194.678095238095</v>
      </c>
      <c r="X1225" s="282"/>
    </row>
    <row r="1226" spans="1:35" ht="15.75">
      <c r="A1226" s="198">
        <v>172</v>
      </c>
      <c r="B1226" s="941" t="s">
        <v>966</v>
      </c>
      <c r="C1226" s="196">
        <f>'часть 1'!L1259</f>
        <v>1912197</v>
      </c>
      <c r="D1226" s="196">
        <v>0</v>
      </c>
      <c r="E1226" s="196">
        <v>0</v>
      </c>
      <c r="F1226" s="196">
        <v>0</v>
      </c>
      <c r="G1226" s="196">
        <v>0</v>
      </c>
      <c r="H1226" s="196">
        <v>0</v>
      </c>
      <c r="I1226" s="196">
        <v>0</v>
      </c>
      <c r="J1226" s="196">
        <v>0</v>
      </c>
      <c r="K1226" s="196">
        <v>0</v>
      </c>
      <c r="L1226" s="207">
        <v>0</v>
      </c>
      <c r="M1226" s="199">
        <v>0</v>
      </c>
      <c r="N1226" s="199">
        <v>600</v>
      </c>
      <c r="O1226" s="199">
        <f t="shared" si="185"/>
        <v>1912197</v>
      </c>
      <c r="P1226" s="208">
        <v>0</v>
      </c>
      <c r="Q1226" s="199">
        <v>0</v>
      </c>
      <c r="R1226" s="200">
        <v>0</v>
      </c>
      <c r="S1226" s="209">
        <v>0</v>
      </c>
      <c r="T1226" s="208">
        <v>0</v>
      </c>
      <c r="U1226" s="289">
        <v>0</v>
      </c>
      <c r="V1226" s="282"/>
      <c r="W1226" s="282">
        <f t="shared" si="186"/>
        <v>3186.9949999999999</v>
      </c>
      <c r="X1226" s="282"/>
    </row>
    <row r="1227" spans="1:35" ht="15.75">
      <c r="A1227" s="198">
        <v>173</v>
      </c>
      <c r="B1227" s="941" t="s">
        <v>967</v>
      </c>
      <c r="C1227" s="196">
        <f>'часть 1'!L1260</f>
        <v>2920191</v>
      </c>
      <c r="D1227" s="196">
        <v>0</v>
      </c>
      <c r="E1227" s="196">
        <v>0</v>
      </c>
      <c r="F1227" s="196">
        <v>0</v>
      </c>
      <c r="G1227" s="196">
        <v>0</v>
      </c>
      <c r="H1227" s="196">
        <v>0</v>
      </c>
      <c r="I1227" s="196">
        <v>0</v>
      </c>
      <c r="J1227" s="196">
        <v>0</v>
      </c>
      <c r="K1227" s="196">
        <v>0</v>
      </c>
      <c r="L1227" s="207">
        <v>0</v>
      </c>
      <c r="M1227" s="199">
        <v>0</v>
      </c>
      <c r="N1227" s="199">
        <v>915</v>
      </c>
      <c r="O1227" s="199">
        <f t="shared" si="185"/>
        <v>2920191</v>
      </c>
      <c r="P1227" s="208">
        <v>0</v>
      </c>
      <c r="Q1227" s="199">
        <v>0</v>
      </c>
      <c r="R1227" s="200">
        <v>0</v>
      </c>
      <c r="S1227" s="209">
        <v>0</v>
      </c>
      <c r="T1227" s="208">
        <v>0</v>
      </c>
      <c r="U1227" s="289">
        <v>0</v>
      </c>
      <c r="V1227" s="282"/>
      <c r="W1227" s="282">
        <f t="shared" si="186"/>
        <v>3191.465573770492</v>
      </c>
      <c r="X1227" s="282"/>
    </row>
    <row r="1228" spans="1:35" ht="15.75">
      <c r="A1228" s="198">
        <v>174</v>
      </c>
      <c r="B1228" s="941" t="s">
        <v>968</v>
      </c>
      <c r="C1228" s="196">
        <f>'часть 1'!L1261</f>
        <v>1379030</v>
      </c>
      <c r="D1228" s="196">
        <v>0</v>
      </c>
      <c r="E1228" s="196">
        <v>0</v>
      </c>
      <c r="F1228" s="196">
        <v>0</v>
      </c>
      <c r="G1228" s="196">
        <v>0</v>
      </c>
      <c r="H1228" s="196">
        <v>0</v>
      </c>
      <c r="I1228" s="196">
        <v>0</v>
      </c>
      <c r="J1228" s="196">
        <v>0</v>
      </c>
      <c r="K1228" s="196">
        <v>0</v>
      </c>
      <c r="L1228" s="207">
        <v>0</v>
      </c>
      <c r="M1228" s="199">
        <v>0</v>
      </c>
      <c r="N1228" s="199">
        <v>430.15</v>
      </c>
      <c r="O1228" s="199">
        <f t="shared" si="185"/>
        <v>1379030</v>
      </c>
      <c r="P1228" s="208">
        <v>0</v>
      </c>
      <c r="Q1228" s="199">
        <v>0</v>
      </c>
      <c r="R1228" s="200">
        <v>0</v>
      </c>
      <c r="S1228" s="209">
        <v>0</v>
      </c>
      <c r="T1228" s="208">
        <v>0</v>
      </c>
      <c r="U1228" s="289">
        <v>0</v>
      </c>
      <c r="V1228" s="282"/>
      <c r="W1228" s="282">
        <f t="shared" si="186"/>
        <v>3205.9281645937467</v>
      </c>
      <c r="X1228" s="282"/>
    </row>
    <row r="1229" spans="1:35" ht="15.75">
      <c r="A1229" s="198"/>
      <c r="B1229" s="941" t="s">
        <v>969</v>
      </c>
      <c r="C1229" s="196">
        <f>'часть 1'!L1262</f>
        <v>1053343</v>
      </c>
      <c r="D1229" s="196">
        <v>0</v>
      </c>
      <c r="E1229" s="196">
        <v>0</v>
      </c>
      <c r="F1229" s="196">
        <v>0</v>
      </c>
      <c r="G1229" s="196">
        <v>0</v>
      </c>
      <c r="H1229" s="196">
        <v>0</v>
      </c>
      <c r="I1229" s="196">
        <v>0</v>
      </c>
      <c r="J1229" s="196">
        <v>0</v>
      </c>
      <c r="K1229" s="196">
        <v>0</v>
      </c>
      <c r="L1229" s="207">
        <v>0</v>
      </c>
      <c r="M1229" s="199">
        <v>0</v>
      </c>
      <c r="N1229" s="199">
        <v>327</v>
      </c>
      <c r="O1229" s="199">
        <f t="shared" si="185"/>
        <v>1053343</v>
      </c>
      <c r="P1229" s="208">
        <v>0</v>
      </c>
      <c r="Q1229" s="199">
        <v>0</v>
      </c>
      <c r="R1229" s="200">
        <v>0</v>
      </c>
      <c r="S1229" s="209">
        <v>0</v>
      </c>
      <c r="T1229" s="208">
        <v>0</v>
      </c>
      <c r="U1229" s="289">
        <v>0</v>
      </c>
      <c r="V1229" s="282"/>
      <c r="W1229" s="282">
        <f t="shared" si="186"/>
        <v>3221.2324159021405</v>
      </c>
      <c r="X1229" s="282"/>
    </row>
    <row r="1230" spans="1:35" ht="15.75">
      <c r="A1230" s="198"/>
      <c r="B1230" s="941" t="s">
        <v>970</v>
      </c>
      <c r="C1230" s="196">
        <f>'часть 1'!L1263</f>
        <v>2217592</v>
      </c>
      <c r="D1230" s="196">
        <v>0</v>
      </c>
      <c r="E1230" s="196">
        <v>0</v>
      </c>
      <c r="F1230" s="196">
        <v>0</v>
      </c>
      <c r="G1230" s="196">
        <v>0</v>
      </c>
      <c r="H1230" s="196">
        <v>0</v>
      </c>
      <c r="I1230" s="196">
        <v>0</v>
      </c>
      <c r="J1230" s="196">
        <v>0</v>
      </c>
      <c r="K1230" s="196">
        <v>0</v>
      </c>
      <c r="L1230" s="207">
        <v>0</v>
      </c>
      <c r="M1230" s="199">
        <v>0</v>
      </c>
      <c r="N1230" s="199">
        <v>883.7</v>
      </c>
      <c r="O1230" s="199">
        <f t="shared" si="185"/>
        <v>2217592</v>
      </c>
      <c r="P1230" s="208">
        <v>0</v>
      </c>
      <c r="Q1230" s="199">
        <v>0</v>
      </c>
      <c r="R1230" s="200">
        <v>0</v>
      </c>
      <c r="S1230" s="209">
        <v>0</v>
      </c>
      <c r="T1230" s="208">
        <v>0</v>
      </c>
      <c r="U1230" s="289">
        <v>0</v>
      </c>
      <c r="V1230" s="282"/>
      <c r="W1230" s="282">
        <f t="shared" si="186"/>
        <v>2509.4398551544641</v>
      </c>
      <c r="X1230" s="282"/>
    </row>
    <row r="1231" spans="1:35" ht="15.75">
      <c r="A1231" s="198"/>
      <c r="B1231" s="941" t="s">
        <v>971</v>
      </c>
      <c r="C1231" s="196">
        <f>'часть 1'!L1264</f>
        <v>3519351</v>
      </c>
      <c r="D1231" s="196">
        <v>0</v>
      </c>
      <c r="E1231" s="196">
        <v>0</v>
      </c>
      <c r="F1231" s="196">
        <v>0</v>
      </c>
      <c r="G1231" s="196">
        <v>0</v>
      </c>
      <c r="H1231" s="196">
        <v>0</v>
      </c>
      <c r="I1231" s="196">
        <v>0</v>
      </c>
      <c r="J1231" s="196">
        <v>0</v>
      </c>
      <c r="K1231" s="196">
        <v>0</v>
      </c>
      <c r="L1231" s="207">
        <v>0</v>
      </c>
      <c r="M1231" s="199">
        <v>0</v>
      </c>
      <c r="N1231" s="199">
        <v>1106.78</v>
      </c>
      <c r="O1231" s="199">
        <f t="shared" si="185"/>
        <v>3519351</v>
      </c>
      <c r="P1231" s="208">
        <v>0</v>
      </c>
      <c r="Q1231" s="199">
        <v>0</v>
      </c>
      <c r="R1231" s="200">
        <v>0</v>
      </c>
      <c r="S1231" s="209">
        <v>0</v>
      </c>
      <c r="T1231" s="208">
        <v>0</v>
      </c>
      <c r="U1231" s="289">
        <v>0</v>
      </c>
      <c r="V1231" s="282"/>
      <c r="W1231" s="282">
        <f t="shared" si="186"/>
        <v>3179.8108025081769</v>
      </c>
      <c r="X1231" s="282"/>
    </row>
    <row r="1232" spans="1:35" ht="15.75">
      <c r="A1232" s="198">
        <v>175</v>
      </c>
      <c r="B1232" s="941" t="s">
        <v>972</v>
      </c>
      <c r="C1232" s="196">
        <f>'часть 1'!L1265</f>
        <v>1482982.29</v>
      </c>
      <c r="D1232" s="196">
        <v>0</v>
      </c>
      <c r="E1232" s="196">
        <v>0</v>
      </c>
      <c r="F1232" s="196">
        <v>0</v>
      </c>
      <c r="G1232" s="196">
        <v>0</v>
      </c>
      <c r="H1232" s="196">
        <v>0</v>
      </c>
      <c r="I1232" s="196">
        <v>0</v>
      </c>
      <c r="J1232" s="196">
        <v>0</v>
      </c>
      <c r="K1232" s="196">
        <v>0</v>
      </c>
      <c r="L1232" s="207">
        <v>0</v>
      </c>
      <c r="M1232" s="199">
        <v>0</v>
      </c>
      <c r="N1232" s="199">
        <v>0</v>
      </c>
      <c r="O1232" s="199">
        <f t="shared" si="185"/>
        <v>1482982.29</v>
      </c>
      <c r="P1232" s="208">
        <v>0</v>
      </c>
      <c r="Q1232" s="199">
        <v>0</v>
      </c>
      <c r="R1232" s="200">
        <v>0</v>
      </c>
      <c r="S1232" s="209">
        <v>0</v>
      </c>
      <c r="T1232" s="208">
        <v>0</v>
      </c>
      <c r="U1232" s="289">
        <v>0</v>
      </c>
      <c r="V1232" s="282"/>
      <c r="W1232" s="282" t="e">
        <f t="shared" si="186"/>
        <v>#DIV/0!</v>
      </c>
      <c r="X1232" s="282"/>
    </row>
    <row r="1233" spans="1:24" ht="15.75">
      <c r="A1233" s="198">
        <v>176</v>
      </c>
      <c r="B1233" s="941" t="s">
        <v>973</v>
      </c>
      <c r="C1233" s="196">
        <f>'часть 1'!L1266</f>
        <v>2664977</v>
      </c>
      <c r="D1233" s="196">
        <v>0</v>
      </c>
      <c r="E1233" s="196">
        <v>0</v>
      </c>
      <c r="F1233" s="196">
        <v>0</v>
      </c>
      <c r="G1233" s="196">
        <v>0</v>
      </c>
      <c r="H1233" s="196">
        <v>0</v>
      </c>
      <c r="I1233" s="196">
        <v>0</v>
      </c>
      <c r="J1233" s="196">
        <v>0</v>
      </c>
      <c r="K1233" s="196">
        <v>0</v>
      </c>
      <c r="L1233" s="207">
        <v>0</v>
      </c>
      <c r="M1233" s="199">
        <v>0</v>
      </c>
      <c r="N1233" s="199">
        <v>1065</v>
      </c>
      <c r="O1233" s="199">
        <f t="shared" si="185"/>
        <v>2664977</v>
      </c>
      <c r="P1233" s="208">
        <v>0</v>
      </c>
      <c r="Q1233" s="199">
        <v>0</v>
      </c>
      <c r="R1233" s="200">
        <v>0</v>
      </c>
      <c r="S1233" s="209">
        <v>0</v>
      </c>
      <c r="T1233" s="208">
        <v>0</v>
      </c>
      <c r="U1233" s="289">
        <v>0</v>
      </c>
      <c r="V1233" s="282"/>
      <c r="W1233" s="282">
        <f t="shared" si="186"/>
        <v>2502.3258215962442</v>
      </c>
      <c r="X1233" s="282"/>
    </row>
    <row r="1234" spans="1:24" ht="18.75" customHeight="1">
      <c r="A1234" s="470"/>
      <c r="B1234" s="520" t="s">
        <v>92</v>
      </c>
      <c r="C1234" s="512">
        <f>C1235</f>
        <v>0</v>
      </c>
      <c r="D1234" s="512">
        <f t="shared" ref="D1234:U1234" si="187">D1235</f>
        <v>0</v>
      </c>
      <c r="E1234" s="512">
        <f t="shared" si="187"/>
        <v>0</v>
      </c>
      <c r="F1234" s="512">
        <f t="shared" si="187"/>
        <v>0</v>
      </c>
      <c r="G1234" s="512">
        <f t="shared" si="187"/>
        <v>0</v>
      </c>
      <c r="H1234" s="512">
        <f t="shared" si="187"/>
        <v>0</v>
      </c>
      <c r="I1234" s="512">
        <f t="shared" si="187"/>
        <v>0</v>
      </c>
      <c r="J1234" s="512">
        <f t="shared" si="187"/>
        <v>0</v>
      </c>
      <c r="K1234" s="512">
        <f t="shared" si="187"/>
        <v>0</v>
      </c>
      <c r="L1234" s="512">
        <f t="shared" si="187"/>
        <v>0</v>
      </c>
      <c r="M1234" s="512">
        <f t="shared" si="187"/>
        <v>0</v>
      </c>
      <c r="N1234" s="512">
        <f t="shared" si="187"/>
        <v>0</v>
      </c>
      <c r="O1234" s="512">
        <f t="shared" si="187"/>
        <v>0</v>
      </c>
      <c r="P1234" s="512">
        <f t="shared" si="187"/>
        <v>0</v>
      </c>
      <c r="Q1234" s="512">
        <f t="shared" si="187"/>
        <v>0</v>
      </c>
      <c r="R1234" s="512">
        <f t="shared" si="187"/>
        <v>0</v>
      </c>
      <c r="S1234" s="512">
        <f t="shared" si="187"/>
        <v>0</v>
      </c>
      <c r="T1234" s="512">
        <f t="shared" si="187"/>
        <v>0</v>
      </c>
      <c r="U1234" s="512">
        <f t="shared" si="187"/>
        <v>0</v>
      </c>
      <c r="V1234" s="282"/>
      <c r="W1234" s="282"/>
      <c r="X1234" s="282"/>
    </row>
    <row r="1235" spans="1:24">
      <c r="A1235" s="470"/>
      <c r="B1235" s="520"/>
      <c r="C1235" s="512"/>
      <c r="D1235" s="512"/>
      <c r="E1235" s="512"/>
      <c r="F1235" s="512"/>
      <c r="G1235" s="512"/>
      <c r="H1235" s="512"/>
      <c r="I1235" s="512"/>
      <c r="J1235" s="512"/>
      <c r="K1235" s="512"/>
      <c r="L1235" s="525"/>
      <c r="M1235" s="472"/>
      <c r="N1235" s="558"/>
      <c r="O1235" s="472"/>
      <c r="P1235" s="473"/>
      <c r="Q1235" s="472"/>
      <c r="R1235" s="474"/>
      <c r="S1235" s="475"/>
      <c r="T1235" s="473"/>
      <c r="U1235" s="904"/>
      <c r="V1235" s="282"/>
      <c r="W1235" s="282"/>
      <c r="X1235" s="282"/>
    </row>
    <row r="1236" spans="1:24" ht="18.75" customHeight="1">
      <c r="A1236" s="470"/>
      <c r="B1236" s="511" t="s">
        <v>93</v>
      </c>
      <c r="C1236" s="512">
        <f>C1237+C1238+C1239+C1240</f>
        <v>12233600</v>
      </c>
      <c r="D1236" s="512">
        <f t="shared" ref="D1236:V1236" si="188">D1237+D1238+D1239+D1240</f>
        <v>0</v>
      </c>
      <c r="E1236" s="512">
        <f t="shared" si="188"/>
        <v>0</v>
      </c>
      <c r="F1236" s="512">
        <f t="shared" si="188"/>
        <v>0</v>
      </c>
      <c r="G1236" s="512">
        <f t="shared" si="188"/>
        <v>0</v>
      </c>
      <c r="H1236" s="512">
        <f t="shared" si="188"/>
        <v>0</v>
      </c>
      <c r="I1236" s="512">
        <f t="shared" si="188"/>
        <v>0</v>
      </c>
      <c r="J1236" s="512">
        <f t="shared" si="188"/>
        <v>0</v>
      </c>
      <c r="K1236" s="512">
        <f t="shared" si="188"/>
        <v>0</v>
      </c>
      <c r="L1236" s="512">
        <f t="shared" si="188"/>
        <v>0</v>
      </c>
      <c r="M1236" s="512">
        <f t="shared" si="188"/>
        <v>0</v>
      </c>
      <c r="N1236" s="512">
        <f t="shared" si="188"/>
        <v>4541.1400000000003</v>
      </c>
      <c r="O1236" s="512">
        <f t="shared" si="188"/>
        <v>12233600</v>
      </c>
      <c r="P1236" s="512">
        <f t="shared" si="188"/>
        <v>0</v>
      </c>
      <c r="Q1236" s="512">
        <f t="shared" si="188"/>
        <v>0</v>
      </c>
      <c r="R1236" s="512">
        <f t="shared" si="188"/>
        <v>0</v>
      </c>
      <c r="S1236" s="512">
        <f t="shared" si="188"/>
        <v>0</v>
      </c>
      <c r="T1236" s="512">
        <f t="shared" si="188"/>
        <v>0</v>
      </c>
      <c r="U1236" s="512">
        <f t="shared" si="188"/>
        <v>0</v>
      </c>
      <c r="V1236" s="512">
        <f t="shared" si="188"/>
        <v>0</v>
      </c>
      <c r="W1236" s="282"/>
      <c r="X1236" s="282"/>
    </row>
    <row r="1237" spans="1:24" s="23" customFormat="1">
      <c r="A1237" s="470">
        <v>178</v>
      </c>
      <c r="B1237" s="699" t="s">
        <v>790</v>
      </c>
      <c r="C1237" s="479">
        <f>'часть 1'!L1270</f>
        <v>3401438</v>
      </c>
      <c r="D1237" s="479">
        <v>0</v>
      </c>
      <c r="E1237" s="479">
        <v>0</v>
      </c>
      <c r="F1237" s="479">
        <v>0</v>
      </c>
      <c r="G1237" s="479">
        <v>0</v>
      </c>
      <c r="H1237" s="479">
        <v>0</v>
      </c>
      <c r="I1237" s="479">
        <v>0</v>
      </c>
      <c r="J1237" s="479">
        <v>0</v>
      </c>
      <c r="K1237" s="479">
        <v>0</v>
      </c>
      <c r="L1237" s="515">
        <v>0</v>
      </c>
      <c r="M1237" s="479">
        <v>0</v>
      </c>
      <c r="N1237" s="479">
        <v>1360.8</v>
      </c>
      <c r="O1237" s="479">
        <v>3401438</v>
      </c>
      <c r="P1237" s="515">
        <v>0</v>
      </c>
      <c r="Q1237" s="479">
        <v>0</v>
      </c>
      <c r="R1237" s="516">
        <v>0</v>
      </c>
      <c r="S1237" s="479">
        <v>0</v>
      </c>
      <c r="T1237" s="515">
        <v>0</v>
      </c>
      <c r="U1237" s="517">
        <v>0</v>
      </c>
      <c r="V1237" s="282"/>
      <c r="W1237" s="282">
        <f>O1237/N1237</f>
        <v>2499.5870076425631</v>
      </c>
      <c r="X1237" s="282"/>
    </row>
    <row r="1238" spans="1:24" s="23" customFormat="1">
      <c r="A1238" s="470">
        <v>179</v>
      </c>
      <c r="B1238" s="699" t="s">
        <v>791</v>
      </c>
      <c r="C1238" s="479">
        <f>'часть 1'!L1271</f>
        <v>2323942</v>
      </c>
      <c r="D1238" s="479">
        <v>0</v>
      </c>
      <c r="E1238" s="479">
        <v>0</v>
      </c>
      <c r="F1238" s="479">
        <v>0</v>
      </c>
      <c r="G1238" s="479">
        <v>0</v>
      </c>
      <c r="H1238" s="479">
        <v>0</v>
      </c>
      <c r="I1238" s="479">
        <v>0</v>
      </c>
      <c r="J1238" s="479">
        <v>0</v>
      </c>
      <c r="K1238" s="479">
        <v>0</v>
      </c>
      <c r="L1238" s="515">
        <v>0</v>
      </c>
      <c r="M1238" s="479">
        <v>0</v>
      </c>
      <c r="N1238" s="479">
        <v>927</v>
      </c>
      <c r="O1238" s="479">
        <v>2323942</v>
      </c>
      <c r="P1238" s="515">
        <v>0</v>
      </c>
      <c r="Q1238" s="479">
        <v>0</v>
      </c>
      <c r="R1238" s="516">
        <v>0</v>
      </c>
      <c r="S1238" s="479">
        <v>0</v>
      </c>
      <c r="T1238" s="515">
        <v>0</v>
      </c>
      <c r="U1238" s="517">
        <v>0</v>
      </c>
      <c r="V1238" s="282"/>
      <c r="W1238" s="282">
        <f t="shared" ref="W1238:W1240" si="189">O1238/N1238</f>
        <v>2506.9492988133766</v>
      </c>
      <c r="X1238" s="282"/>
    </row>
    <row r="1239" spans="1:24" s="23" customFormat="1">
      <c r="A1239" s="470">
        <v>180</v>
      </c>
      <c r="B1239" s="699" t="s">
        <v>792</v>
      </c>
      <c r="C1239" s="479">
        <f>'часть 1'!L1272</f>
        <v>4059506</v>
      </c>
      <c r="D1239" s="479">
        <v>0</v>
      </c>
      <c r="E1239" s="479">
        <v>0</v>
      </c>
      <c r="F1239" s="479">
        <v>0</v>
      </c>
      <c r="G1239" s="479">
        <v>0</v>
      </c>
      <c r="H1239" s="479">
        <v>0</v>
      </c>
      <c r="I1239" s="479">
        <v>0</v>
      </c>
      <c r="J1239" s="479">
        <v>0</v>
      </c>
      <c r="K1239" s="479">
        <v>0</v>
      </c>
      <c r="L1239" s="515">
        <v>0</v>
      </c>
      <c r="M1239" s="479">
        <v>0</v>
      </c>
      <c r="N1239" s="479">
        <v>1275.8399999999999</v>
      </c>
      <c r="O1239" s="479">
        <v>4059506</v>
      </c>
      <c r="P1239" s="515">
        <v>0</v>
      </c>
      <c r="Q1239" s="479">
        <v>0</v>
      </c>
      <c r="R1239" s="516">
        <v>0</v>
      </c>
      <c r="S1239" s="479">
        <v>0</v>
      </c>
      <c r="T1239" s="515">
        <v>0</v>
      </c>
      <c r="U1239" s="517">
        <v>0</v>
      </c>
      <c r="V1239" s="282"/>
      <c r="W1239" s="282">
        <f t="shared" si="189"/>
        <v>3181.830010032606</v>
      </c>
      <c r="X1239" s="282"/>
    </row>
    <row r="1240" spans="1:24" s="23" customFormat="1">
      <c r="A1240" s="470">
        <v>181</v>
      </c>
      <c r="B1240" s="699" t="s">
        <v>793</v>
      </c>
      <c r="C1240" s="479">
        <f>'часть 1'!L1273</f>
        <v>2448714</v>
      </c>
      <c r="D1240" s="479">
        <v>0</v>
      </c>
      <c r="E1240" s="479">
        <v>0</v>
      </c>
      <c r="F1240" s="479">
        <v>0</v>
      </c>
      <c r="G1240" s="479">
        <v>0</v>
      </c>
      <c r="H1240" s="479">
        <v>0</v>
      </c>
      <c r="I1240" s="479">
        <v>0</v>
      </c>
      <c r="J1240" s="479">
        <v>0</v>
      </c>
      <c r="K1240" s="479">
        <v>0</v>
      </c>
      <c r="L1240" s="515">
        <v>0</v>
      </c>
      <c r="M1240" s="479">
        <v>0</v>
      </c>
      <c r="N1240" s="479">
        <v>977.5</v>
      </c>
      <c r="O1240" s="479">
        <v>2448714</v>
      </c>
      <c r="P1240" s="515">
        <v>0</v>
      </c>
      <c r="Q1240" s="479">
        <v>0</v>
      </c>
      <c r="R1240" s="516">
        <v>0</v>
      </c>
      <c r="S1240" s="479">
        <v>0</v>
      </c>
      <c r="T1240" s="515">
        <v>0</v>
      </c>
      <c r="U1240" s="517">
        <v>0</v>
      </c>
      <c r="V1240" s="282"/>
      <c r="W1240" s="282">
        <f t="shared" si="189"/>
        <v>2505.0782608695654</v>
      </c>
      <c r="X1240" s="282"/>
    </row>
    <row r="1241" spans="1:24" s="23" customFormat="1">
      <c r="A1241" s="470"/>
      <c r="B1241" s="699"/>
      <c r="C1241" s="479"/>
      <c r="D1241" s="479"/>
      <c r="E1241" s="479"/>
      <c r="F1241" s="479"/>
      <c r="G1241" s="479"/>
      <c r="H1241" s="479"/>
      <c r="I1241" s="479"/>
      <c r="J1241" s="479"/>
      <c r="K1241" s="479"/>
      <c r="L1241" s="515"/>
      <c r="M1241" s="479"/>
      <c r="N1241" s="479"/>
      <c r="O1241" s="479"/>
      <c r="P1241" s="515"/>
      <c r="Q1241" s="479"/>
      <c r="R1241" s="516"/>
      <c r="S1241" s="479"/>
      <c r="T1241" s="515"/>
      <c r="U1241" s="517"/>
      <c r="V1241" s="282"/>
      <c r="W1241" s="282"/>
      <c r="X1241" s="282"/>
    </row>
    <row r="1242" spans="1:24" s="23" customFormat="1">
      <c r="A1242" s="470"/>
      <c r="B1242" s="699"/>
      <c r="C1242" s="479"/>
      <c r="D1242" s="479"/>
      <c r="E1242" s="479"/>
      <c r="F1242" s="479"/>
      <c r="G1242" s="479"/>
      <c r="H1242" s="479"/>
      <c r="I1242" s="479"/>
      <c r="J1242" s="479"/>
      <c r="K1242" s="479"/>
      <c r="L1242" s="515"/>
      <c r="M1242" s="479"/>
      <c r="N1242" s="479"/>
      <c r="O1242" s="479"/>
      <c r="P1242" s="515"/>
      <c r="Q1242" s="479"/>
      <c r="R1242" s="516"/>
      <c r="S1242" s="479"/>
      <c r="T1242" s="515"/>
      <c r="U1242" s="517"/>
      <c r="V1242" s="282"/>
      <c r="W1242" s="282"/>
      <c r="X1242" s="282"/>
    </row>
    <row r="1243" spans="1:24" s="23" customFormat="1">
      <c r="A1243" s="470"/>
      <c r="B1243" s="699"/>
      <c r="C1243" s="479"/>
      <c r="D1243" s="479"/>
      <c r="E1243" s="479"/>
      <c r="F1243" s="479"/>
      <c r="G1243" s="479"/>
      <c r="H1243" s="479"/>
      <c r="I1243" s="479"/>
      <c r="J1243" s="479"/>
      <c r="K1243" s="479"/>
      <c r="L1243" s="515"/>
      <c r="M1243" s="479"/>
      <c r="N1243" s="479"/>
      <c r="O1243" s="479"/>
      <c r="P1243" s="515"/>
      <c r="Q1243" s="479"/>
      <c r="R1243" s="516"/>
      <c r="S1243" s="479"/>
      <c r="T1243" s="515"/>
      <c r="U1243" s="517"/>
      <c r="V1243" s="282"/>
      <c r="W1243" s="282"/>
      <c r="X1243" s="282"/>
    </row>
    <row r="1244" spans="1:24" s="23" customFormat="1">
      <c r="A1244" s="470"/>
      <c r="B1244" s="699"/>
      <c r="C1244" s="479"/>
      <c r="D1244" s="479"/>
      <c r="E1244" s="479"/>
      <c r="F1244" s="479"/>
      <c r="G1244" s="479"/>
      <c r="H1244" s="479"/>
      <c r="I1244" s="479"/>
      <c r="J1244" s="479"/>
      <c r="K1244" s="479"/>
      <c r="L1244" s="515"/>
      <c r="M1244" s="479"/>
      <c r="N1244" s="479"/>
      <c r="O1244" s="479"/>
      <c r="P1244" s="515"/>
      <c r="Q1244" s="479"/>
      <c r="R1244" s="516"/>
      <c r="S1244" s="479"/>
      <c r="T1244" s="515"/>
      <c r="U1244" s="517"/>
      <c r="V1244" s="282"/>
      <c r="W1244" s="282"/>
      <c r="X1244" s="282"/>
    </row>
    <row r="1245" spans="1:24" s="23" customFormat="1">
      <c r="A1245" s="470"/>
      <c r="B1245" s="699"/>
      <c r="C1245" s="479"/>
      <c r="D1245" s="479"/>
      <c r="E1245" s="479"/>
      <c r="F1245" s="479"/>
      <c r="G1245" s="479"/>
      <c r="H1245" s="479"/>
      <c r="I1245" s="479"/>
      <c r="J1245" s="479"/>
      <c r="K1245" s="479"/>
      <c r="L1245" s="515"/>
      <c r="M1245" s="479"/>
      <c r="N1245" s="479"/>
      <c r="O1245" s="479"/>
      <c r="P1245" s="515"/>
      <c r="Q1245" s="479"/>
      <c r="R1245" s="516"/>
      <c r="S1245" s="479"/>
      <c r="T1245" s="515"/>
      <c r="U1245" s="517"/>
      <c r="V1245" s="282"/>
      <c r="W1245" s="282"/>
      <c r="X1245" s="282"/>
    </row>
    <row r="1246" spans="1:24" s="23" customFormat="1">
      <c r="A1246" s="470"/>
      <c r="B1246" s="699"/>
      <c r="C1246" s="479"/>
      <c r="D1246" s="479"/>
      <c r="E1246" s="479"/>
      <c r="F1246" s="479"/>
      <c r="G1246" s="479"/>
      <c r="H1246" s="479"/>
      <c r="I1246" s="479"/>
      <c r="J1246" s="479"/>
      <c r="K1246" s="479"/>
      <c r="L1246" s="515"/>
      <c r="M1246" s="479"/>
      <c r="N1246" s="479"/>
      <c r="O1246" s="479"/>
      <c r="P1246" s="515"/>
      <c r="Q1246" s="479"/>
      <c r="R1246" s="516"/>
      <c r="S1246" s="479"/>
      <c r="T1246" s="515"/>
      <c r="U1246" s="517"/>
      <c r="V1246" s="282"/>
      <c r="W1246" s="282"/>
      <c r="X1246" s="282"/>
    </row>
    <row r="1247" spans="1:24" s="23" customFormat="1">
      <c r="A1247" s="470"/>
      <c r="B1247" s="699"/>
      <c r="C1247" s="479"/>
      <c r="D1247" s="479"/>
      <c r="E1247" s="479"/>
      <c r="F1247" s="479"/>
      <c r="G1247" s="479"/>
      <c r="H1247" s="479"/>
      <c r="I1247" s="479"/>
      <c r="J1247" s="479"/>
      <c r="K1247" s="479"/>
      <c r="L1247" s="515"/>
      <c r="M1247" s="479"/>
      <c r="N1247" s="479"/>
      <c r="O1247" s="479"/>
      <c r="P1247" s="515"/>
      <c r="Q1247" s="479"/>
      <c r="R1247" s="516"/>
      <c r="S1247" s="479"/>
      <c r="T1247" s="515"/>
      <c r="U1247" s="517"/>
      <c r="V1247" s="282"/>
      <c r="W1247" s="282"/>
      <c r="X1247" s="282"/>
    </row>
    <row r="1248" spans="1:24" s="23" customFormat="1">
      <c r="A1248" s="470"/>
      <c r="B1248" s="699"/>
      <c r="C1248" s="479"/>
      <c r="D1248" s="479"/>
      <c r="E1248" s="479"/>
      <c r="F1248" s="479"/>
      <c r="G1248" s="479"/>
      <c r="H1248" s="479"/>
      <c r="I1248" s="479"/>
      <c r="J1248" s="479"/>
      <c r="K1248" s="479"/>
      <c r="L1248" s="515"/>
      <c r="M1248" s="479"/>
      <c r="N1248" s="479"/>
      <c r="O1248" s="479"/>
      <c r="P1248" s="515"/>
      <c r="Q1248" s="479"/>
      <c r="R1248" s="516"/>
      <c r="S1248" s="479"/>
      <c r="T1248" s="515"/>
      <c r="U1248" s="517"/>
      <c r="V1248" s="282"/>
      <c r="W1248" s="282"/>
      <c r="X1248" s="282"/>
    </row>
    <row r="1249" spans="1:32" s="23" customFormat="1">
      <c r="A1249" s="470"/>
      <c r="B1249" s="699"/>
      <c r="C1249" s="479"/>
      <c r="D1249" s="479"/>
      <c r="E1249" s="479"/>
      <c r="F1249" s="479"/>
      <c r="G1249" s="479"/>
      <c r="H1249" s="479"/>
      <c r="I1249" s="479"/>
      <c r="J1249" s="479"/>
      <c r="K1249" s="479"/>
      <c r="L1249" s="515"/>
      <c r="M1249" s="479"/>
      <c r="N1249" s="479"/>
      <c r="O1249" s="479"/>
      <c r="P1249" s="515"/>
      <c r="Q1249" s="479"/>
      <c r="R1249" s="516"/>
      <c r="S1249" s="479"/>
      <c r="T1249" s="515"/>
      <c r="U1249" s="517"/>
      <c r="V1249" s="282"/>
      <c r="W1249" s="282"/>
      <c r="X1249" s="282"/>
    </row>
    <row r="1250" spans="1:32" s="23" customFormat="1">
      <c r="A1250" s="470"/>
      <c r="B1250" s="699"/>
      <c r="C1250" s="479"/>
      <c r="D1250" s="479"/>
      <c r="E1250" s="479"/>
      <c r="F1250" s="479"/>
      <c r="G1250" s="479"/>
      <c r="H1250" s="479"/>
      <c r="I1250" s="479"/>
      <c r="J1250" s="479"/>
      <c r="K1250" s="479"/>
      <c r="L1250" s="515"/>
      <c r="M1250" s="479"/>
      <c r="N1250" s="479"/>
      <c r="O1250" s="479"/>
      <c r="P1250" s="515"/>
      <c r="Q1250" s="479"/>
      <c r="R1250" s="516"/>
      <c r="S1250" s="479"/>
      <c r="T1250" s="515"/>
      <c r="U1250" s="517"/>
      <c r="V1250" s="282"/>
      <c r="W1250" s="282"/>
      <c r="X1250" s="282"/>
    </row>
    <row r="1251" spans="1:32" s="23" customFormat="1">
      <c r="A1251" s="470"/>
      <c r="B1251" s="699"/>
      <c r="C1251" s="479"/>
      <c r="D1251" s="479"/>
      <c r="E1251" s="479"/>
      <c r="F1251" s="479"/>
      <c r="G1251" s="479"/>
      <c r="H1251" s="479"/>
      <c r="I1251" s="479"/>
      <c r="J1251" s="479"/>
      <c r="K1251" s="479"/>
      <c r="L1251" s="515"/>
      <c r="M1251" s="479"/>
      <c r="N1251" s="479"/>
      <c r="O1251" s="479"/>
      <c r="P1251" s="515"/>
      <c r="Q1251" s="479"/>
      <c r="R1251" s="516"/>
      <c r="S1251" s="479"/>
      <c r="T1251" s="515"/>
      <c r="U1251" s="517"/>
      <c r="V1251" s="282"/>
      <c r="W1251" s="282"/>
      <c r="X1251" s="282"/>
    </row>
    <row r="1252" spans="1:32" s="23" customFormat="1">
      <c r="A1252" s="470"/>
      <c r="B1252" s="699"/>
      <c r="C1252" s="479"/>
      <c r="D1252" s="479"/>
      <c r="E1252" s="479"/>
      <c r="F1252" s="479"/>
      <c r="G1252" s="479"/>
      <c r="H1252" s="479"/>
      <c r="I1252" s="479"/>
      <c r="J1252" s="479"/>
      <c r="K1252" s="479"/>
      <c r="L1252" s="515"/>
      <c r="M1252" s="479"/>
      <c r="N1252" s="479"/>
      <c r="O1252" s="479"/>
      <c r="P1252" s="515"/>
      <c r="Q1252" s="479"/>
      <c r="R1252" s="516"/>
      <c r="S1252" s="479"/>
      <c r="T1252" s="515"/>
      <c r="U1252" s="517"/>
      <c r="V1252" s="282"/>
      <c r="W1252" s="282"/>
      <c r="X1252" s="282"/>
    </row>
    <row r="1253" spans="1:32" s="23" customFormat="1">
      <c r="A1253" s="470"/>
      <c r="B1253" s="699"/>
      <c r="C1253" s="479"/>
      <c r="D1253" s="479"/>
      <c r="E1253" s="479"/>
      <c r="F1253" s="479"/>
      <c r="G1253" s="479"/>
      <c r="H1253" s="479"/>
      <c r="I1253" s="479"/>
      <c r="J1253" s="479"/>
      <c r="K1253" s="479"/>
      <c r="L1253" s="515"/>
      <c r="M1253" s="479"/>
      <c r="N1253" s="479"/>
      <c r="O1253" s="479"/>
      <c r="P1253" s="515"/>
      <c r="Q1253" s="479"/>
      <c r="R1253" s="516"/>
      <c r="S1253" s="479"/>
      <c r="T1253" s="515"/>
      <c r="U1253" s="517"/>
      <c r="V1253" s="282"/>
      <c r="W1253" s="282"/>
      <c r="X1253" s="282"/>
    </row>
    <row r="1254" spans="1:32" s="23" customFormat="1">
      <c r="A1254" s="470"/>
      <c r="B1254" s="699"/>
      <c r="C1254" s="479"/>
      <c r="D1254" s="479"/>
      <c r="E1254" s="479"/>
      <c r="F1254" s="479"/>
      <c r="G1254" s="479"/>
      <c r="H1254" s="479"/>
      <c r="I1254" s="479"/>
      <c r="J1254" s="479"/>
      <c r="K1254" s="479"/>
      <c r="L1254" s="515"/>
      <c r="M1254" s="479"/>
      <c r="N1254" s="479"/>
      <c r="O1254" s="479"/>
      <c r="P1254" s="515"/>
      <c r="Q1254" s="479"/>
      <c r="R1254" s="516"/>
      <c r="S1254" s="479"/>
      <c r="T1254" s="515"/>
      <c r="U1254" s="517"/>
      <c r="V1254" s="282"/>
      <c r="W1254" s="282"/>
      <c r="X1254" s="282"/>
    </row>
    <row r="1255" spans="1:32" s="23" customFormat="1">
      <c r="A1255" s="470"/>
      <c r="B1255" s="699"/>
      <c r="C1255" s="479"/>
      <c r="D1255" s="479"/>
      <c r="E1255" s="479"/>
      <c r="F1255" s="479"/>
      <c r="G1255" s="479"/>
      <c r="H1255" s="479"/>
      <c r="I1255" s="479"/>
      <c r="J1255" s="479"/>
      <c r="K1255" s="479"/>
      <c r="L1255" s="515"/>
      <c r="M1255" s="479"/>
      <c r="N1255" s="479"/>
      <c r="O1255" s="479"/>
      <c r="P1255" s="515"/>
      <c r="Q1255" s="479"/>
      <c r="R1255" s="516"/>
      <c r="S1255" s="479"/>
      <c r="T1255" s="515"/>
      <c r="U1255" s="517"/>
      <c r="V1255" s="282"/>
      <c r="W1255" s="282"/>
      <c r="X1255" s="282"/>
    </row>
    <row r="1256" spans="1:32" s="23" customFormat="1">
      <c r="A1256" s="470"/>
      <c r="B1256" s="699"/>
      <c r="C1256" s="479"/>
      <c r="D1256" s="479"/>
      <c r="E1256" s="479"/>
      <c r="F1256" s="479"/>
      <c r="G1256" s="479"/>
      <c r="H1256" s="479"/>
      <c r="I1256" s="479"/>
      <c r="J1256" s="479"/>
      <c r="K1256" s="479"/>
      <c r="L1256" s="515"/>
      <c r="M1256" s="479"/>
      <c r="N1256" s="479"/>
      <c r="O1256" s="479"/>
      <c r="P1256" s="515"/>
      <c r="Q1256" s="479"/>
      <c r="R1256" s="516"/>
      <c r="S1256" s="479"/>
      <c r="T1256" s="515"/>
      <c r="U1256" s="517"/>
      <c r="V1256" s="282"/>
      <c r="W1256" s="282"/>
      <c r="X1256" s="282"/>
    </row>
    <row r="1257" spans="1:32" s="23" customFormat="1">
      <c r="A1257" s="470"/>
      <c r="B1257" s="699"/>
      <c r="C1257" s="479"/>
      <c r="D1257" s="479"/>
      <c r="E1257" s="479"/>
      <c r="F1257" s="479"/>
      <c r="G1257" s="479"/>
      <c r="H1257" s="479"/>
      <c r="I1257" s="479"/>
      <c r="J1257" s="479"/>
      <c r="K1257" s="479"/>
      <c r="L1257" s="515"/>
      <c r="M1257" s="479"/>
      <c r="N1257" s="479"/>
      <c r="O1257" s="479"/>
      <c r="P1257" s="515"/>
      <c r="Q1257" s="479"/>
      <c r="R1257" s="516"/>
      <c r="S1257" s="479"/>
      <c r="T1257" s="515"/>
      <c r="U1257" s="517"/>
      <c r="V1257" s="282"/>
      <c r="W1257" s="282"/>
      <c r="X1257" s="282"/>
    </row>
    <row r="1258" spans="1:32" s="23" customFormat="1">
      <c r="A1258" s="470"/>
      <c r="B1258" s="699"/>
      <c r="C1258" s="479"/>
      <c r="D1258" s="479"/>
      <c r="E1258" s="479"/>
      <c r="F1258" s="479"/>
      <c r="G1258" s="479"/>
      <c r="H1258" s="479"/>
      <c r="I1258" s="479"/>
      <c r="J1258" s="479"/>
      <c r="K1258" s="479"/>
      <c r="L1258" s="515"/>
      <c r="M1258" s="479"/>
      <c r="N1258" s="479"/>
      <c r="O1258" s="479"/>
      <c r="P1258" s="515"/>
      <c r="Q1258" s="479"/>
      <c r="R1258" s="516"/>
      <c r="S1258" s="479"/>
      <c r="T1258" s="515"/>
      <c r="U1258" s="517"/>
      <c r="V1258" s="282"/>
      <c r="W1258" s="282"/>
      <c r="X1258" s="282"/>
    </row>
    <row r="1259" spans="1:32" s="23" customFormat="1">
      <c r="A1259" s="470"/>
      <c r="B1259" s="699"/>
      <c r="C1259" s="479"/>
      <c r="D1259" s="479"/>
      <c r="E1259" s="479"/>
      <c r="F1259" s="479"/>
      <c r="G1259" s="479"/>
      <c r="H1259" s="479"/>
      <c r="I1259" s="479"/>
      <c r="J1259" s="479"/>
      <c r="K1259" s="479"/>
      <c r="L1259" s="515"/>
      <c r="M1259" s="479"/>
      <c r="N1259" s="479"/>
      <c r="O1259" s="479"/>
      <c r="P1259" s="515"/>
      <c r="Q1259" s="479"/>
      <c r="R1259" s="516"/>
      <c r="S1259" s="479"/>
      <c r="T1259" s="515"/>
      <c r="U1259" s="517"/>
      <c r="V1259" s="282"/>
      <c r="W1259" s="282"/>
      <c r="X1259" s="282"/>
    </row>
    <row r="1260" spans="1:32" s="23" customFormat="1">
      <c r="A1260" s="470"/>
      <c r="B1260" s="699"/>
      <c r="C1260" s="479"/>
      <c r="D1260" s="479"/>
      <c r="E1260" s="479"/>
      <c r="F1260" s="479"/>
      <c r="G1260" s="479"/>
      <c r="H1260" s="479"/>
      <c r="I1260" s="479"/>
      <c r="J1260" s="479"/>
      <c r="K1260" s="479"/>
      <c r="L1260" s="515"/>
      <c r="M1260" s="479"/>
      <c r="N1260" s="479"/>
      <c r="O1260" s="479"/>
      <c r="P1260" s="515"/>
      <c r="Q1260" s="479"/>
      <c r="R1260" s="516"/>
      <c r="S1260" s="479"/>
      <c r="T1260" s="515"/>
      <c r="U1260" s="517"/>
      <c r="V1260" s="282"/>
      <c r="W1260" s="282"/>
      <c r="X1260" s="282"/>
    </row>
    <row r="1261" spans="1:32" s="23" customFormat="1">
      <c r="A1261" s="470"/>
      <c r="B1261" s="699"/>
      <c r="C1261" s="479"/>
      <c r="D1261" s="479"/>
      <c r="E1261" s="479"/>
      <c r="F1261" s="479"/>
      <c r="G1261" s="479"/>
      <c r="H1261" s="479"/>
      <c r="I1261" s="479"/>
      <c r="J1261" s="479"/>
      <c r="K1261" s="479"/>
      <c r="L1261" s="515"/>
      <c r="M1261" s="479"/>
      <c r="N1261" s="479"/>
      <c r="O1261" s="479"/>
      <c r="P1261" s="515"/>
      <c r="Q1261" s="479"/>
      <c r="R1261" s="516"/>
      <c r="S1261" s="479"/>
      <c r="T1261" s="515"/>
      <c r="U1261" s="517"/>
      <c r="V1261" s="282"/>
      <c r="W1261" s="282"/>
      <c r="X1261" s="282"/>
    </row>
    <row r="1262" spans="1:32" ht="18.75" customHeight="1">
      <c r="A1262" s="198"/>
      <c r="B1262" s="214" t="s">
        <v>94</v>
      </c>
      <c r="C1262" s="211">
        <f>C1263+C1264</f>
        <v>2634518</v>
      </c>
      <c r="D1262" s="211">
        <f t="shared" ref="D1262:V1262" si="190">D1263+D1264</f>
        <v>0</v>
      </c>
      <c r="E1262" s="211">
        <f t="shared" si="190"/>
        <v>0</v>
      </c>
      <c r="F1262" s="211">
        <f t="shared" si="190"/>
        <v>0</v>
      </c>
      <c r="G1262" s="211">
        <f t="shared" si="190"/>
        <v>0</v>
      </c>
      <c r="H1262" s="211">
        <f t="shared" si="190"/>
        <v>0</v>
      </c>
      <c r="I1262" s="211">
        <f t="shared" si="190"/>
        <v>0</v>
      </c>
      <c r="J1262" s="211">
        <f t="shared" si="190"/>
        <v>0</v>
      </c>
      <c r="K1262" s="211">
        <f t="shared" si="190"/>
        <v>0</v>
      </c>
      <c r="L1262" s="211">
        <f t="shared" si="190"/>
        <v>1</v>
      </c>
      <c r="M1262" s="211">
        <f t="shared" si="190"/>
        <v>1960022</v>
      </c>
      <c r="N1262" s="211">
        <f t="shared" si="190"/>
        <v>0</v>
      </c>
      <c r="O1262" s="211">
        <f t="shared" si="190"/>
        <v>0</v>
      </c>
      <c r="P1262" s="211">
        <f t="shared" si="190"/>
        <v>0</v>
      </c>
      <c r="Q1262" s="211">
        <f t="shared" si="190"/>
        <v>0</v>
      </c>
      <c r="R1262" s="211">
        <f t="shared" si="190"/>
        <v>438.6</v>
      </c>
      <c r="S1262" s="211">
        <f t="shared" si="190"/>
        <v>674496</v>
      </c>
      <c r="T1262" s="211">
        <f t="shared" si="190"/>
        <v>0</v>
      </c>
      <c r="U1262" s="211">
        <f t="shared" si="190"/>
        <v>0</v>
      </c>
      <c r="V1262" s="211">
        <f t="shared" si="190"/>
        <v>0</v>
      </c>
      <c r="W1262" s="282"/>
      <c r="X1262" s="282"/>
      <c r="Y1262" s="10"/>
      <c r="Z1262" s="10"/>
      <c r="AA1262" s="10"/>
      <c r="AB1262" s="10"/>
    </row>
    <row r="1263" spans="1:32" s="5" customFormat="1">
      <c r="A1263" s="470"/>
      <c r="B1263" s="471" t="s">
        <v>976</v>
      </c>
      <c r="C1263" s="472">
        <f>'часть 1'!L1296</f>
        <v>1960022</v>
      </c>
      <c r="D1263" s="472">
        <v>0</v>
      </c>
      <c r="E1263" s="472">
        <v>0</v>
      </c>
      <c r="F1263" s="472">
        <v>0</v>
      </c>
      <c r="G1263" s="472">
        <v>0</v>
      </c>
      <c r="H1263" s="472">
        <v>0</v>
      </c>
      <c r="I1263" s="472">
        <v>0</v>
      </c>
      <c r="J1263" s="472">
        <v>0</v>
      </c>
      <c r="K1263" s="472">
        <v>0</v>
      </c>
      <c r="L1263" s="473">
        <v>1</v>
      </c>
      <c r="M1263" s="472">
        <v>1960022</v>
      </c>
      <c r="N1263" s="472">
        <v>0</v>
      </c>
      <c r="O1263" s="472">
        <v>0</v>
      </c>
      <c r="P1263" s="473">
        <v>0</v>
      </c>
      <c r="Q1263" s="472">
        <v>0</v>
      </c>
      <c r="R1263" s="474">
        <v>0</v>
      </c>
      <c r="S1263" s="475">
        <v>0</v>
      </c>
      <c r="T1263" s="476">
        <v>0</v>
      </c>
      <c r="U1263" s="477">
        <v>0</v>
      </c>
      <c r="V1263" s="282"/>
      <c r="W1263" s="282"/>
      <c r="X1263" s="282"/>
      <c r="Y1263" s="24"/>
      <c r="Z1263" s="24"/>
      <c r="AA1263" s="8"/>
      <c r="AB1263" s="8"/>
      <c r="AF1263" s="5">
        <f>M1263/L1263</f>
        <v>1960022</v>
      </c>
    </row>
    <row r="1264" spans="1:32" s="5" customFormat="1">
      <c r="A1264" s="470"/>
      <c r="B1264" s="471" t="s">
        <v>977</v>
      </c>
      <c r="C1264" s="472">
        <f>'часть 1'!L1297</f>
        <v>674496</v>
      </c>
      <c r="D1264" s="472">
        <v>0</v>
      </c>
      <c r="E1264" s="472">
        <v>0</v>
      </c>
      <c r="F1264" s="472">
        <v>0</v>
      </c>
      <c r="G1264" s="472">
        <v>0</v>
      </c>
      <c r="H1264" s="472">
        <v>0</v>
      </c>
      <c r="I1264" s="472">
        <v>0</v>
      </c>
      <c r="J1264" s="472">
        <v>0</v>
      </c>
      <c r="K1264" s="472">
        <v>0</v>
      </c>
      <c r="L1264" s="473">
        <v>0</v>
      </c>
      <c r="M1264" s="472">
        <v>0</v>
      </c>
      <c r="N1264" s="472">
        <v>0</v>
      </c>
      <c r="O1264" s="472">
        <v>0</v>
      </c>
      <c r="P1264" s="473">
        <v>0</v>
      </c>
      <c r="Q1264" s="472">
        <v>0</v>
      </c>
      <c r="R1264" s="474">
        <v>438.6</v>
      </c>
      <c r="S1264" s="475">
        <v>674496</v>
      </c>
      <c r="T1264" s="476">
        <v>0</v>
      </c>
      <c r="U1264" s="477">
        <v>0</v>
      </c>
      <c r="V1264" s="282"/>
      <c r="W1264" s="282"/>
      <c r="X1264" s="282">
        <f>S1264/R1264</f>
        <v>1537.8385772913816</v>
      </c>
      <c r="Y1264" s="24"/>
      <c r="Z1264" s="24"/>
      <c r="AA1264" s="8"/>
      <c r="AB1264" s="8"/>
    </row>
    <row r="1265" spans="1:30" s="5" customFormat="1">
      <c r="A1265" s="470"/>
      <c r="B1265" s="471"/>
      <c r="C1265" s="472"/>
      <c r="D1265" s="472"/>
      <c r="E1265" s="472"/>
      <c r="F1265" s="472"/>
      <c r="G1265" s="472"/>
      <c r="H1265" s="472"/>
      <c r="I1265" s="472"/>
      <c r="J1265" s="472"/>
      <c r="K1265" s="472"/>
      <c r="L1265" s="473"/>
      <c r="M1265" s="472"/>
      <c r="N1265" s="472"/>
      <c r="O1265" s="472"/>
      <c r="P1265" s="473"/>
      <c r="Q1265" s="472"/>
      <c r="R1265" s="474"/>
      <c r="S1265" s="475"/>
      <c r="T1265" s="476"/>
      <c r="U1265" s="477"/>
      <c r="V1265" s="282"/>
      <c r="W1265" s="282"/>
      <c r="X1265" s="282"/>
      <c r="Y1265" s="24"/>
      <c r="Z1265" s="24"/>
      <c r="AA1265" s="8"/>
      <c r="AB1265" s="8"/>
    </row>
    <row r="1266" spans="1:30" s="5" customFormat="1">
      <c r="A1266" s="470"/>
      <c r="B1266" s="478"/>
      <c r="C1266" s="472"/>
      <c r="D1266" s="472"/>
      <c r="E1266" s="472"/>
      <c r="F1266" s="472"/>
      <c r="G1266" s="472"/>
      <c r="H1266" s="472"/>
      <c r="I1266" s="472"/>
      <c r="J1266" s="472"/>
      <c r="K1266" s="472"/>
      <c r="L1266" s="473"/>
      <c r="M1266" s="472"/>
      <c r="N1266" s="472"/>
      <c r="O1266" s="472"/>
      <c r="P1266" s="473"/>
      <c r="Q1266" s="472"/>
      <c r="R1266" s="474"/>
      <c r="S1266" s="475"/>
      <c r="T1266" s="476"/>
      <c r="U1266" s="477"/>
      <c r="V1266" s="282"/>
      <c r="W1266" s="282"/>
      <c r="X1266" s="282"/>
      <c r="Y1266" s="24"/>
      <c r="Z1266" s="24"/>
      <c r="AA1266" s="8"/>
      <c r="AB1266" s="8"/>
    </row>
    <row r="1267" spans="1:30" s="5" customFormat="1">
      <c r="A1267" s="470"/>
      <c r="B1267" s="471"/>
      <c r="C1267" s="472"/>
      <c r="D1267" s="472"/>
      <c r="E1267" s="472"/>
      <c r="F1267" s="472"/>
      <c r="G1267" s="472"/>
      <c r="H1267" s="472"/>
      <c r="I1267" s="472"/>
      <c r="J1267" s="472"/>
      <c r="K1267" s="472"/>
      <c r="L1267" s="473"/>
      <c r="M1267" s="472"/>
      <c r="N1267" s="479"/>
      <c r="O1267" s="472"/>
      <c r="P1267" s="473"/>
      <c r="Q1267" s="472"/>
      <c r="R1267" s="474"/>
      <c r="S1267" s="475"/>
      <c r="T1267" s="476"/>
      <c r="U1267" s="477"/>
      <c r="V1267" s="282"/>
      <c r="W1267" s="282"/>
      <c r="X1267" s="282"/>
      <c r="Y1267" s="24"/>
      <c r="Z1267" s="24"/>
      <c r="AA1267" s="8"/>
      <c r="AB1267" s="8"/>
    </row>
    <row r="1268" spans="1:30" s="5" customFormat="1">
      <c r="A1268" s="470"/>
      <c r="B1268" s="471"/>
      <c r="C1268" s="472"/>
      <c r="D1268" s="472"/>
      <c r="E1268" s="472"/>
      <c r="F1268" s="472"/>
      <c r="G1268" s="472"/>
      <c r="H1268" s="472"/>
      <c r="I1268" s="472"/>
      <c r="J1268" s="472"/>
      <c r="K1268" s="472"/>
      <c r="L1268" s="473"/>
      <c r="M1268" s="472"/>
      <c r="N1268" s="472"/>
      <c r="O1268" s="472"/>
      <c r="P1268" s="473"/>
      <c r="Q1268" s="472"/>
      <c r="R1268" s="474"/>
      <c r="S1268" s="475"/>
      <c r="T1268" s="476"/>
      <c r="U1268" s="477"/>
      <c r="V1268" s="282"/>
      <c r="W1268" s="282"/>
      <c r="X1268" s="282"/>
      <c r="Y1268" s="24"/>
      <c r="Z1268" s="24"/>
      <c r="AA1268" s="8"/>
      <c r="AB1268" s="8"/>
    </row>
    <row r="1269" spans="1:30" s="5" customFormat="1">
      <c r="A1269" s="470"/>
      <c r="B1269" s="471"/>
      <c r="C1269" s="472"/>
      <c r="D1269" s="472"/>
      <c r="E1269" s="472"/>
      <c r="F1269" s="472"/>
      <c r="G1269" s="472"/>
      <c r="H1269" s="472"/>
      <c r="I1269" s="472"/>
      <c r="J1269" s="472"/>
      <c r="K1269" s="472"/>
      <c r="L1269" s="473"/>
      <c r="M1269" s="472"/>
      <c r="N1269" s="472"/>
      <c r="O1269" s="472"/>
      <c r="P1269" s="473"/>
      <c r="Q1269" s="472"/>
      <c r="R1269" s="474"/>
      <c r="S1269" s="475"/>
      <c r="T1269" s="476"/>
      <c r="U1269" s="477"/>
      <c r="V1269" s="282"/>
      <c r="W1269" s="282"/>
      <c r="X1269" s="282"/>
      <c r="Y1269" s="24"/>
      <c r="Z1269" s="24"/>
      <c r="AA1269" s="8"/>
      <c r="AB1269" s="8"/>
    </row>
    <row r="1270" spans="1:30" s="5" customFormat="1">
      <c r="A1270" s="470"/>
      <c r="B1270" s="471"/>
      <c r="C1270" s="472"/>
      <c r="D1270" s="472"/>
      <c r="E1270" s="472"/>
      <c r="F1270" s="472"/>
      <c r="G1270" s="472"/>
      <c r="H1270" s="472"/>
      <c r="I1270" s="472"/>
      <c r="J1270" s="472"/>
      <c r="K1270" s="472"/>
      <c r="L1270" s="473"/>
      <c r="M1270" s="472"/>
      <c r="N1270" s="472"/>
      <c r="O1270" s="472"/>
      <c r="P1270" s="473"/>
      <c r="Q1270" s="472"/>
      <c r="R1270" s="474"/>
      <c r="S1270" s="475"/>
      <c r="T1270" s="476"/>
      <c r="U1270" s="477"/>
      <c r="V1270" s="282"/>
      <c r="W1270" s="282"/>
      <c r="X1270" s="282"/>
      <c r="Y1270" s="24"/>
      <c r="Z1270" s="24"/>
      <c r="AA1270" s="8"/>
      <c r="AB1270" s="8"/>
    </row>
    <row r="1271" spans="1:30" s="5" customFormat="1">
      <c r="A1271" s="470"/>
      <c r="B1271" s="471"/>
      <c r="C1271" s="472"/>
      <c r="D1271" s="472"/>
      <c r="E1271" s="472"/>
      <c r="F1271" s="472"/>
      <c r="G1271" s="472"/>
      <c r="H1271" s="472"/>
      <c r="I1271" s="472"/>
      <c r="J1271" s="472"/>
      <c r="K1271" s="472"/>
      <c r="L1271" s="473"/>
      <c r="M1271" s="472"/>
      <c r="N1271" s="472"/>
      <c r="O1271" s="472"/>
      <c r="P1271" s="473"/>
      <c r="Q1271" s="472"/>
      <c r="R1271" s="474"/>
      <c r="S1271" s="475"/>
      <c r="T1271" s="476"/>
      <c r="U1271" s="477"/>
      <c r="V1271" s="282"/>
      <c r="W1271" s="282"/>
      <c r="X1271" s="282"/>
      <c r="Y1271" s="6"/>
      <c r="Z1271" s="6"/>
      <c r="AA1271" s="7"/>
      <c r="AB1271" s="7"/>
    </row>
    <row r="1272" spans="1:30" s="5" customFormat="1">
      <c r="A1272" s="470"/>
      <c r="B1272" s="480"/>
      <c r="C1272" s="472"/>
      <c r="D1272" s="472"/>
      <c r="E1272" s="472"/>
      <c r="F1272" s="472"/>
      <c r="G1272" s="472"/>
      <c r="H1272" s="472"/>
      <c r="I1272" s="472"/>
      <c r="J1272" s="472"/>
      <c r="K1272" s="472"/>
      <c r="L1272" s="473"/>
      <c r="M1272" s="472"/>
      <c r="N1272" s="472"/>
      <c r="O1272" s="472"/>
      <c r="P1272" s="473"/>
      <c r="Q1272" s="472"/>
      <c r="R1272" s="474"/>
      <c r="S1272" s="475"/>
      <c r="T1272" s="476"/>
      <c r="U1272" s="477"/>
      <c r="V1272" s="282"/>
      <c r="W1272" s="282"/>
      <c r="X1272" s="282"/>
      <c r="Y1272" s="24"/>
      <c r="Z1272" s="24"/>
      <c r="AA1272" s="8"/>
      <c r="AB1272" s="8"/>
    </row>
    <row r="1273" spans="1:30" s="5" customFormat="1">
      <c r="A1273" s="470"/>
      <c r="B1273" s="480"/>
      <c r="C1273" s="472"/>
      <c r="D1273" s="472"/>
      <c r="E1273" s="472"/>
      <c r="F1273" s="472"/>
      <c r="G1273" s="472"/>
      <c r="H1273" s="472"/>
      <c r="I1273" s="472"/>
      <c r="J1273" s="472"/>
      <c r="K1273" s="472"/>
      <c r="L1273" s="473"/>
      <c r="M1273" s="472"/>
      <c r="N1273" s="472"/>
      <c r="O1273" s="472"/>
      <c r="P1273" s="473"/>
      <c r="Q1273" s="472"/>
      <c r="R1273" s="474"/>
      <c r="S1273" s="475"/>
      <c r="T1273" s="476"/>
      <c r="U1273" s="477"/>
      <c r="V1273" s="282"/>
      <c r="W1273" s="282"/>
      <c r="X1273" s="282"/>
      <c r="Y1273" s="24"/>
      <c r="Z1273" s="24"/>
      <c r="AA1273" s="8"/>
      <c r="AB1273" s="8"/>
    </row>
    <row r="1274" spans="1:30" s="5" customFormat="1">
      <c r="A1274" s="470"/>
      <c r="B1274" s="481"/>
      <c r="C1274" s="472"/>
      <c r="D1274" s="472"/>
      <c r="E1274" s="472"/>
      <c r="F1274" s="472"/>
      <c r="G1274" s="472"/>
      <c r="H1274" s="472"/>
      <c r="I1274" s="472"/>
      <c r="J1274" s="472"/>
      <c r="K1274" s="472"/>
      <c r="L1274" s="473"/>
      <c r="M1274" s="472"/>
      <c r="N1274" s="472"/>
      <c r="O1274" s="472"/>
      <c r="P1274" s="473"/>
      <c r="Q1274" s="472"/>
      <c r="R1274" s="474"/>
      <c r="S1274" s="475"/>
      <c r="T1274" s="476"/>
      <c r="U1274" s="477"/>
      <c r="V1274" s="282"/>
      <c r="W1274" s="282"/>
      <c r="X1274" s="282"/>
      <c r="Y1274" s="24"/>
      <c r="Z1274" s="24"/>
      <c r="AA1274" s="8"/>
      <c r="AB1274" s="8"/>
    </row>
    <row r="1275" spans="1:30" ht="18.600000000000001" customHeight="1">
      <c r="A1275" s="470"/>
      <c r="B1275" s="511" t="s">
        <v>123</v>
      </c>
      <c r="C1275" s="512">
        <f>C1276+C1277+C1278</f>
        <v>10007426</v>
      </c>
      <c r="D1275" s="512">
        <f t="shared" ref="D1275:U1275" si="191">D1276+D1277+D1278</f>
        <v>3698811</v>
      </c>
      <c r="E1275" s="512">
        <f t="shared" si="191"/>
        <v>0</v>
      </c>
      <c r="F1275" s="512">
        <f t="shared" si="191"/>
        <v>0</v>
      </c>
      <c r="G1275" s="512">
        <f t="shared" si="191"/>
        <v>0</v>
      </c>
      <c r="H1275" s="512">
        <f t="shared" si="191"/>
        <v>0</v>
      </c>
      <c r="I1275" s="512">
        <f t="shared" si="191"/>
        <v>3698811</v>
      </c>
      <c r="J1275" s="512">
        <f t="shared" si="191"/>
        <v>0</v>
      </c>
      <c r="K1275" s="512">
        <f t="shared" si="191"/>
        <v>0</v>
      </c>
      <c r="L1275" s="512">
        <f t="shared" si="191"/>
        <v>0</v>
      </c>
      <c r="M1275" s="512">
        <f t="shared" si="191"/>
        <v>0</v>
      </c>
      <c r="N1275" s="512">
        <f t="shared" si="191"/>
        <v>2523.1999999999998</v>
      </c>
      <c r="O1275" s="512">
        <f t="shared" si="191"/>
        <v>6308615</v>
      </c>
      <c r="P1275" s="512">
        <f t="shared" si="191"/>
        <v>0</v>
      </c>
      <c r="Q1275" s="512">
        <f t="shared" si="191"/>
        <v>0</v>
      </c>
      <c r="R1275" s="512">
        <f t="shared" si="191"/>
        <v>0</v>
      </c>
      <c r="S1275" s="512">
        <f t="shared" si="191"/>
        <v>0</v>
      </c>
      <c r="T1275" s="512">
        <f t="shared" si="191"/>
        <v>0</v>
      </c>
      <c r="U1275" s="512">
        <f t="shared" si="191"/>
        <v>0</v>
      </c>
      <c r="V1275" s="196" t="e">
        <f>V1276++V1277+#REF!+V1278</f>
        <v>#REF!</v>
      </c>
      <c r="W1275" s="282"/>
      <c r="X1275" s="282"/>
    </row>
    <row r="1276" spans="1:30" ht="15.75">
      <c r="A1276" s="470">
        <v>215</v>
      </c>
      <c r="B1276" s="877" t="s">
        <v>943</v>
      </c>
      <c r="C1276" s="512">
        <f>'часть 1'!L1309</f>
        <v>3237114</v>
      </c>
      <c r="D1276" s="512">
        <f t="shared" ref="D1276:D1278" si="192">E1276+F1276+G1276+H1276+I1276+J1276+K1276</f>
        <v>0</v>
      </c>
      <c r="E1276" s="512">
        <v>0</v>
      </c>
      <c r="F1276" s="512">
        <v>0</v>
      </c>
      <c r="G1276" s="512">
        <v>0</v>
      </c>
      <c r="H1276" s="512">
        <v>0</v>
      </c>
      <c r="I1276" s="512">
        <v>0</v>
      </c>
      <c r="J1276" s="512">
        <v>0</v>
      </c>
      <c r="K1276" s="558">
        <v>0</v>
      </c>
      <c r="L1276" s="651">
        <v>0</v>
      </c>
      <c r="M1276" s="518">
        <v>0</v>
      </c>
      <c r="N1276" s="518">
        <v>1295</v>
      </c>
      <c r="O1276" s="518">
        <v>3237114</v>
      </c>
      <c r="P1276" s="651">
        <v>0</v>
      </c>
      <c r="Q1276" s="518">
        <v>0</v>
      </c>
      <c r="R1276" s="652">
        <v>0</v>
      </c>
      <c r="S1276" s="518">
        <v>0</v>
      </c>
      <c r="T1276" s="651">
        <v>0</v>
      </c>
      <c r="U1276" s="477">
        <v>0</v>
      </c>
      <c r="V1276" s="282"/>
      <c r="W1276" s="282">
        <f>O1276/N1276</f>
        <v>2499.7019305019303</v>
      </c>
      <c r="X1276" s="282"/>
      <c r="AD1276" s="1">
        <f>J1276/'часть 1'!I1309</f>
        <v>0</v>
      </c>
    </row>
    <row r="1277" spans="1:30" ht="15.75">
      <c r="A1277" s="470">
        <v>216</v>
      </c>
      <c r="B1277" s="877" t="s">
        <v>741</v>
      </c>
      <c r="C1277" s="512">
        <f>'часть 1'!L1310</f>
        <v>3071501</v>
      </c>
      <c r="D1277" s="512">
        <f t="shared" si="192"/>
        <v>0</v>
      </c>
      <c r="E1277" s="512">
        <v>0</v>
      </c>
      <c r="F1277" s="512">
        <v>0</v>
      </c>
      <c r="G1277" s="512">
        <v>0</v>
      </c>
      <c r="H1277" s="512">
        <v>0</v>
      </c>
      <c r="I1277" s="512">
        <v>0</v>
      </c>
      <c r="J1277" s="512">
        <v>0</v>
      </c>
      <c r="K1277" s="558">
        <v>0</v>
      </c>
      <c r="L1277" s="651">
        <v>0</v>
      </c>
      <c r="M1277" s="518">
        <v>0</v>
      </c>
      <c r="N1277" s="518">
        <v>1228.2</v>
      </c>
      <c r="O1277" s="518">
        <v>3071501</v>
      </c>
      <c r="P1277" s="651">
        <v>0</v>
      </c>
      <c r="Q1277" s="518">
        <v>0</v>
      </c>
      <c r="R1277" s="652">
        <v>0</v>
      </c>
      <c r="S1277" s="518">
        <v>0</v>
      </c>
      <c r="T1277" s="651">
        <v>0</v>
      </c>
      <c r="U1277" s="477">
        <v>0</v>
      </c>
      <c r="V1277" s="282"/>
      <c r="W1277" s="282">
        <f>O1277/N1277</f>
        <v>2500.8150138413939</v>
      </c>
      <c r="X1277" s="282"/>
    </row>
    <row r="1278" spans="1:30" ht="15.75">
      <c r="A1278" s="470">
        <v>218</v>
      </c>
      <c r="B1278" s="877" t="s">
        <v>742</v>
      </c>
      <c r="C1278" s="512">
        <f>'часть 1'!L1311</f>
        <v>3698811</v>
      </c>
      <c r="D1278" s="512">
        <f t="shared" si="192"/>
        <v>3698811</v>
      </c>
      <c r="E1278" s="512">
        <v>0</v>
      </c>
      <c r="F1278" s="512">
        <v>0</v>
      </c>
      <c r="G1278" s="512">
        <v>0</v>
      </c>
      <c r="H1278" s="512">
        <v>0</v>
      </c>
      <c r="I1278" s="512">
        <v>3698811</v>
      </c>
      <c r="J1278" s="512">
        <v>0</v>
      </c>
      <c r="K1278" s="558">
        <v>0</v>
      </c>
      <c r="L1278" s="651">
        <v>0</v>
      </c>
      <c r="M1278" s="518">
        <v>0</v>
      </c>
      <c r="N1278" s="518">
        <v>0</v>
      </c>
      <c r="O1278" s="518">
        <v>0</v>
      </c>
      <c r="P1278" s="651">
        <v>0</v>
      </c>
      <c r="Q1278" s="518">
        <v>0</v>
      </c>
      <c r="R1278" s="652">
        <v>0</v>
      </c>
      <c r="S1278" s="518">
        <v>0</v>
      </c>
      <c r="T1278" s="651">
        <v>0</v>
      </c>
      <c r="U1278" s="477">
        <v>0</v>
      </c>
      <c r="V1278" s="282"/>
      <c r="W1278" s="282"/>
      <c r="X1278" s="282"/>
      <c r="AC1278" s="1">
        <f>I1278/'часть 1'!I1311</f>
        <v>781.28268712454701</v>
      </c>
    </row>
    <row r="1279" spans="1:30">
      <c r="A1279" s="470"/>
      <c r="B1279" s="524"/>
      <c r="C1279" s="512"/>
      <c r="D1279" s="512"/>
      <c r="E1279" s="512"/>
      <c r="F1279" s="512"/>
      <c r="G1279" s="512"/>
      <c r="H1279" s="512"/>
      <c r="I1279" s="512"/>
      <c r="J1279" s="512"/>
      <c r="K1279" s="512"/>
      <c r="L1279" s="651"/>
      <c r="M1279" s="518"/>
      <c r="N1279" s="518"/>
      <c r="O1279" s="518"/>
      <c r="P1279" s="651"/>
      <c r="Q1279" s="518"/>
      <c r="R1279" s="652"/>
      <c r="S1279" s="518"/>
      <c r="T1279" s="651"/>
      <c r="U1279" s="477"/>
      <c r="V1279" s="282"/>
      <c r="W1279" s="282"/>
      <c r="X1279" s="282"/>
    </row>
    <row r="1280" spans="1:30">
      <c r="A1280" s="470"/>
      <c r="B1280" s="524"/>
      <c r="C1280" s="512"/>
      <c r="D1280" s="512"/>
      <c r="E1280" s="512"/>
      <c r="F1280" s="512"/>
      <c r="G1280" s="512"/>
      <c r="H1280" s="512"/>
      <c r="I1280" s="512"/>
      <c r="J1280" s="512"/>
      <c r="K1280" s="558"/>
      <c r="L1280" s="651"/>
      <c r="M1280" s="518"/>
      <c r="N1280" s="518"/>
      <c r="O1280" s="518"/>
      <c r="P1280" s="651"/>
      <c r="Q1280" s="518"/>
      <c r="R1280" s="652"/>
      <c r="S1280" s="518"/>
      <c r="T1280" s="651"/>
      <c r="U1280" s="477"/>
      <c r="V1280" s="282"/>
      <c r="W1280" s="282"/>
      <c r="X1280" s="282"/>
    </row>
    <row r="1281" spans="1:24">
      <c r="A1281" s="470"/>
      <c r="B1281" s="524"/>
      <c r="C1281" s="512"/>
      <c r="D1281" s="512"/>
      <c r="E1281" s="512"/>
      <c r="F1281" s="512"/>
      <c r="G1281" s="512"/>
      <c r="H1281" s="512"/>
      <c r="I1281" s="512"/>
      <c r="J1281" s="512"/>
      <c r="K1281" s="512"/>
      <c r="L1281" s="651"/>
      <c r="M1281" s="518"/>
      <c r="N1281" s="518"/>
      <c r="O1281" s="518"/>
      <c r="P1281" s="651"/>
      <c r="Q1281" s="518"/>
      <c r="R1281" s="652"/>
      <c r="S1281" s="518"/>
      <c r="T1281" s="651"/>
      <c r="U1281" s="477"/>
      <c r="V1281" s="282"/>
      <c r="W1281" s="282"/>
      <c r="X1281" s="282"/>
    </row>
    <row r="1282" spans="1:24">
      <c r="A1282" s="470"/>
      <c r="B1282" s="524"/>
      <c r="C1282" s="512"/>
      <c r="D1282" s="512"/>
      <c r="E1282" s="512"/>
      <c r="F1282" s="512"/>
      <c r="G1282" s="512"/>
      <c r="H1282" s="512"/>
      <c r="I1282" s="512"/>
      <c r="J1282" s="512"/>
      <c r="K1282" s="512"/>
      <c r="L1282" s="651"/>
      <c r="M1282" s="518"/>
      <c r="N1282" s="518"/>
      <c r="O1282" s="518"/>
      <c r="P1282" s="651"/>
      <c r="Q1282" s="518"/>
      <c r="R1282" s="652"/>
      <c r="S1282" s="518"/>
      <c r="T1282" s="651"/>
      <c r="U1282" s="477"/>
      <c r="V1282" s="282"/>
      <c r="W1282" s="282"/>
      <c r="X1282" s="282"/>
    </row>
    <row r="1283" spans="1:24">
      <c r="A1283" s="470"/>
      <c r="B1283" s="524"/>
      <c r="C1283" s="512"/>
      <c r="D1283" s="512"/>
      <c r="E1283" s="512"/>
      <c r="F1283" s="512"/>
      <c r="G1283" s="512"/>
      <c r="H1283" s="512"/>
      <c r="I1283" s="512"/>
      <c r="J1283" s="512"/>
      <c r="K1283" s="558"/>
      <c r="L1283" s="651"/>
      <c r="M1283" s="518"/>
      <c r="N1283" s="518"/>
      <c r="O1283" s="518"/>
      <c r="P1283" s="651"/>
      <c r="Q1283" s="518"/>
      <c r="R1283" s="652"/>
      <c r="S1283" s="518"/>
      <c r="T1283" s="651"/>
      <c r="U1283" s="477"/>
      <c r="V1283" s="282"/>
      <c r="W1283" s="282"/>
      <c r="X1283" s="282"/>
    </row>
    <row r="1284" spans="1:24">
      <c r="A1284" s="470"/>
      <c r="B1284" s="524"/>
      <c r="C1284" s="512"/>
      <c r="D1284" s="512"/>
      <c r="E1284" s="512"/>
      <c r="F1284" s="512"/>
      <c r="G1284" s="512"/>
      <c r="H1284" s="512"/>
      <c r="I1284" s="512"/>
      <c r="J1284" s="512"/>
      <c r="K1284" s="558"/>
      <c r="L1284" s="651"/>
      <c r="M1284" s="518"/>
      <c r="N1284" s="518"/>
      <c r="O1284" s="518"/>
      <c r="P1284" s="651"/>
      <c r="Q1284" s="518"/>
      <c r="R1284" s="652"/>
      <c r="S1284" s="518"/>
      <c r="T1284" s="651"/>
      <c r="U1284" s="477"/>
      <c r="V1284" s="282"/>
      <c r="W1284" s="282"/>
      <c r="X1284" s="282"/>
    </row>
    <row r="1285" spans="1:24">
      <c r="A1285" s="470"/>
      <c r="B1285" s="524"/>
      <c r="C1285" s="512"/>
      <c r="D1285" s="512"/>
      <c r="E1285" s="512"/>
      <c r="F1285" s="512"/>
      <c r="G1285" s="512"/>
      <c r="H1285" s="512"/>
      <c r="I1285" s="512"/>
      <c r="J1285" s="512"/>
      <c r="K1285" s="558"/>
      <c r="L1285" s="651"/>
      <c r="M1285" s="518"/>
      <c r="N1285" s="518"/>
      <c r="O1285" s="518"/>
      <c r="P1285" s="651"/>
      <c r="Q1285" s="518"/>
      <c r="R1285" s="652"/>
      <c r="S1285" s="518"/>
      <c r="T1285" s="651"/>
      <c r="U1285" s="477"/>
      <c r="V1285" s="282"/>
      <c r="W1285" s="282"/>
      <c r="X1285" s="282"/>
    </row>
    <row r="1286" spans="1:24">
      <c r="A1286" s="470"/>
      <c r="B1286" s="524"/>
      <c r="C1286" s="512"/>
      <c r="D1286" s="512"/>
      <c r="E1286" s="512"/>
      <c r="F1286" s="512"/>
      <c r="G1286" s="512"/>
      <c r="H1286" s="512"/>
      <c r="I1286" s="512"/>
      <c r="J1286" s="512"/>
      <c r="K1286" s="558"/>
      <c r="L1286" s="651"/>
      <c r="M1286" s="518"/>
      <c r="N1286" s="518"/>
      <c r="O1286" s="518"/>
      <c r="P1286" s="651"/>
      <c r="Q1286" s="518"/>
      <c r="R1286" s="652"/>
      <c r="S1286" s="518"/>
      <c r="T1286" s="651"/>
      <c r="U1286" s="477"/>
      <c r="V1286" s="282"/>
      <c r="W1286" s="282"/>
      <c r="X1286" s="282"/>
    </row>
    <row r="1287" spans="1:24">
      <c r="A1287" s="470"/>
      <c r="B1287" s="524"/>
      <c r="C1287" s="512"/>
      <c r="D1287" s="512"/>
      <c r="E1287" s="512"/>
      <c r="F1287" s="512"/>
      <c r="G1287" s="512"/>
      <c r="H1287" s="512"/>
      <c r="I1287" s="512"/>
      <c r="J1287" s="512"/>
      <c r="K1287" s="558"/>
      <c r="L1287" s="651"/>
      <c r="M1287" s="518"/>
      <c r="N1287" s="518"/>
      <c r="O1287" s="518"/>
      <c r="P1287" s="651"/>
      <c r="Q1287" s="518"/>
      <c r="R1287" s="652"/>
      <c r="S1287" s="518"/>
      <c r="T1287" s="651"/>
      <c r="U1287" s="477"/>
      <c r="V1287" s="282"/>
      <c r="W1287" s="282"/>
      <c r="X1287" s="282"/>
    </row>
    <row r="1288" spans="1:24" ht="18.600000000000001" customHeight="1">
      <c r="A1288" s="470"/>
      <c r="B1288" s="524" t="s">
        <v>864</v>
      </c>
      <c r="C1288" s="512">
        <f>C1289</f>
        <v>1112894</v>
      </c>
      <c r="D1288" s="512">
        <f t="shared" ref="D1288:V1288" si="193">D1289</f>
        <v>0</v>
      </c>
      <c r="E1288" s="512">
        <f t="shared" si="193"/>
        <v>0</v>
      </c>
      <c r="F1288" s="512">
        <f t="shared" si="193"/>
        <v>0</v>
      </c>
      <c r="G1288" s="512">
        <f t="shared" si="193"/>
        <v>0</v>
      </c>
      <c r="H1288" s="512">
        <f t="shared" si="193"/>
        <v>0</v>
      </c>
      <c r="I1288" s="512">
        <f t="shared" si="193"/>
        <v>0</v>
      </c>
      <c r="J1288" s="512">
        <f t="shared" si="193"/>
        <v>0</v>
      </c>
      <c r="K1288" s="512">
        <f t="shared" si="193"/>
        <v>0</v>
      </c>
      <c r="L1288" s="512">
        <f t="shared" si="193"/>
        <v>0</v>
      </c>
      <c r="M1288" s="512">
        <f t="shared" si="193"/>
        <v>0</v>
      </c>
      <c r="N1288" s="512">
        <f t="shared" si="193"/>
        <v>0</v>
      </c>
      <c r="O1288" s="512">
        <f t="shared" si="193"/>
        <v>0</v>
      </c>
      <c r="P1288" s="512">
        <f t="shared" si="193"/>
        <v>0</v>
      </c>
      <c r="Q1288" s="512">
        <f t="shared" si="193"/>
        <v>0</v>
      </c>
      <c r="R1288" s="512">
        <f t="shared" si="193"/>
        <v>721.5</v>
      </c>
      <c r="S1288" s="512">
        <f t="shared" si="193"/>
        <v>1112894</v>
      </c>
      <c r="T1288" s="512">
        <f t="shared" si="193"/>
        <v>0</v>
      </c>
      <c r="U1288" s="512">
        <f t="shared" si="193"/>
        <v>0</v>
      </c>
      <c r="V1288" s="196">
        <f t="shared" si="193"/>
        <v>0</v>
      </c>
      <c r="W1288" s="282"/>
      <c r="X1288" s="282"/>
    </row>
    <row r="1289" spans="1:24">
      <c r="A1289" s="470"/>
      <c r="B1289" s="524" t="s">
        <v>869</v>
      </c>
      <c r="C1289" s="512">
        <f>'часть 1'!L1321</f>
        <v>1112894</v>
      </c>
      <c r="D1289" s="512">
        <v>0</v>
      </c>
      <c r="E1289" s="512">
        <v>0</v>
      </c>
      <c r="F1289" s="512">
        <v>0</v>
      </c>
      <c r="G1289" s="512">
        <v>0</v>
      </c>
      <c r="H1289" s="512">
        <v>0</v>
      </c>
      <c r="I1289" s="512">
        <v>0</v>
      </c>
      <c r="J1289" s="512">
        <v>0</v>
      </c>
      <c r="K1289" s="558">
        <v>0</v>
      </c>
      <c r="L1289" s="651">
        <v>0</v>
      </c>
      <c r="M1289" s="518">
        <v>0</v>
      </c>
      <c r="N1289" s="558">
        <v>0</v>
      </c>
      <c r="O1289" s="558">
        <v>0</v>
      </c>
      <c r="P1289" s="651">
        <v>0</v>
      </c>
      <c r="Q1289" s="518">
        <v>0</v>
      </c>
      <c r="R1289" s="815">
        <v>721.5</v>
      </c>
      <c r="S1289" s="518">
        <v>1112894</v>
      </c>
      <c r="T1289" s="651">
        <v>0</v>
      </c>
      <c r="U1289" s="477">
        <v>0</v>
      </c>
      <c r="V1289" s="282"/>
      <c r="W1289" s="282"/>
      <c r="X1289" s="282">
        <f>S1289/R1289</f>
        <v>1542.4726264726264</v>
      </c>
    </row>
    <row r="1290" spans="1:24" ht="18.75" customHeight="1">
      <c r="A1290" s="470"/>
      <c r="B1290" s="480" t="s">
        <v>72</v>
      </c>
      <c r="C1290" s="512">
        <f>C1291</f>
        <v>4547991</v>
      </c>
      <c r="D1290" s="512">
        <f t="shared" ref="D1290:V1290" si="194">D1291</f>
        <v>0</v>
      </c>
      <c r="E1290" s="512">
        <f t="shared" si="194"/>
        <v>0</v>
      </c>
      <c r="F1290" s="512">
        <f t="shared" si="194"/>
        <v>0</v>
      </c>
      <c r="G1290" s="512">
        <f t="shared" si="194"/>
        <v>0</v>
      </c>
      <c r="H1290" s="512">
        <f t="shared" si="194"/>
        <v>0</v>
      </c>
      <c r="I1290" s="512">
        <f t="shared" si="194"/>
        <v>0</v>
      </c>
      <c r="J1290" s="512">
        <f t="shared" si="194"/>
        <v>0</v>
      </c>
      <c r="K1290" s="512">
        <f t="shared" si="194"/>
        <v>0</v>
      </c>
      <c r="L1290" s="512">
        <f t="shared" si="194"/>
        <v>0</v>
      </c>
      <c r="M1290" s="512">
        <f t="shared" si="194"/>
        <v>0</v>
      </c>
      <c r="N1290" s="512">
        <f t="shared" si="194"/>
        <v>460</v>
      </c>
      <c r="O1290" s="512">
        <f t="shared" si="194"/>
        <v>1471990</v>
      </c>
      <c r="P1290" s="512">
        <f t="shared" si="194"/>
        <v>0</v>
      </c>
      <c r="Q1290" s="512">
        <f t="shared" si="194"/>
        <v>0</v>
      </c>
      <c r="R1290" s="512">
        <f t="shared" si="194"/>
        <v>2006</v>
      </c>
      <c r="S1290" s="512">
        <f t="shared" si="194"/>
        <v>3076001</v>
      </c>
      <c r="T1290" s="512">
        <f t="shared" si="194"/>
        <v>0</v>
      </c>
      <c r="U1290" s="512">
        <f t="shared" si="194"/>
        <v>0</v>
      </c>
      <c r="V1290" s="196">
        <f t="shared" si="194"/>
        <v>0</v>
      </c>
      <c r="W1290" s="282"/>
      <c r="X1290" s="282"/>
    </row>
    <row r="1291" spans="1:24" ht="30.75" customHeight="1">
      <c r="A1291" s="470"/>
      <c r="B1291" s="480" t="s">
        <v>95</v>
      </c>
      <c r="C1291" s="512">
        <f>C1292+C1293+C1294+C1295</f>
        <v>4547991</v>
      </c>
      <c r="D1291" s="512">
        <f t="shared" ref="D1291:U1291" si="195">D1292+D1293+D1294+D1295</f>
        <v>0</v>
      </c>
      <c r="E1291" s="512">
        <f t="shared" si="195"/>
        <v>0</v>
      </c>
      <c r="F1291" s="512">
        <f t="shared" si="195"/>
        <v>0</v>
      </c>
      <c r="G1291" s="512">
        <f t="shared" si="195"/>
        <v>0</v>
      </c>
      <c r="H1291" s="512">
        <f t="shared" si="195"/>
        <v>0</v>
      </c>
      <c r="I1291" s="512">
        <f t="shared" si="195"/>
        <v>0</v>
      </c>
      <c r="J1291" s="512">
        <f t="shared" si="195"/>
        <v>0</v>
      </c>
      <c r="K1291" s="512">
        <f t="shared" si="195"/>
        <v>0</v>
      </c>
      <c r="L1291" s="512">
        <f t="shared" si="195"/>
        <v>0</v>
      </c>
      <c r="M1291" s="512">
        <f t="shared" si="195"/>
        <v>0</v>
      </c>
      <c r="N1291" s="512">
        <f t="shared" si="195"/>
        <v>460</v>
      </c>
      <c r="O1291" s="512">
        <f t="shared" si="195"/>
        <v>1471990</v>
      </c>
      <c r="P1291" s="512">
        <f t="shared" si="195"/>
        <v>0</v>
      </c>
      <c r="Q1291" s="512">
        <f t="shared" si="195"/>
        <v>0</v>
      </c>
      <c r="R1291" s="512">
        <f t="shared" si="195"/>
        <v>2006</v>
      </c>
      <c r="S1291" s="512">
        <f t="shared" si="195"/>
        <v>3076001</v>
      </c>
      <c r="T1291" s="512">
        <f t="shared" si="195"/>
        <v>0</v>
      </c>
      <c r="U1291" s="512">
        <f t="shared" si="195"/>
        <v>0</v>
      </c>
      <c r="V1291" s="282"/>
      <c r="W1291" s="282"/>
      <c r="X1291" s="282"/>
    </row>
    <row r="1292" spans="1:24" ht="15.75">
      <c r="A1292" s="470">
        <v>231</v>
      </c>
      <c r="B1292" s="338" t="s">
        <v>625</v>
      </c>
      <c r="C1292" s="512">
        <f>'часть 1'!L1324</f>
        <v>2106656</v>
      </c>
      <c r="D1292" s="512">
        <v>0</v>
      </c>
      <c r="E1292" s="512">
        <v>0</v>
      </c>
      <c r="F1292" s="512">
        <v>0</v>
      </c>
      <c r="G1292" s="512">
        <v>0</v>
      </c>
      <c r="H1292" s="512">
        <v>0</v>
      </c>
      <c r="I1292" s="512">
        <v>0</v>
      </c>
      <c r="J1292" s="512">
        <v>0</v>
      </c>
      <c r="K1292" s="512">
        <v>0</v>
      </c>
      <c r="L1292" s="525">
        <v>0</v>
      </c>
      <c r="M1292" s="562">
        <v>0</v>
      </c>
      <c r="N1292" s="472">
        <v>460</v>
      </c>
      <c r="O1292" s="512">
        <v>1471990</v>
      </c>
      <c r="P1292" s="525">
        <v>0</v>
      </c>
      <c r="Q1292" s="512">
        <v>0</v>
      </c>
      <c r="R1292" s="513">
        <v>412</v>
      </c>
      <c r="S1292" s="512">
        <v>634666</v>
      </c>
      <c r="T1292" s="525">
        <v>0</v>
      </c>
      <c r="U1292" s="563">
        <v>0</v>
      </c>
      <c r="V1292" s="282"/>
      <c r="W1292" s="282">
        <f>O1292/N1292</f>
        <v>3199.978260869565</v>
      </c>
      <c r="X1292" s="282">
        <f>S1292/R1292</f>
        <v>1540.4514563106795</v>
      </c>
    </row>
    <row r="1293" spans="1:24" ht="15.75">
      <c r="A1293" s="470">
        <v>232</v>
      </c>
      <c r="B1293" s="338" t="s">
        <v>626</v>
      </c>
      <c r="C1293" s="512">
        <f>'часть 1'!L1325</f>
        <v>649678</v>
      </c>
      <c r="D1293" s="512">
        <v>0</v>
      </c>
      <c r="E1293" s="512">
        <v>0</v>
      </c>
      <c r="F1293" s="512">
        <v>0</v>
      </c>
      <c r="G1293" s="512">
        <v>0</v>
      </c>
      <c r="H1293" s="512">
        <v>0</v>
      </c>
      <c r="I1293" s="512">
        <v>0</v>
      </c>
      <c r="J1293" s="512">
        <v>0</v>
      </c>
      <c r="K1293" s="512">
        <v>0</v>
      </c>
      <c r="L1293" s="525">
        <v>0</v>
      </c>
      <c r="M1293" s="562">
        <v>0</v>
      </c>
      <c r="N1293" s="472">
        <v>0</v>
      </c>
      <c r="O1293" s="512">
        <v>0</v>
      </c>
      <c r="P1293" s="525">
        <v>0</v>
      </c>
      <c r="Q1293" s="512">
        <v>0</v>
      </c>
      <c r="R1293" s="513">
        <v>422</v>
      </c>
      <c r="S1293" s="512">
        <v>649678</v>
      </c>
      <c r="T1293" s="525">
        <v>0</v>
      </c>
      <c r="U1293" s="563">
        <v>0</v>
      </c>
      <c r="V1293" s="282"/>
      <c r="W1293" s="282"/>
      <c r="X1293" s="282">
        <f t="shared" ref="X1293:X1295" si="196">S1293/R1293</f>
        <v>1539.5213270142181</v>
      </c>
    </row>
    <row r="1294" spans="1:24" ht="15.75">
      <c r="A1294" s="470">
        <v>233</v>
      </c>
      <c r="B1294" s="338" t="s">
        <v>443</v>
      </c>
      <c r="C1294" s="512">
        <f>'часть 1'!L1326</f>
        <v>1157557</v>
      </c>
      <c r="D1294" s="512">
        <v>0</v>
      </c>
      <c r="E1294" s="512">
        <v>0</v>
      </c>
      <c r="F1294" s="512">
        <v>0</v>
      </c>
      <c r="G1294" s="512">
        <v>0</v>
      </c>
      <c r="H1294" s="512">
        <v>0</v>
      </c>
      <c r="I1294" s="512">
        <v>0</v>
      </c>
      <c r="J1294" s="512">
        <v>0</v>
      </c>
      <c r="K1294" s="512">
        <v>0</v>
      </c>
      <c r="L1294" s="525">
        <v>0</v>
      </c>
      <c r="M1294" s="562">
        <v>0</v>
      </c>
      <c r="N1294" s="472">
        <v>0</v>
      </c>
      <c r="O1294" s="512">
        <v>0</v>
      </c>
      <c r="P1294" s="525">
        <v>0</v>
      </c>
      <c r="Q1294" s="512">
        <v>0</v>
      </c>
      <c r="R1294" s="513">
        <v>760</v>
      </c>
      <c r="S1294" s="512">
        <v>1157557</v>
      </c>
      <c r="T1294" s="525">
        <v>0</v>
      </c>
      <c r="U1294" s="563">
        <v>0</v>
      </c>
      <c r="V1294" s="282"/>
      <c r="W1294" s="282"/>
      <c r="X1294" s="282">
        <f t="shared" si="196"/>
        <v>1523.1013157894736</v>
      </c>
    </row>
    <row r="1295" spans="1:24" ht="15.75">
      <c r="A1295" s="470">
        <v>234</v>
      </c>
      <c r="B1295" s="338" t="s">
        <v>391</v>
      </c>
      <c r="C1295" s="512">
        <f>'часть 1'!L1327</f>
        <v>634100</v>
      </c>
      <c r="D1295" s="512">
        <v>0</v>
      </c>
      <c r="E1295" s="512">
        <v>0</v>
      </c>
      <c r="F1295" s="512">
        <v>0</v>
      </c>
      <c r="G1295" s="512">
        <v>0</v>
      </c>
      <c r="H1295" s="512">
        <v>0</v>
      </c>
      <c r="I1295" s="512">
        <v>0</v>
      </c>
      <c r="J1295" s="512">
        <v>0</v>
      </c>
      <c r="K1295" s="512">
        <v>0</v>
      </c>
      <c r="L1295" s="525">
        <v>0</v>
      </c>
      <c r="M1295" s="562">
        <v>0</v>
      </c>
      <c r="N1295" s="472">
        <v>0</v>
      </c>
      <c r="O1295" s="512">
        <v>0</v>
      </c>
      <c r="P1295" s="525">
        <v>0</v>
      </c>
      <c r="Q1295" s="512">
        <v>0</v>
      </c>
      <c r="R1295" s="513">
        <v>412</v>
      </c>
      <c r="S1295" s="512">
        <v>634100</v>
      </c>
      <c r="T1295" s="525">
        <v>0</v>
      </c>
      <c r="U1295" s="563">
        <v>0</v>
      </c>
      <c r="V1295" s="282"/>
      <c r="W1295" s="282"/>
      <c r="X1295" s="282">
        <f t="shared" si="196"/>
        <v>1539.0776699029127</v>
      </c>
    </row>
    <row r="1296" spans="1:24" ht="15.75">
      <c r="A1296" s="470"/>
      <c r="B1296" s="338"/>
      <c r="C1296" s="512"/>
      <c r="D1296" s="512"/>
      <c r="E1296" s="512"/>
      <c r="F1296" s="512"/>
      <c r="G1296" s="512"/>
      <c r="H1296" s="512"/>
      <c r="I1296" s="512"/>
      <c r="J1296" s="512"/>
      <c r="K1296" s="512"/>
      <c r="L1296" s="525"/>
      <c r="M1296" s="562"/>
      <c r="N1296" s="472"/>
      <c r="O1296" s="512"/>
      <c r="P1296" s="525"/>
      <c r="Q1296" s="512"/>
      <c r="R1296" s="513"/>
      <c r="S1296" s="562"/>
      <c r="T1296" s="525"/>
      <c r="U1296" s="563"/>
      <c r="V1296" s="282"/>
      <c r="W1296" s="282"/>
      <c r="X1296" s="282"/>
    </row>
    <row r="1297" spans="1:35" ht="15.75">
      <c r="A1297" s="470"/>
      <c r="B1297" s="338"/>
      <c r="C1297" s="512"/>
      <c r="D1297" s="512"/>
      <c r="E1297" s="512"/>
      <c r="F1297" s="512"/>
      <c r="G1297" s="512"/>
      <c r="H1297" s="512"/>
      <c r="I1297" s="512"/>
      <c r="J1297" s="512"/>
      <c r="K1297" s="512"/>
      <c r="L1297" s="525"/>
      <c r="M1297" s="562"/>
      <c r="N1297" s="472"/>
      <c r="O1297" s="512"/>
      <c r="P1297" s="525"/>
      <c r="Q1297" s="512"/>
      <c r="R1297" s="513"/>
      <c r="S1297" s="562"/>
      <c r="T1297" s="525"/>
      <c r="U1297" s="563"/>
      <c r="V1297" s="282"/>
      <c r="W1297" s="282"/>
      <c r="X1297" s="282"/>
    </row>
    <row r="1298" spans="1:35" ht="15.75">
      <c r="A1298" s="470"/>
      <c r="B1298" s="338"/>
      <c r="C1298" s="512"/>
      <c r="D1298" s="512"/>
      <c r="E1298" s="512"/>
      <c r="F1298" s="512"/>
      <c r="G1298" s="512"/>
      <c r="H1298" s="512"/>
      <c r="I1298" s="512"/>
      <c r="J1298" s="512"/>
      <c r="K1298" s="512"/>
      <c r="L1298" s="525"/>
      <c r="M1298" s="562"/>
      <c r="N1298" s="472"/>
      <c r="O1298" s="512"/>
      <c r="P1298" s="525"/>
      <c r="Q1298" s="512"/>
      <c r="R1298" s="513"/>
      <c r="S1298" s="562"/>
      <c r="T1298" s="525"/>
      <c r="U1298" s="563"/>
      <c r="V1298" s="282"/>
      <c r="W1298" s="282"/>
      <c r="X1298" s="282"/>
    </row>
    <row r="1299" spans="1:35">
      <c r="A1299" s="198"/>
      <c r="B1299" s="217" t="s">
        <v>41</v>
      </c>
      <c r="C1299" s="192">
        <f>C1300</f>
        <v>12671361</v>
      </c>
      <c r="D1299" s="192">
        <f t="shared" ref="D1299:U1299" si="197">D1300</f>
        <v>8521269</v>
      </c>
      <c r="E1299" s="192">
        <f t="shared" si="197"/>
        <v>0</v>
      </c>
      <c r="F1299" s="192">
        <f t="shared" si="197"/>
        <v>5886903</v>
      </c>
      <c r="G1299" s="192">
        <f t="shared" si="197"/>
        <v>0</v>
      </c>
      <c r="H1299" s="192">
        <f t="shared" si="197"/>
        <v>1602037</v>
      </c>
      <c r="I1299" s="192">
        <f t="shared" si="197"/>
        <v>0</v>
      </c>
      <c r="J1299" s="192">
        <f t="shared" si="197"/>
        <v>1032329</v>
      </c>
      <c r="K1299" s="192">
        <f t="shared" si="197"/>
        <v>0</v>
      </c>
      <c r="L1299" s="192">
        <f t="shared" si="197"/>
        <v>0</v>
      </c>
      <c r="M1299" s="192">
        <f t="shared" si="197"/>
        <v>0</v>
      </c>
      <c r="N1299" s="192">
        <f t="shared" si="197"/>
        <v>1654</v>
      </c>
      <c r="O1299" s="192">
        <f t="shared" si="197"/>
        <v>4150092</v>
      </c>
      <c r="P1299" s="192">
        <f t="shared" si="197"/>
        <v>0</v>
      </c>
      <c r="Q1299" s="192">
        <f t="shared" si="197"/>
        <v>0</v>
      </c>
      <c r="R1299" s="192">
        <f t="shared" si="197"/>
        <v>0</v>
      </c>
      <c r="S1299" s="192">
        <f t="shared" si="197"/>
        <v>0</v>
      </c>
      <c r="T1299" s="192">
        <f t="shared" si="197"/>
        <v>0</v>
      </c>
      <c r="U1299" s="192">
        <f t="shared" si="197"/>
        <v>0</v>
      </c>
      <c r="V1299" s="282"/>
      <c r="W1299" s="282"/>
      <c r="X1299" s="282"/>
    </row>
    <row r="1300" spans="1:35" ht="30">
      <c r="A1300" s="198"/>
      <c r="B1300" s="195" t="s">
        <v>96</v>
      </c>
      <c r="C1300" s="196">
        <f>C1301+C1302+C1303+C1304</f>
        <v>12671361</v>
      </c>
      <c r="D1300" s="196">
        <f t="shared" ref="D1300:U1300" si="198">D1301+D1302+D1303+D1304</f>
        <v>8521269</v>
      </c>
      <c r="E1300" s="196">
        <f t="shared" si="198"/>
        <v>0</v>
      </c>
      <c r="F1300" s="196">
        <f t="shared" si="198"/>
        <v>5886903</v>
      </c>
      <c r="G1300" s="196">
        <f t="shared" si="198"/>
        <v>0</v>
      </c>
      <c r="H1300" s="196">
        <f t="shared" si="198"/>
        <v>1602037</v>
      </c>
      <c r="I1300" s="196">
        <f t="shared" si="198"/>
        <v>0</v>
      </c>
      <c r="J1300" s="196">
        <f t="shared" si="198"/>
        <v>1032329</v>
      </c>
      <c r="K1300" s="196">
        <f t="shared" si="198"/>
        <v>0</v>
      </c>
      <c r="L1300" s="196">
        <f t="shared" si="198"/>
        <v>0</v>
      </c>
      <c r="M1300" s="196">
        <f t="shared" si="198"/>
        <v>0</v>
      </c>
      <c r="N1300" s="196">
        <f t="shared" si="198"/>
        <v>1654</v>
      </c>
      <c r="O1300" s="196">
        <f t="shared" si="198"/>
        <v>4150092</v>
      </c>
      <c r="P1300" s="196">
        <f t="shared" si="198"/>
        <v>0</v>
      </c>
      <c r="Q1300" s="196">
        <f t="shared" si="198"/>
        <v>0</v>
      </c>
      <c r="R1300" s="196">
        <f t="shared" si="198"/>
        <v>0</v>
      </c>
      <c r="S1300" s="196">
        <f t="shared" si="198"/>
        <v>0</v>
      </c>
      <c r="T1300" s="196">
        <f t="shared" si="198"/>
        <v>0</v>
      </c>
      <c r="U1300" s="196">
        <f t="shared" si="198"/>
        <v>0</v>
      </c>
      <c r="V1300" s="196">
        <f t="shared" ref="V1300" si="199">V1301+V1302+V1303+V1304</f>
        <v>0</v>
      </c>
      <c r="W1300" s="282"/>
      <c r="X1300" s="282"/>
    </row>
    <row r="1301" spans="1:35" ht="31.5">
      <c r="A1301" s="198">
        <v>238</v>
      </c>
      <c r="B1301" s="780" t="s">
        <v>831</v>
      </c>
      <c r="C1301" s="196">
        <f>'часть 1'!L1333</f>
        <v>4056611</v>
      </c>
      <c r="D1301" s="196">
        <f>E1301+F1301+G1301+H1301+I1301+J1301+K1301</f>
        <v>4056611</v>
      </c>
      <c r="E1301" s="196">
        <v>0</v>
      </c>
      <c r="F1301" s="196">
        <v>4056611</v>
      </c>
      <c r="G1301" s="196">
        <v>0</v>
      </c>
      <c r="H1301" s="196">
        <v>0</v>
      </c>
      <c r="I1301" s="196">
        <v>0</v>
      </c>
      <c r="J1301" s="196">
        <v>0</v>
      </c>
      <c r="K1301" s="196">
        <v>0</v>
      </c>
      <c r="L1301" s="204">
        <v>0</v>
      </c>
      <c r="M1301" s="199">
        <v>0</v>
      </c>
      <c r="N1301" s="199">
        <v>0</v>
      </c>
      <c r="O1301" s="196">
        <v>0</v>
      </c>
      <c r="P1301" s="193">
        <v>0</v>
      </c>
      <c r="Q1301" s="192">
        <v>0</v>
      </c>
      <c r="R1301" s="193">
        <v>0</v>
      </c>
      <c r="S1301" s="192">
        <v>0</v>
      </c>
      <c r="T1301" s="205">
        <v>0</v>
      </c>
      <c r="U1301" s="287">
        <v>0</v>
      </c>
      <c r="V1301" s="282"/>
      <c r="W1301" s="282"/>
      <c r="X1301" s="282"/>
      <c r="AA1301" s="1">
        <f>F1301/'часть 1'!I1333</f>
        <v>997.98047638025787</v>
      </c>
    </row>
    <row r="1302" spans="1:35" ht="31.5">
      <c r="A1302" s="198">
        <v>239</v>
      </c>
      <c r="B1302" s="780" t="s">
        <v>832</v>
      </c>
      <c r="C1302" s="196">
        <f>'часть 1'!L1334</f>
        <v>2157151</v>
      </c>
      <c r="D1302" s="196">
        <f t="shared" ref="D1302:D1304" si="200">E1302+F1302+G1302+H1302+I1302+J1302+K1302</f>
        <v>0</v>
      </c>
      <c r="E1302" s="196">
        <v>0</v>
      </c>
      <c r="F1302" s="196">
        <v>0</v>
      </c>
      <c r="G1302" s="196">
        <v>0</v>
      </c>
      <c r="H1302" s="196">
        <v>0</v>
      </c>
      <c r="I1302" s="196">
        <v>0</v>
      </c>
      <c r="J1302" s="196">
        <v>0</v>
      </c>
      <c r="K1302" s="196">
        <v>0</v>
      </c>
      <c r="L1302" s="204">
        <v>0</v>
      </c>
      <c r="M1302" s="199">
        <v>0</v>
      </c>
      <c r="N1302" s="199">
        <v>860</v>
      </c>
      <c r="O1302" s="196">
        <v>2157151</v>
      </c>
      <c r="P1302" s="193">
        <v>0</v>
      </c>
      <c r="Q1302" s="192">
        <v>0</v>
      </c>
      <c r="R1302" s="193">
        <v>0</v>
      </c>
      <c r="S1302" s="192">
        <v>0</v>
      </c>
      <c r="T1302" s="205">
        <v>0</v>
      </c>
      <c r="U1302" s="287">
        <v>0</v>
      </c>
      <c r="V1302" s="282"/>
      <c r="W1302" s="282">
        <f>O1302/N1302</f>
        <v>2508.3151162790696</v>
      </c>
      <c r="X1302" s="282"/>
    </row>
    <row r="1303" spans="1:35" ht="24" customHeight="1">
      <c r="A1303" s="198">
        <v>240</v>
      </c>
      <c r="B1303" s="780" t="s">
        <v>833</v>
      </c>
      <c r="C1303" s="196">
        <f>'часть 1'!L1335</f>
        <v>1992941</v>
      </c>
      <c r="D1303" s="196">
        <f t="shared" si="200"/>
        <v>0</v>
      </c>
      <c r="E1303" s="196">
        <v>0</v>
      </c>
      <c r="F1303" s="196">
        <v>0</v>
      </c>
      <c r="G1303" s="196">
        <v>0</v>
      </c>
      <c r="H1303" s="196">
        <v>0</v>
      </c>
      <c r="I1303" s="196">
        <v>0</v>
      </c>
      <c r="J1303" s="196">
        <v>0</v>
      </c>
      <c r="K1303" s="196">
        <v>0</v>
      </c>
      <c r="L1303" s="204">
        <v>0</v>
      </c>
      <c r="M1303" s="199">
        <v>0</v>
      </c>
      <c r="N1303" s="199">
        <v>794</v>
      </c>
      <c r="O1303" s="196">
        <v>1992941</v>
      </c>
      <c r="P1303" s="193">
        <v>0</v>
      </c>
      <c r="Q1303" s="192">
        <v>0</v>
      </c>
      <c r="R1303" s="193">
        <v>0</v>
      </c>
      <c r="S1303" s="192">
        <v>0</v>
      </c>
      <c r="T1303" s="205">
        <v>0</v>
      </c>
      <c r="U1303" s="287">
        <v>0</v>
      </c>
      <c r="V1303" s="282"/>
      <c r="W1303" s="282">
        <f>O1303/N1303</f>
        <v>2510.001259445844</v>
      </c>
      <c r="X1303" s="282"/>
    </row>
    <row r="1304" spans="1:35" ht="19.899999999999999" customHeight="1">
      <c r="A1304" s="198"/>
      <c r="B1304" s="218" t="s">
        <v>948</v>
      </c>
      <c r="C1304" s="196">
        <f>'часть 1'!L1336</f>
        <v>4464658</v>
      </c>
      <c r="D1304" s="196">
        <f t="shared" si="200"/>
        <v>4464658</v>
      </c>
      <c r="E1304" s="196">
        <v>0</v>
      </c>
      <c r="F1304" s="196">
        <v>1830292</v>
      </c>
      <c r="G1304" s="196">
        <v>0</v>
      </c>
      <c r="H1304" s="196">
        <v>1602037</v>
      </c>
      <c r="I1304" s="196">
        <v>0</v>
      </c>
      <c r="J1304" s="196">
        <v>1032329</v>
      </c>
      <c r="K1304" s="196">
        <v>0</v>
      </c>
      <c r="L1304" s="204">
        <v>0</v>
      </c>
      <c r="M1304" s="199">
        <v>0</v>
      </c>
      <c r="N1304" s="192">
        <v>0</v>
      </c>
      <c r="O1304" s="192">
        <v>0</v>
      </c>
      <c r="P1304" s="193">
        <v>0</v>
      </c>
      <c r="Q1304" s="192">
        <v>0</v>
      </c>
      <c r="R1304" s="193">
        <v>0</v>
      </c>
      <c r="S1304" s="192">
        <v>0</v>
      </c>
      <c r="T1304" s="205">
        <v>0</v>
      </c>
      <c r="U1304" s="287">
        <v>0</v>
      </c>
      <c r="V1304" s="282"/>
      <c r="W1304" s="282"/>
      <c r="X1304" s="282"/>
      <c r="AA1304" s="1">
        <f>F1304/'часть 1'!I1336</f>
        <v>927.85764980229146</v>
      </c>
      <c r="AB1304" s="1">
        <f>H1304/'часть 1'!I1336</f>
        <v>812.14488492345129</v>
      </c>
      <c r="AD1304" s="1">
        <f>J1304/'часть 1'!I1336</f>
        <v>523.33417824191429</v>
      </c>
    </row>
    <row r="1305" spans="1:35">
      <c r="A1305" s="198"/>
      <c r="B1305" s="195"/>
      <c r="C1305" s="196"/>
      <c r="D1305" s="196"/>
      <c r="E1305" s="196"/>
      <c r="F1305" s="196"/>
      <c r="G1305" s="196"/>
      <c r="H1305" s="196"/>
      <c r="I1305" s="196"/>
      <c r="J1305" s="196"/>
      <c r="K1305" s="196"/>
      <c r="L1305" s="204"/>
      <c r="M1305" s="199"/>
      <c r="N1305" s="199"/>
      <c r="O1305" s="196"/>
      <c r="P1305" s="193"/>
      <c r="Q1305" s="211"/>
      <c r="R1305" s="213"/>
      <c r="S1305" s="211"/>
      <c r="T1305" s="212"/>
      <c r="U1305" s="290"/>
      <c r="V1305" s="282"/>
      <c r="W1305" s="282"/>
      <c r="X1305" s="282"/>
    </row>
    <row r="1306" spans="1:35">
      <c r="A1306" s="198"/>
      <c r="B1306" s="218" t="s">
        <v>68</v>
      </c>
      <c r="C1306" s="196">
        <f>C1307</f>
        <v>0</v>
      </c>
      <c r="D1306" s="196">
        <f t="shared" ref="D1306:U1306" si="201">D1307</f>
        <v>0</v>
      </c>
      <c r="E1306" s="196">
        <f t="shared" si="201"/>
        <v>0</v>
      </c>
      <c r="F1306" s="196">
        <f t="shared" si="201"/>
        <v>0</v>
      </c>
      <c r="G1306" s="196">
        <f t="shared" si="201"/>
        <v>0</v>
      </c>
      <c r="H1306" s="196">
        <f t="shared" si="201"/>
        <v>0</v>
      </c>
      <c r="I1306" s="196">
        <f t="shared" si="201"/>
        <v>0</v>
      </c>
      <c r="J1306" s="196">
        <f t="shared" si="201"/>
        <v>0</v>
      </c>
      <c r="K1306" s="196">
        <f t="shared" si="201"/>
        <v>0</v>
      </c>
      <c r="L1306" s="196">
        <f t="shared" si="201"/>
        <v>0</v>
      </c>
      <c r="M1306" s="196">
        <f t="shared" si="201"/>
        <v>0</v>
      </c>
      <c r="N1306" s="196">
        <f t="shared" si="201"/>
        <v>0</v>
      </c>
      <c r="O1306" s="196">
        <f t="shared" si="201"/>
        <v>0</v>
      </c>
      <c r="P1306" s="196">
        <f t="shared" si="201"/>
        <v>0</v>
      </c>
      <c r="Q1306" s="196">
        <f t="shared" si="201"/>
        <v>0</v>
      </c>
      <c r="R1306" s="196">
        <f t="shared" si="201"/>
        <v>0</v>
      </c>
      <c r="S1306" s="196">
        <f t="shared" si="201"/>
        <v>0</v>
      </c>
      <c r="T1306" s="196">
        <f t="shared" si="201"/>
        <v>0</v>
      </c>
      <c r="U1306" s="196">
        <f t="shared" si="201"/>
        <v>0</v>
      </c>
      <c r="V1306" s="282"/>
      <c r="W1306" s="282"/>
      <c r="X1306" s="282"/>
    </row>
    <row r="1307" spans="1:35" ht="30">
      <c r="A1307" s="470"/>
      <c r="B1307" s="511" t="s">
        <v>97</v>
      </c>
      <c r="C1307" s="512">
        <v>0</v>
      </c>
      <c r="D1307" s="512">
        <v>0</v>
      </c>
      <c r="E1307" s="512">
        <v>0</v>
      </c>
      <c r="F1307" s="512">
        <v>0</v>
      </c>
      <c r="G1307" s="512">
        <v>0</v>
      </c>
      <c r="H1307" s="512">
        <v>0</v>
      </c>
      <c r="I1307" s="512">
        <v>0</v>
      </c>
      <c r="J1307" s="512">
        <v>0</v>
      </c>
      <c r="K1307" s="512">
        <v>0</v>
      </c>
      <c r="L1307" s="525">
        <v>0</v>
      </c>
      <c r="M1307" s="512">
        <v>0</v>
      </c>
      <c r="N1307" s="512">
        <v>0</v>
      </c>
      <c r="O1307" s="512">
        <v>0</v>
      </c>
      <c r="P1307" s="513">
        <v>0</v>
      </c>
      <c r="Q1307" s="512">
        <v>0</v>
      </c>
      <c r="R1307" s="513">
        <v>0</v>
      </c>
      <c r="S1307" s="512">
        <v>0</v>
      </c>
      <c r="T1307" s="525">
        <v>0</v>
      </c>
      <c r="U1307" s="514">
        <v>0</v>
      </c>
      <c r="V1307" s="282"/>
      <c r="W1307" s="282"/>
      <c r="X1307" s="282"/>
    </row>
    <row r="1308" spans="1:35">
      <c r="A1308" s="470"/>
      <c r="B1308" s="524"/>
      <c r="C1308" s="479"/>
      <c r="D1308" s="479"/>
      <c r="E1308" s="479"/>
      <c r="F1308" s="479"/>
      <c r="G1308" s="479"/>
      <c r="H1308" s="479"/>
      <c r="I1308" s="479"/>
      <c r="J1308" s="479"/>
      <c r="K1308" s="479"/>
      <c r="L1308" s="515"/>
      <c r="M1308" s="479"/>
      <c r="N1308" s="479"/>
      <c r="O1308" s="479"/>
      <c r="P1308" s="516"/>
      <c r="Q1308" s="479"/>
      <c r="R1308" s="516"/>
      <c r="S1308" s="479"/>
      <c r="T1308" s="515"/>
      <c r="U1308" s="517"/>
      <c r="V1308" s="282"/>
      <c r="W1308" s="282"/>
      <c r="X1308" s="282"/>
    </row>
    <row r="1309" spans="1:35" s="18" customFormat="1">
      <c r="A1309" s="198"/>
      <c r="B1309" s="216" t="s">
        <v>43</v>
      </c>
      <c r="C1309" s="211">
        <v>23032470</v>
      </c>
      <c r="D1309" s="211"/>
      <c r="E1309" s="211"/>
      <c r="F1309" s="211"/>
      <c r="G1309" s="211"/>
      <c r="H1309" s="211"/>
      <c r="I1309" s="211"/>
      <c r="J1309" s="211"/>
      <c r="K1309" s="211">
        <v>0</v>
      </c>
      <c r="L1309" s="213">
        <v>0</v>
      </c>
      <c r="M1309" s="211">
        <v>0</v>
      </c>
      <c r="N1309" s="211">
        <v>11598.699999999999</v>
      </c>
      <c r="O1309" s="211">
        <v>23032470</v>
      </c>
      <c r="P1309" s="213">
        <v>0</v>
      </c>
      <c r="Q1309" s="211">
        <v>0</v>
      </c>
      <c r="R1309" s="213">
        <v>0</v>
      </c>
      <c r="S1309" s="211">
        <v>0</v>
      </c>
      <c r="T1309" s="213">
        <v>0</v>
      </c>
      <c r="U1309" s="290">
        <v>0</v>
      </c>
      <c r="V1309" s="282"/>
      <c r="W1309" s="282"/>
      <c r="X1309" s="282"/>
    </row>
    <row r="1310" spans="1:35" ht="30">
      <c r="A1310" s="198"/>
      <c r="B1310" s="214" t="s">
        <v>125</v>
      </c>
      <c r="C1310" s="211">
        <v>20696312</v>
      </c>
      <c r="D1310" s="211"/>
      <c r="E1310" s="211"/>
      <c r="F1310" s="211"/>
      <c r="G1310" s="211"/>
      <c r="H1310" s="211"/>
      <c r="I1310" s="211"/>
      <c r="J1310" s="211"/>
      <c r="K1310" s="211">
        <v>0</v>
      </c>
      <c r="L1310" s="212">
        <v>0</v>
      </c>
      <c r="M1310" s="211">
        <v>0</v>
      </c>
      <c r="N1310" s="211">
        <v>10402.699999999999</v>
      </c>
      <c r="O1310" s="211">
        <v>20696312</v>
      </c>
      <c r="P1310" s="213">
        <v>0</v>
      </c>
      <c r="Q1310" s="211">
        <v>0</v>
      </c>
      <c r="R1310" s="213">
        <v>0</v>
      </c>
      <c r="S1310" s="211">
        <v>0</v>
      </c>
      <c r="T1310" s="212">
        <v>0</v>
      </c>
      <c r="U1310" s="290">
        <v>0</v>
      </c>
      <c r="V1310" s="282"/>
      <c r="W1310" s="282"/>
      <c r="X1310" s="282"/>
    </row>
    <row r="1311" spans="1:35" s="46" customFormat="1">
      <c r="A1311" s="198">
        <v>244</v>
      </c>
      <c r="B1311" s="219" t="s">
        <v>405</v>
      </c>
      <c r="C1311" s="220">
        <v>2301804</v>
      </c>
      <c r="D1311" s="220"/>
      <c r="E1311" s="220"/>
      <c r="F1311" s="220"/>
      <c r="G1311" s="220"/>
      <c r="H1311" s="220"/>
      <c r="I1311" s="220"/>
      <c r="J1311" s="220"/>
      <c r="K1311" s="221">
        <v>0</v>
      </c>
      <c r="L1311" s="222">
        <v>0</v>
      </c>
      <c r="M1311" s="221">
        <v>0</v>
      </c>
      <c r="N1311" s="223">
        <v>1167</v>
      </c>
      <c r="O1311" s="224">
        <v>2301804</v>
      </c>
      <c r="P1311" s="225">
        <v>0</v>
      </c>
      <c r="Q1311" s="221">
        <v>0</v>
      </c>
      <c r="R1311" s="225">
        <v>0</v>
      </c>
      <c r="S1311" s="221">
        <v>0</v>
      </c>
      <c r="T1311" s="226">
        <v>0</v>
      </c>
      <c r="U1311" s="291">
        <v>0</v>
      </c>
      <c r="V1311" s="282"/>
      <c r="W1311" s="282"/>
      <c r="X1311" s="282"/>
    </row>
    <row r="1312" spans="1:35" s="90" customFormat="1">
      <c r="A1312" s="198">
        <v>245</v>
      </c>
      <c r="B1312" s="219" t="s">
        <v>393</v>
      </c>
      <c r="C1312" s="220">
        <v>1743478</v>
      </c>
      <c r="D1312" s="220"/>
      <c r="E1312" s="220"/>
      <c r="F1312" s="220"/>
      <c r="G1312" s="220"/>
      <c r="H1312" s="220"/>
      <c r="I1312" s="220"/>
      <c r="J1312" s="220"/>
      <c r="K1312" s="227">
        <v>0</v>
      </c>
      <c r="L1312" s="208">
        <v>0</v>
      </c>
      <c r="M1312" s="227">
        <v>0</v>
      </c>
      <c r="N1312" s="228">
        <v>880</v>
      </c>
      <c r="O1312" s="224">
        <v>1743478</v>
      </c>
      <c r="P1312" s="225">
        <v>0</v>
      </c>
      <c r="Q1312" s="221">
        <v>0</v>
      </c>
      <c r="R1312" s="225">
        <v>0</v>
      </c>
      <c r="S1312" s="221">
        <v>0</v>
      </c>
      <c r="T1312" s="226">
        <v>0</v>
      </c>
      <c r="U1312" s="291">
        <v>0</v>
      </c>
      <c r="V1312" s="282"/>
      <c r="W1312" s="282"/>
      <c r="X1312" s="282"/>
      <c r="Y1312" s="46"/>
      <c r="Z1312" s="46"/>
      <c r="AA1312" s="46"/>
      <c r="AB1312" s="46"/>
      <c r="AC1312" s="46"/>
      <c r="AD1312" s="46"/>
      <c r="AE1312" s="46"/>
      <c r="AF1312" s="46"/>
      <c r="AG1312" s="46"/>
      <c r="AH1312" s="46"/>
      <c r="AI1312" s="46"/>
    </row>
    <row r="1313" spans="1:35" s="90" customFormat="1">
      <c r="A1313" s="198">
        <v>246</v>
      </c>
      <c r="B1313" s="219" t="s">
        <v>406</v>
      </c>
      <c r="C1313" s="220">
        <v>2485001</v>
      </c>
      <c r="D1313" s="220"/>
      <c r="E1313" s="220"/>
      <c r="F1313" s="220"/>
      <c r="G1313" s="220"/>
      <c r="H1313" s="220"/>
      <c r="I1313" s="220"/>
      <c r="J1313" s="220"/>
      <c r="K1313" s="221">
        <v>0</v>
      </c>
      <c r="L1313" s="222">
        <v>0</v>
      </c>
      <c r="M1313" s="221">
        <v>0</v>
      </c>
      <c r="N1313" s="229">
        <v>1268.4000000000001</v>
      </c>
      <c r="O1313" s="224">
        <v>2485001</v>
      </c>
      <c r="P1313" s="225">
        <v>0</v>
      </c>
      <c r="Q1313" s="221">
        <v>0</v>
      </c>
      <c r="R1313" s="225">
        <v>0</v>
      </c>
      <c r="S1313" s="221">
        <v>0</v>
      </c>
      <c r="T1313" s="226">
        <v>0</v>
      </c>
      <c r="U1313" s="291">
        <v>0</v>
      </c>
      <c r="V1313" s="282"/>
      <c r="W1313" s="282"/>
      <c r="X1313" s="282"/>
      <c r="Y1313" s="46"/>
      <c r="Z1313" s="46"/>
      <c r="AA1313" s="46"/>
      <c r="AB1313" s="46"/>
      <c r="AC1313" s="46"/>
      <c r="AD1313" s="46"/>
      <c r="AE1313" s="46"/>
      <c r="AF1313" s="46"/>
      <c r="AG1313" s="46"/>
      <c r="AH1313" s="46"/>
      <c r="AI1313" s="46"/>
    </row>
    <row r="1314" spans="1:35" s="46" customFormat="1">
      <c r="A1314" s="198">
        <v>247</v>
      </c>
      <c r="B1314" s="219" t="s">
        <v>402</v>
      </c>
      <c r="C1314" s="220">
        <v>1237591</v>
      </c>
      <c r="D1314" s="220"/>
      <c r="E1314" s="220"/>
      <c r="F1314" s="220"/>
      <c r="G1314" s="220"/>
      <c r="H1314" s="220"/>
      <c r="I1314" s="220"/>
      <c r="J1314" s="220"/>
      <c r="K1314" s="221">
        <v>0</v>
      </c>
      <c r="L1314" s="222">
        <v>0</v>
      </c>
      <c r="M1314" s="221">
        <v>0</v>
      </c>
      <c r="N1314" s="223">
        <v>620</v>
      </c>
      <c r="O1314" s="224">
        <v>1237591</v>
      </c>
      <c r="P1314" s="225">
        <v>0</v>
      </c>
      <c r="Q1314" s="221">
        <v>0</v>
      </c>
      <c r="R1314" s="225">
        <v>0</v>
      </c>
      <c r="S1314" s="221">
        <v>0</v>
      </c>
      <c r="T1314" s="226">
        <v>0</v>
      </c>
      <c r="U1314" s="291">
        <v>0</v>
      </c>
      <c r="V1314" s="282"/>
      <c r="W1314" s="282"/>
      <c r="X1314" s="282"/>
      <c r="Y1314" s="43"/>
      <c r="Z1314" s="43"/>
      <c r="AA1314" s="43"/>
      <c r="AB1314" s="43"/>
      <c r="AC1314" s="43"/>
      <c r="AD1314" s="43"/>
      <c r="AE1314" s="43"/>
      <c r="AF1314" s="43"/>
      <c r="AG1314" s="43"/>
      <c r="AH1314" s="43"/>
      <c r="AI1314" s="43"/>
    </row>
    <row r="1315" spans="1:35" s="42" customFormat="1">
      <c r="A1315" s="198">
        <v>248</v>
      </c>
      <c r="B1315" s="219" t="s">
        <v>397</v>
      </c>
      <c r="C1315" s="220">
        <v>1448078</v>
      </c>
      <c r="D1315" s="220"/>
      <c r="E1315" s="220"/>
      <c r="F1315" s="220"/>
      <c r="G1315" s="220"/>
      <c r="H1315" s="220"/>
      <c r="I1315" s="220"/>
      <c r="J1315" s="220"/>
      <c r="K1315" s="221">
        <v>0</v>
      </c>
      <c r="L1315" s="222">
        <v>0</v>
      </c>
      <c r="M1315" s="221">
        <v>0</v>
      </c>
      <c r="N1315" s="229">
        <v>729</v>
      </c>
      <c r="O1315" s="224">
        <v>1448078</v>
      </c>
      <c r="P1315" s="225">
        <v>0</v>
      </c>
      <c r="Q1315" s="221">
        <v>0</v>
      </c>
      <c r="R1315" s="225">
        <v>0</v>
      </c>
      <c r="S1315" s="221">
        <v>0</v>
      </c>
      <c r="T1315" s="226">
        <v>0</v>
      </c>
      <c r="U1315" s="291">
        <v>0</v>
      </c>
      <c r="V1315" s="282"/>
      <c r="W1315" s="282"/>
      <c r="X1315" s="282"/>
    </row>
    <row r="1316" spans="1:35" s="46" customFormat="1">
      <c r="A1316" s="198">
        <v>249</v>
      </c>
      <c r="B1316" s="219" t="s">
        <v>398</v>
      </c>
      <c r="C1316" s="220">
        <v>1963797</v>
      </c>
      <c r="D1316" s="220"/>
      <c r="E1316" s="220"/>
      <c r="F1316" s="220"/>
      <c r="G1316" s="220"/>
      <c r="H1316" s="220"/>
      <c r="I1316" s="220"/>
      <c r="J1316" s="220"/>
      <c r="K1316" s="221">
        <v>0</v>
      </c>
      <c r="L1316" s="222">
        <v>0</v>
      </c>
      <c r="M1316" s="221">
        <v>0</v>
      </c>
      <c r="N1316" s="223">
        <v>991.4</v>
      </c>
      <c r="O1316" s="224">
        <v>1963797</v>
      </c>
      <c r="P1316" s="225">
        <v>0</v>
      </c>
      <c r="Q1316" s="221">
        <v>0</v>
      </c>
      <c r="R1316" s="225">
        <v>0</v>
      </c>
      <c r="S1316" s="221">
        <v>0</v>
      </c>
      <c r="T1316" s="226">
        <v>0</v>
      </c>
      <c r="U1316" s="291">
        <v>0</v>
      </c>
      <c r="V1316" s="282"/>
      <c r="W1316" s="282"/>
      <c r="X1316" s="282"/>
    </row>
    <row r="1317" spans="1:35" s="46" customFormat="1">
      <c r="A1317" s="198">
        <v>250</v>
      </c>
      <c r="B1317" s="219" t="s">
        <v>399</v>
      </c>
      <c r="C1317" s="220">
        <v>2119530</v>
      </c>
      <c r="D1317" s="220"/>
      <c r="E1317" s="220"/>
      <c r="F1317" s="220"/>
      <c r="G1317" s="220"/>
      <c r="H1317" s="220"/>
      <c r="I1317" s="220"/>
      <c r="J1317" s="220"/>
      <c r="K1317" s="221">
        <v>0</v>
      </c>
      <c r="L1317" s="222">
        <v>0</v>
      </c>
      <c r="M1317" s="221">
        <v>0</v>
      </c>
      <c r="N1317" s="223">
        <v>1054.5</v>
      </c>
      <c r="O1317" s="224">
        <v>2119530</v>
      </c>
      <c r="P1317" s="225">
        <v>0</v>
      </c>
      <c r="Q1317" s="221">
        <v>0</v>
      </c>
      <c r="R1317" s="225">
        <v>0</v>
      </c>
      <c r="S1317" s="221">
        <v>0</v>
      </c>
      <c r="T1317" s="226">
        <v>0</v>
      </c>
      <c r="U1317" s="291">
        <v>0</v>
      </c>
      <c r="V1317" s="282"/>
      <c r="W1317" s="282"/>
      <c r="X1317" s="282"/>
    </row>
    <row r="1318" spans="1:35" s="46" customFormat="1">
      <c r="A1318" s="198">
        <v>251</v>
      </c>
      <c r="B1318" s="219" t="s">
        <v>403</v>
      </c>
      <c r="C1318" s="220">
        <v>1098163</v>
      </c>
      <c r="D1318" s="220"/>
      <c r="E1318" s="220"/>
      <c r="F1318" s="220"/>
      <c r="G1318" s="220"/>
      <c r="H1318" s="220"/>
      <c r="I1318" s="220"/>
      <c r="J1318" s="220"/>
      <c r="K1318" s="221">
        <v>0</v>
      </c>
      <c r="L1318" s="222">
        <v>0</v>
      </c>
      <c r="M1318" s="221">
        <v>0</v>
      </c>
      <c r="N1318" s="223">
        <v>548</v>
      </c>
      <c r="O1318" s="224">
        <v>1098163</v>
      </c>
      <c r="P1318" s="225">
        <v>0</v>
      </c>
      <c r="Q1318" s="221">
        <v>0</v>
      </c>
      <c r="R1318" s="225">
        <v>0</v>
      </c>
      <c r="S1318" s="221">
        <v>0</v>
      </c>
      <c r="T1318" s="226">
        <v>0</v>
      </c>
      <c r="U1318" s="291">
        <v>0</v>
      </c>
      <c r="V1318" s="282"/>
      <c r="W1318" s="282"/>
      <c r="X1318" s="282"/>
      <c r="Y1318" s="43"/>
      <c r="Z1318" s="43"/>
      <c r="AA1318" s="43"/>
      <c r="AB1318" s="43"/>
      <c r="AC1318" s="43"/>
      <c r="AD1318" s="43"/>
      <c r="AE1318" s="43"/>
      <c r="AF1318" s="43"/>
      <c r="AG1318" s="43"/>
      <c r="AH1318" s="43"/>
      <c r="AI1318" s="43"/>
    </row>
    <row r="1319" spans="1:35" s="46" customFormat="1">
      <c r="A1319" s="198">
        <v>252</v>
      </c>
      <c r="B1319" s="219" t="s">
        <v>404</v>
      </c>
      <c r="C1319" s="220">
        <v>1241309</v>
      </c>
      <c r="D1319" s="220"/>
      <c r="E1319" s="220"/>
      <c r="F1319" s="220"/>
      <c r="G1319" s="220"/>
      <c r="H1319" s="220"/>
      <c r="I1319" s="220"/>
      <c r="J1319" s="220"/>
      <c r="K1319" s="221">
        <v>0</v>
      </c>
      <c r="L1319" s="222">
        <v>0</v>
      </c>
      <c r="M1319" s="221">
        <v>0</v>
      </c>
      <c r="N1319" s="223">
        <v>622</v>
      </c>
      <c r="O1319" s="224">
        <v>1241309</v>
      </c>
      <c r="P1319" s="225">
        <v>0</v>
      </c>
      <c r="Q1319" s="221">
        <v>0</v>
      </c>
      <c r="R1319" s="225">
        <v>0</v>
      </c>
      <c r="S1319" s="221">
        <v>0</v>
      </c>
      <c r="T1319" s="226">
        <v>0</v>
      </c>
      <c r="U1319" s="291">
        <v>0</v>
      </c>
      <c r="V1319" s="282"/>
      <c r="W1319" s="282"/>
      <c r="X1319" s="282"/>
    </row>
    <row r="1320" spans="1:35" s="43" customFormat="1">
      <c r="A1320" s="198">
        <v>253</v>
      </c>
      <c r="B1320" s="219" t="s">
        <v>400</v>
      </c>
      <c r="C1320" s="220">
        <v>1041360</v>
      </c>
      <c r="D1320" s="220"/>
      <c r="E1320" s="220"/>
      <c r="F1320" s="220"/>
      <c r="G1320" s="220"/>
      <c r="H1320" s="220"/>
      <c r="I1320" s="220"/>
      <c r="J1320" s="220"/>
      <c r="K1320" s="221">
        <v>0</v>
      </c>
      <c r="L1320" s="222">
        <v>0</v>
      </c>
      <c r="M1320" s="221">
        <v>0</v>
      </c>
      <c r="N1320" s="223">
        <v>520</v>
      </c>
      <c r="O1320" s="224">
        <v>1041360</v>
      </c>
      <c r="P1320" s="225">
        <v>0</v>
      </c>
      <c r="Q1320" s="221">
        <v>0</v>
      </c>
      <c r="R1320" s="225">
        <v>0</v>
      </c>
      <c r="S1320" s="221">
        <v>0</v>
      </c>
      <c r="T1320" s="226">
        <v>0</v>
      </c>
      <c r="U1320" s="291">
        <v>0</v>
      </c>
      <c r="V1320" s="282"/>
      <c r="W1320" s="282"/>
      <c r="X1320" s="282"/>
      <c r="Y1320" s="46"/>
      <c r="Z1320" s="46"/>
      <c r="AA1320" s="46"/>
      <c r="AB1320" s="46"/>
      <c r="AC1320" s="46"/>
      <c r="AD1320" s="46"/>
      <c r="AE1320" s="46"/>
      <c r="AF1320" s="46"/>
      <c r="AG1320" s="46"/>
      <c r="AH1320" s="46"/>
      <c r="AI1320" s="46"/>
    </row>
    <row r="1321" spans="1:35" s="43" customFormat="1">
      <c r="A1321" s="198">
        <v>254</v>
      </c>
      <c r="B1321" s="219" t="s">
        <v>401</v>
      </c>
      <c r="C1321" s="220">
        <v>1138866</v>
      </c>
      <c r="D1321" s="220"/>
      <c r="E1321" s="220"/>
      <c r="F1321" s="220"/>
      <c r="G1321" s="220"/>
      <c r="H1321" s="220"/>
      <c r="I1321" s="220"/>
      <c r="J1321" s="220"/>
      <c r="K1321" s="221">
        <v>0</v>
      </c>
      <c r="L1321" s="222">
        <v>0</v>
      </c>
      <c r="M1321" s="221">
        <v>0</v>
      </c>
      <c r="N1321" s="223">
        <v>570</v>
      </c>
      <c r="O1321" s="224">
        <v>1138866</v>
      </c>
      <c r="P1321" s="225">
        <v>0</v>
      </c>
      <c r="Q1321" s="221">
        <v>0</v>
      </c>
      <c r="R1321" s="225">
        <v>0</v>
      </c>
      <c r="S1321" s="221">
        <v>0</v>
      </c>
      <c r="T1321" s="226">
        <v>0</v>
      </c>
      <c r="U1321" s="291">
        <v>0</v>
      </c>
      <c r="V1321" s="282"/>
      <c r="W1321" s="282"/>
      <c r="X1321" s="282"/>
      <c r="Y1321" s="46"/>
      <c r="Z1321" s="46"/>
      <c r="AA1321" s="46"/>
      <c r="AB1321" s="46"/>
      <c r="AC1321" s="46"/>
      <c r="AD1321" s="46"/>
      <c r="AE1321" s="46"/>
      <c r="AF1321" s="46"/>
      <c r="AG1321" s="46"/>
      <c r="AH1321" s="46"/>
      <c r="AI1321" s="46"/>
    </row>
    <row r="1322" spans="1:35" s="46" customFormat="1">
      <c r="A1322" s="198">
        <v>255</v>
      </c>
      <c r="B1322" s="219" t="s">
        <v>394</v>
      </c>
      <c r="C1322" s="220">
        <v>848546</v>
      </c>
      <c r="D1322" s="220"/>
      <c r="E1322" s="220"/>
      <c r="F1322" s="220"/>
      <c r="G1322" s="220"/>
      <c r="H1322" s="220"/>
      <c r="I1322" s="220"/>
      <c r="J1322" s="220"/>
      <c r="K1322" s="221">
        <v>0</v>
      </c>
      <c r="L1322" s="222">
        <v>0</v>
      </c>
      <c r="M1322" s="221">
        <v>0</v>
      </c>
      <c r="N1322" s="229">
        <v>421.2</v>
      </c>
      <c r="O1322" s="224">
        <v>848546</v>
      </c>
      <c r="P1322" s="225">
        <v>0</v>
      </c>
      <c r="Q1322" s="221">
        <v>0</v>
      </c>
      <c r="R1322" s="225">
        <v>0</v>
      </c>
      <c r="S1322" s="221">
        <v>0</v>
      </c>
      <c r="T1322" s="226">
        <v>0</v>
      </c>
      <c r="U1322" s="291">
        <v>0</v>
      </c>
      <c r="V1322" s="282"/>
      <c r="W1322" s="282"/>
      <c r="X1322" s="282"/>
      <c r="Y1322" s="90"/>
      <c r="Z1322" s="90"/>
      <c r="AA1322" s="90"/>
      <c r="AB1322" s="90"/>
      <c r="AC1322" s="90"/>
      <c r="AD1322" s="90"/>
      <c r="AE1322" s="90"/>
      <c r="AF1322" s="90"/>
      <c r="AG1322" s="90"/>
      <c r="AH1322" s="90"/>
      <c r="AI1322" s="90"/>
    </row>
    <row r="1323" spans="1:35" s="46" customFormat="1">
      <c r="A1323" s="198">
        <v>256</v>
      </c>
      <c r="B1323" s="219" t="s">
        <v>395</v>
      </c>
      <c r="C1323" s="220">
        <v>848706</v>
      </c>
      <c r="D1323" s="220"/>
      <c r="E1323" s="220"/>
      <c r="F1323" s="220"/>
      <c r="G1323" s="220"/>
      <c r="H1323" s="220"/>
      <c r="I1323" s="220"/>
      <c r="J1323" s="220"/>
      <c r="K1323" s="221">
        <v>0</v>
      </c>
      <c r="L1323" s="222">
        <v>0</v>
      </c>
      <c r="M1323" s="221">
        <v>0</v>
      </c>
      <c r="N1323" s="229">
        <v>421.2</v>
      </c>
      <c r="O1323" s="224">
        <v>848706</v>
      </c>
      <c r="P1323" s="225">
        <v>0</v>
      </c>
      <c r="Q1323" s="221">
        <v>0</v>
      </c>
      <c r="R1323" s="225">
        <v>0</v>
      </c>
      <c r="S1323" s="221">
        <v>0</v>
      </c>
      <c r="T1323" s="226">
        <v>0</v>
      </c>
      <c r="U1323" s="291">
        <v>0</v>
      </c>
      <c r="V1323" s="282"/>
      <c r="W1323" s="282"/>
      <c r="X1323" s="282"/>
      <c r="Y1323" s="45"/>
      <c r="Z1323" s="45"/>
      <c r="AA1323" s="45"/>
      <c r="AB1323" s="45"/>
      <c r="AC1323" s="45"/>
      <c r="AD1323" s="45"/>
      <c r="AE1323" s="45"/>
      <c r="AF1323" s="45"/>
      <c r="AG1323" s="45"/>
      <c r="AH1323" s="45"/>
      <c r="AI1323" s="90"/>
    </row>
    <row r="1324" spans="1:35" s="46" customFormat="1">
      <c r="A1324" s="198">
        <v>257</v>
      </c>
      <c r="B1324" s="219" t="s">
        <v>396</v>
      </c>
      <c r="C1324" s="220">
        <v>1180083</v>
      </c>
      <c r="D1324" s="220"/>
      <c r="E1324" s="220"/>
      <c r="F1324" s="220"/>
      <c r="G1324" s="220"/>
      <c r="H1324" s="220"/>
      <c r="I1324" s="220"/>
      <c r="J1324" s="220"/>
      <c r="K1324" s="221">
        <v>0</v>
      </c>
      <c r="L1324" s="222">
        <v>0</v>
      </c>
      <c r="M1324" s="221">
        <v>0</v>
      </c>
      <c r="N1324" s="229">
        <v>590</v>
      </c>
      <c r="O1324" s="224">
        <v>1180083</v>
      </c>
      <c r="P1324" s="225">
        <v>0</v>
      </c>
      <c r="Q1324" s="221">
        <v>0</v>
      </c>
      <c r="R1324" s="225">
        <v>0</v>
      </c>
      <c r="S1324" s="221">
        <v>0</v>
      </c>
      <c r="T1324" s="226">
        <v>0</v>
      </c>
      <c r="U1324" s="291">
        <v>0</v>
      </c>
      <c r="V1324" s="282"/>
      <c r="W1324" s="282"/>
      <c r="X1324" s="282"/>
    </row>
    <row r="1325" spans="1:35" s="46" customFormat="1" ht="30">
      <c r="A1325" s="198"/>
      <c r="B1325" s="214" t="s">
        <v>210</v>
      </c>
      <c r="C1325" s="220">
        <v>2336158</v>
      </c>
      <c r="D1325" s="220"/>
      <c r="E1325" s="220"/>
      <c r="F1325" s="220"/>
      <c r="G1325" s="220"/>
      <c r="H1325" s="220"/>
      <c r="I1325" s="220"/>
      <c r="J1325" s="220"/>
      <c r="K1325" s="220">
        <v>0</v>
      </c>
      <c r="L1325" s="222">
        <v>0</v>
      </c>
      <c r="M1325" s="220">
        <v>0</v>
      </c>
      <c r="N1325" s="220">
        <v>1196</v>
      </c>
      <c r="O1325" s="220">
        <v>2336158</v>
      </c>
      <c r="P1325" s="230">
        <v>0</v>
      </c>
      <c r="Q1325" s="220">
        <v>0</v>
      </c>
      <c r="R1325" s="230">
        <v>0</v>
      </c>
      <c r="S1325" s="220">
        <v>0</v>
      </c>
      <c r="T1325" s="222">
        <v>0</v>
      </c>
      <c r="U1325" s="292">
        <v>0</v>
      </c>
      <c r="V1325" s="282"/>
      <c r="W1325" s="282"/>
      <c r="X1325" s="282"/>
    </row>
    <row r="1326" spans="1:35" s="46" customFormat="1" ht="30">
      <c r="A1326" s="198">
        <v>258</v>
      </c>
      <c r="B1326" s="231" t="s">
        <v>407</v>
      </c>
      <c r="C1326" s="220">
        <v>1168079</v>
      </c>
      <c r="D1326" s="220"/>
      <c r="E1326" s="220"/>
      <c r="F1326" s="220"/>
      <c r="G1326" s="220"/>
      <c r="H1326" s="220"/>
      <c r="I1326" s="220"/>
      <c r="J1326" s="220"/>
      <c r="K1326" s="221">
        <v>0</v>
      </c>
      <c r="L1326" s="222">
        <v>0</v>
      </c>
      <c r="M1326" s="221">
        <v>0</v>
      </c>
      <c r="N1326" s="229">
        <v>598</v>
      </c>
      <c r="O1326" s="224">
        <v>1168079</v>
      </c>
      <c r="P1326" s="230">
        <v>0</v>
      </c>
      <c r="Q1326" s="221">
        <v>0</v>
      </c>
      <c r="R1326" s="230">
        <v>0</v>
      </c>
      <c r="S1326" s="221">
        <v>0</v>
      </c>
      <c r="T1326" s="222">
        <v>0</v>
      </c>
      <c r="U1326" s="291">
        <v>0</v>
      </c>
      <c r="V1326" s="282"/>
      <c r="W1326" s="282"/>
      <c r="X1326" s="282"/>
    </row>
    <row r="1327" spans="1:35" s="46" customFormat="1" ht="30">
      <c r="A1327" s="198">
        <v>259</v>
      </c>
      <c r="B1327" s="231" t="s">
        <v>408</v>
      </c>
      <c r="C1327" s="220">
        <v>1168079</v>
      </c>
      <c r="D1327" s="220"/>
      <c r="E1327" s="220"/>
      <c r="F1327" s="220"/>
      <c r="G1327" s="220"/>
      <c r="H1327" s="220"/>
      <c r="I1327" s="220"/>
      <c r="J1327" s="220"/>
      <c r="K1327" s="221">
        <v>0</v>
      </c>
      <c r="L1327" s="222">
        <v>0</v>
      </c>
      <c r="M1327" s="221">
        <v>0</v>
      </c>
      <c r="N1327" s="229">
        <v>598</v>
      </c>
      <c r="O1327" s="224">
        <v>1168079</v>
      </c>
      <c r="P1327" s="230">
        <v>0</v>
      </c>
      <c r="Q1327" s="221">
        <v>0</v>
      </c>
      <c r="R1327" s="230">
        <v>0</v>
      </c>
      <c r="S1327" s="221">
        <v>0</v>
      </c>
      <c r="T1327" s="222">
        <v>0</v>
      </c>
      <c r="U1327" s="291">
        <v>0</v>
      </c>
      <c r="V1327" s="282"/>
      <c r="W1327" s="282"/>
      <c r="X1327" s="282"/>
    </row>
    <row r="1328" spans="1:35" s="18" customFormat="1">
      <c r="A1328" s="198"/>
      <c r="B1328" s="216" t="s">
        <v>44</v>
      </c>
      <c r="C1328" s="211">
        <f>C1329</f>
        <v>906976</v>
      </c>
      <c r="D1328" s="211">
        <f t="shared" ref="D1328:U1328" si="202">D1329</f>
        <v>0</v>
      </c>
      <c r="E1328" s="211">
        <f t="shared" si="202"/>
        <v>0</v>
      </c>
      <c r="F1328" s="211">
        <f t="shared" si="202"/>
        <v>0</v>
      </c>
      <c r="G1328" s="211">
        <f t="shared" si="202"/>
        <v>0</v>
      </c>
      <c r="H1328" s="211">
        <f t="shared" si="202"/>
        <v>0</v>
      </c>
      <c r="I1328" s="211">
        <f t="shared" si="202"/>
        <v>0</v>
      </c>
      <c r="J1328" s="211">
        <f t="shared" si="202"/>
        <v>0</v>
      </c>
      <c r="K1328" s="211">
        <f t="shared" si="202"/>
        <v>0</v>
      </c>
      <c r="L1328" s="211">
        <f t="shared" si="202"/>
        <v>0</v>
      </c>
      <c r="M1328" s="211">
        <f t="shared" si="202"/>
        <v>0</v>
      </c>
      <c r="N1328" s="211">
        <f t="shared" si="202"/>
        <v>280</v>
      </c>
      <c r="O1328" s="211">
        <f t="shared" si="202"/>
        <v>906976</v>
      </c>
      <c r="P1328" s="211">
        <f t="shared" si="202"/>
        <v>0</v>
      </c>
      <c r="Q1328" s="211">
        <f t="shared" si="202"/>
        <v>0</v>
      </c>
      <c r="R1328" s="211">
        <f t="shared" si="202"/>
        <v>0</v>
      </c>
      <c r="S1328" s="211">
        <f t="shared" si="202"/>
        <v>0</v>
      </c>
      <c r="T1328" s="211">
        <f t="shared" si="202"/>
        <v>0</v>
      </c>
      <c r="U1328" s="211">
        <f t="shared" si="202"/>
        <v>0</v>
      </c>
      <c r="V1328" s="282"/>
      <c r="W1328" s="282"/>
      <c r="X1328" s="282"/>
    </row>
    <row r="1329" spans="1:35" ht="30">
      <c r="A1329" s="198"/>
      <c r="B1329" s="214" t="s">
        <v>435</v>
      </c>
      <c r="C1329" s="211">
        <f>C1330</f>
        <v>906976</v>
      </c>
      <c r="D1329" s="211">
        <f t="shared" ref="D1329:U1329" si="203">D1330</f>
        <v>0</v>
      </c>
      <c r="E1329" s="211">
        <f t="shared" si="203"/>
        <v>0</v>
      </c>
      <c r="F1329" s="211">
        <f t="shared" si="203"/>
        <v>0</v>
      </c>
      <c r="G1329" s="211">
        <f t="shared" si="203"/>
        <v>0</v>
      </c>
      <c r="H1329" s="211">
        <f t="shared" si="203"/>
        <v>0</v>
      </c>
      <c r="I1329" s="211">
        <f t="shared" si="203"/>
        <v>0</v>
      </c>
      <c r="J1329" s="211">
        <f t="shared" si="203"/>
        <v>0</v>
      </c>
      <c r="K1329" s="211">
        <f t="shared" si="203"/>
        <v>0</v>
      </c>
      <c r="L1329" s="211">
        <f t="shared" si="203"/>
        <v>0</v>
      </c>
      <c r="M1329" s="211">
        <f t="shared" si="203"/>
        <v>0</v>
      </c>
      <c r="N1329" s="211">
        <f t="shared" si="203"/>
        <v>280</v>
      </c>
      <c r="O1329" s="211">
        <f t="shared" si="203"/>
        <v>906976</v>
      </c>
      <c r="P1329" s="211">
        <f t="shared" si="203"/>
        <v>0</v>
      </c>
      <c r="Q1329" s="211">
        <f t="shared" si="203"/>
        <v>0</v>
      </c>
      <c r="R1329" s="211">
        <f t="shared" si="203"/>
        <v>0</v>
      </c>
      <c r="S1329" s="211">
        <f t="shared" si="203"/>
        <v>0</v>
      </c>
      <c r="T1329" s="211">
        <f t="shared" si="203"/>
        <v>0</v>
      </c>
      <c r="U1329" s="211">
        <f t="shared" si="203"/>
        <v>0</v>
      </c>
      <c r="V1329" s="211">
        <f t="shared" ref="V1329" si="204">V1330</f>
        <v>0</v>
      </c>
      <c r="W1329" s="211"/>
      <c r="X1329" s="211"/>
      <c r="Y1329" s="211"/>
      <c r="Z1329" s="211"/>
      <c r="AA1329" s="211"/>
      <c r="AB1329" s="211"/>
      <c r="AC1329" s="211"/>
      <c r="AD1329" s="211"/>
      <c r="AE1329" s="211"/>
      <c r="AF1329" s="211"/>
      <c r="AG1329" s="211"/>
      <c r="AH1329" s="211"/>
      <c r="AI1329" s="211"/>
    </row>
    <row r="1330" spans="1:35">
      <c r="A1330" s="470">
        <v>260</v>
      </c>
      <c r="B1330" s="480" t="s">
        <v>768</v>
      </c>
      <c r="C1330" s="479">
        <f>'часть 1'!L1362</f>
        <v>906976</v>
      </c>
      <c r="D1330" s="479">
        <v>0</v>
      </c>
      <c r="E1330" s="479">
        <v>0</v>
      </c>
      <c r="F1330" s="479">
        <v>0</v>
      </c>
      <c r="G1330" s="479">
        <v>0</v>
      </c>
      <c r="H1330" s="479">
        <v>0</v>
      </c>
      <c r="I1330" s="479">
        <v>0</v>
      </c>
      <c r="J1330" s="479">
        <v>0</v>
      </c>
      <c r="K1330" s="479">
        <v>0</v>
      </c>
      <c r="L1330" s="515">
        <v>0</v>
      </c>
      <c r="M1330" s="479">
        <v>0</v>
      </c>
      <c r="N1330" s="472">
        <v>280</v>
      </c>
      <c r="O1330" s="479">
        <v>906976</v>
      </c>
      <c r="P1330" s="516">
        <v>0</v>
      </c>
      <c r="Q1330" s="479">
        <v>0</v>
      </c>
      <c r="R1330" s="516">
        <v>0</v>
      </c>
      <c r="S1330" s="479">
        <v>0</v>
      </c>
      <c r="T1330" s="515">
        <v>0</v>
      </c>
      <c r="U1330" s="517">
        <v>0</v>
      </c>
      <c r="V1330" s="282"/>
      <c r="W1330" s="282">
        <f>O1330/N1330</f>
        <v>3239.2</v>
      </c>
      <c r="X1330" s="282"/>
    </row>
    <row r="1331" spans="1:35">
      <c r="A1331" s="470"/>
      <c r="B1331" s="480"/>
      <c r="C1331" s="479"/>
      <c r="D1331" s="479"/>
      <c r="E1331" s="479"/>
      <c r="F1331" s="479"/>
      <c r="G1331" s="479"/>
      <c r="H1331" s="479"/>
      <c r="I1331" s="479"/>
      <c r="J1331" s="479"/>
      <c r="K1331" s="479"/>
      <c r="L1331" s="515"/>
      <c r="M1331" s="479"/>
      <c r="N1331" s="472"/>
      <c r="O1331" s="479"/>
      <c r="P1331" s="516"/>
      <c r="Q1331" s="479"/>
      <c r="R1331" s="516"/>
      <c r="S1331" s="479"/>
      <c r="T1331" s="515"/>
      <c r="U1331" s="517"/>
      <c r="V1331" s="282"/>
      <c r="W1331" s="282"/>
      <c r="X1331" s="282"/>
    </row>
    <row r="1332" spans="1:35" ht="15.6" customHeight="1">
      <c r="A1332" s="198"/>
      <c r="B1332" s="216" t="s">
        <v>45</v>
      </c>
      <c r="C1332" s="211">
        <f t="shared" ref="C1332:V1332" si="205">C1333+C1335+C1337+C1340+C1341+C1343+C1345</f>
        <v>11109566</v>
      </c>
      <c r="D1332" s="211">
        <f t="shared" si="205"/>
        <v>0</v>
      </c>
      <c r="E1332" s="211">
        <f t="shared" si="205"/>
        <v>0</v>
      </c>
      <c r="F1332" s="211">
        <f t="shared" si="205"/>
        <v>0</v>
      </c>
      <c r="G1332" s="211">
        <f t="shared" si="205"/>
        <v>0</v>
      </c>
      <c r="H1332" s="211">
        <f t="shared" si="205"/>
        <v>0</v>
      </c>
      <c r="I1332" s="211">
        <f t="shared" si="205"/>
        <v>0</v>
      </c>
      <c r="J1332" s="211">
        <f t="shared" si="205"/>
        <v>0</v>
      </c>
      <c r="K1332" s="211">
        <f t="shared" si="205"/>
        <v>0</v>
      </c>
      <c r="L1332" s="211">
        <f t="shared" si="205"/>
        <v>0</v>
      </c>
      <c r="M1332" s="211">
        <f t="shared" si="205"/>
        <v>0</v>
      </c>
      <c r="N1332" s="211">
        <f t="shared" si="205"/>
        <v>3487.1000000000004</v>
      </c>
      <c r="O1332" s="211">
        <f t="shared" si="205"/>
        <v>10208116</v>
      </c>
      <c r="P1332" s="211">
        <f t="shared" si="205"/>
        <v>0</v>
      </c>
      <c r="Q1332" s="211">
        <f t="shared" si="205"/>
        <v>0</v>
      </c>
      <c r="R1332" s="211">
        <f t="shared" si="205"/>
        <v>590</v>
      </c>
      <c r="S1332" s="211">
        <f t="shared" si="205"/>
        <v>901450</v>
      </c>
      <c r="T1332" s="211">
        <f t="shared" si="205"/>
        <v>0</v>
      </c>
      <c r="U1332" s="211">
        <f t="shared" si="205"/>
        <v>0</v>
      </c>
      <c r="V1332" s="211" t="e">
        <f t="shared" si="205"/>
        <v>#REF!</v>
      </c>
      <c r="W1332" s="282"/>
      <c r="X1332" s="282"/>
    </row>
    <row r="1333" spans="1:35" ht="30">
      <c r="A1333" s="470"/>
      <c r="B1333" s="480" t="s">
        <v>98</v>
      </c>
      <c r="C1333" s="479">
        <f>C1334</f>
        <v>2377747</v>
      </c>
      <c r="D1333" s="479">
        <f t="shared" ref="D1333:V1333" si="206">D1334</f>
        <v>0</v>
      </c>
      <c r="E1333" s="479">
        <f t="shared" si="206"/>
        <v>0</v>
      </c>
      <c r="F1333" s="479">
        <f t="shared" si="206"/>
        <v>0</v>
      </c>
      <c r="G1333" s="479">
        <f t="shared" si="206"/>
        <v>0</v>
      </c>
      <c r="H1333" s="479">
        <f t="shared" si="206"/>
        <v>0</v>
      </c>
      <c r="I1333" s="479">
        <f t="shared" si="206"/>
        <v>0</v>
      </c>
      <c r="J1333" s="479">
        <f t="shared" si="206"/>
        <v>0</v>
      </c>
      <c r="K1333" s="479">
        <f t="shared" si="206"/>
        <v>0</v>
      </c>
      <c r="L1333" s="479">
        <f t="shared" si="206"/>
        <v>0</v>
      </c>
      <c r="M1333" s="479">
        <f t="shared" si="206"/>
        <v>0</v>
      </c>
      <c r="N1333" s="479">
        <f t="shared" si="206"/>
        <v>949.2</v>
      </c>
      <c r="O1333" s="479">
        <f t="shared" si="206"/>
        <v>2377747</v>
      </c>
      <c r="P1333" s="479">
        <f t="shared" si="206"/>
        <v>0</v>
      </c>
      <c r="Q1333" s="479">
        <f t="shared" si="206"/>
        <v>0</v>
      </c>
      <c r="R1333" s="479">
        <f t="shared" si="206"/>
        <v>0</v>
      </c>
      <c r="S1333" s="479">
        <f t="shared" si="206"/>
        <v>0</v>
      </c>
      <c r="T1333" s="479">
        <f t="shared" si="206"/>
        <v>0</v>
      </c>
      <c r="U1333" s="479">
        <f t="shared" si="206"/>
        <v>0</v>
      </c>
      <c r="V1333" s="479">
        <f t="shared" si="206"/>
        <v>0</v>
      </c>
      <c r="W1333" s="282"/>
      <c r="X1333" s="282"/>
    </row>
    <row r="1334" spans="1:35">
      <c r="A1334" s="470">
        <v>262</v>
      </c>
      <c r="B1334" s="480" t="s">
        <v>798</v>
      </c>
      <c r="C1334" s="479">
        <f>'часть 1'!L1366</f>
        <v>2377747</v>
      </c>
      <c r="D1334" s="479">
        <v>0</v>
      </c>
      <c r="E1334" s="479">
        <v>0</v>
      </c>
      <c r="F1334" s="479">
        <v>0</v>
      </c>
      <c r="G1334" s="479">
        <v>0</v>
      </c>
      <c r="H1334" s="479">
        <v>0</v>
      </c>
      <c r="I1334" s="479">
        <v>0</v>
      </c>
      <c r="J1334" s="479">
        <v>0</v>
      </c>
      <c r="K1334" s="479">
        <v>0</v>
      </c>
      <c r="L1334" s="515">
        <v>0</v>
      </c>
      <c r="M1334" s="479">
        <v>0</v>
      </c>
      <c r="N1334" s="472">
        <v>949.2</v>
      </c>
      <c r="O1334" s="479">
        <v>2377747</v>
      </c>
      <c r="P1334" s="516">
        <v>0</v>
      </c>
      <c r="Q1334" s="479">
        <v>0</v>
      </c>
      <c r="R1334" s="516">
        <v>0</v>
      </c>
      <c r="S1334" s="479">
        <v>0</v>
      </c>
      <c r="T1334" s="515">
        <v>0</v>
      </c>
      <c r="U1334" s="517">
        <v>0</v>
      </c>
      <c r="V1334" s="282"/>
      <c r="W1334" s="282">
        <f>O1334/N1334</f>
        <v>2505.0010535187525</v>
      </c>
      <c r="X1334" s="282"/>
    </row>
    <row r="1335" spans="1:35" ht="30">
      <c r="A1335" s="470"/>
      <c r="B1335" s="480" t="s">
        <v>688</v>
      </c>
      <c r="C1335" s="479">
        <f>C1336</f>
        <v>901450</v>
      </c>
      <c r="D1335" s="479">
        <f t="shared" ref="D1335:E1335" si="207">D1336</f>
        <v>0</v>
      </c>
      <c r="E1335" s="479">
        <f t="shared" si="207"/>
        <v>0</v>
      </c>
      <c r="F1335" s="479">
        <f t="shared" ref="F1335" si="208">F1336</f>
        <v>0</v>
      </c>
      <c r="G1335" s="479">
        <f t="shared" ref="G1335" si="209">G1336</f>
        <v>0</v>
      </c>
      <c r="H1335" s="479">
        <f t="shared" ref="H1335" si="210">H1336</f>
        <v>0</v>
      </c>
      <c r="I1335" s="479">
        <f t="shared" ref="I1335" si="211">I1336</f>
        <v>0</v>
      </c>
      <c r="J1335" s="479">
        <f t="shared" ref="J1335" si="212">J1336</f>
        <v>0</v>
      </c>
      <c r="K1335" s="479">
        <f t="shared" ref="K1335" si="213">K1336</f>
        <v>0</v>
      </c>
      <c r="L1335" s="479">
        <f t="shared" ref="L1335" si="214">L1336</f>
        <v>0</v>
      </c>
      <c r="M1335" s="479">
        <f t="shared" ref="M1335" si="215">M1336</f>
        <v>0</v>
      </c>
      <c r="N1335" s="479">
        <f t="shared" ref="N1335" si="216">N1336</f>
        <v>0</v>
      </c>
      <c r="O1335" s="479">
        <f t="shared" ref="O1335" si="217">O1336</f>
        <v>0</v>
      </c>
      <c r="P1335" s="479">
        <f t="shared" ref="P1335" si="218">P1336</f>
        <v>0</v>
      </c>
      <c r="Q1335" s="479">
        <f t="shared" ref="Q1335" si="219">Q1336</f>
        <v>0</v>
      </c>
      <c r="R1335" s="479">
        <f t="shared" ref="R1335" si="220">R1336</f>
        <v>590</v>
      </c>
      <c r="S1335" s="479">
        <f t="shared" ref="S1335" si="221">S1336</f>
        <v>901450</v>
      </c>
      <c r="T1335" s="479">
        <f t="shared" ref="T1335" si="222">T1336</f>
        <v>0</v>
      </c>
      <c r="U1335" s="479">
        <f t="shared" ref="U1335" si="223">U1336</f>
        <v>0</v>
      </c>
      <c r="V1335" s="282"/>
      <c r="W1335" s="282"/>
      <c r="X1335" s="282"/>
    </row>
    <row r="1336" spans="1:35" ht="30">
      <c r="A1336" s="470"/>
      <c r="B1336" s="480" t="s">
        <v>691</v>
      </c>
      <c r="C1336" s="479">
        <f>'часть 1'!L1368</f>
        <v>901450</v>
      </c>
      <c r="D1336" s="479">
        <v>0</v>
      </c>
      <c r="E1336" s="479">
        <v>0</v>
      </c>
      <c r="F1336" s="479">
        <v>0</v>
      </c>
      <c r="G1336" s="479">
        <v>0</v>
      </c>
      <c r="H1336" s="479">
        <v>0</v>
      </c>
      <c r="I1336" s="479">
        <v>0</v>
      </c>
      <c r="J1336" s="479">
        <v>0</v>
      </c>
      <c r="K1336" s="479">
        <v>0</v>
      </c>
      <c r="L1336" s="515">
        <v>0</v>
      </c>
      <c r="M1336" s="479">
        <v>0</v>
      </c>
      <c r="N1336" s="472">
        <v>0</v>
      </c>
      <c r="O1336" s="479">
        <v>0</v>
      </c>
      <c r="P1336" s="516">
        <v>0</v>
      </c>
      <c r="Q1336" s="479">
        <v>0</v>
      </c>
      <c r="R1336" s="516">
        <v>590</v>
      </c>
      <c r="S1336" s="479">
        <v>901450</v>
      </c>
      <c r="T1336" s="515">
        <v>0</v>
      </c>
      <c r="U1336" s="517">
        <v>0</v>
      </c>
      <c r="V1336" s="282"/>
      <c r="W1336" s="282"/>
      <c r="X1336" s="282">
        <f>S1336/R1336</f>
        <v>1527.8813559322034</v>
      </c>
    </row>
    <row r="1337" spans="1:35" ht="30">
      <c r="A1337" s="470"/>
      <c r="B1337" s="480" t="s">
        <v>99</v>
      </c>
      <c r="C1337" s="479">
        <f>C1338+C1339</f>
        <v>1696092</v>
      </c>
      <c r="D1337" s="479">
        <f t="shared" ref="D1337:V1337" si="224">D1338+D1339</f>
        <v>0</v>
      </c>
      <c r="E1337" s="479">
        <f t="shared" si="224"/>
        <v>0</v>
      </c>
      <c r="F1337" s="479">
        <f t="shared" si="224"/>
        <v>0</v>
      </c>
      <c r="G1337" s="479">
        <f t="shared" si="224"/>
        <v>0</v>
      </c>
      <c r="H1337" s="479">
        <f t="shared" si="224"/>
        <v>0</v>
      </c>
      <c r="I1337" s="479">
        <f t="shared" si="224"/>
        <v>0</v>
      </c>
      <c r="J1337" s="479">
        <f t="shared" si="224"/>
        <v>0</v>
      </c>
      <c r="K1337" s="479">
        <f t="shared" si="224"/>
        <v>0</v>
      </c>
      <c r="L1337" s="479">
        <f t="shared" si="224"/>
        <v>0</v>
      </c>
      <c r="M1337" s="479">
        <f t="shared" si="224"/>
        <v>0</v>
      </c>
      <c r="N1337" s="479">
        <f t="shared" si="224"/>
        <v>522.70000000000005</v>
      </c>
      <c r="O1337" s="479">
        <f t="shared" si="224"/>
        <v>1696092</v>
      </c>
      <c r="P1337" s="479">
        <f t="shared" si="224"/>
        <v>0</v>
      </c>
      <c r="Q1337" s="479">
        <f t="shared" si="224"/>
        <v>0</v>
      </c>
      <c r="R1337" s="479">
        <f t="shared" si="224"/>
        <v>0</v>
      </c>
      <c r="S1337" s="479">
        <f t="shared" si="224"/>
        <v>0</v>
      </c>
      <c r="T1337" s="479">
        <f t="shared" si="224"/>
        <v>0</v>
      </c>
      <c r="U1337" s="479">
        <f t="shared" si="224"/>
        <v>0</v>
      </c>
      <c r="V1337" s="211">
        <f t="shared" si="224"/>
        <v>0</v>
      </c>
      <c r="W1337" s="282"/>
      <c r="X1337" s="282"/>
    </row>
    <row r="1338" spans="1:35" ht="30">
      <c r="A1338" s="470">
        <v>265</v>
      </c>
      <c r="B1338" s="480" t="s">
        <v>803</v>
      </c>
      <c r="C1338" s="479">
        <f>'часть 1'!L1370</f>
        <v>851963</v>
      </c>
      <c r="D1338" s="479">
        <v>0</v>
      </c>
      <c r="E1338" s="479">
        <v>0</v>
      </c>
      <c r="F1338" s="479">
        <v>0</v>
      </c>
      <c r="G1338" s="479">
        <v>0</v>
      </c>
      <c r="H1338" s="479">
        <v>0</v>
      </c>
      <c r="I1338" s="479">
        <v>0</v>
      </c>
      <c r="J1338" s="479">
        <v>0</v>
      </c>
      <c r="K1338" s="479">
        <v>0</v>
      </c>
      <c r="L1338" s="515">
        <v>0</v>
      </c>
      <c r="M1338" s="479">
        <v>0</v>
      </c>
      <c r="N1338" s="558">
        <v>262.60000000000002</v>
      </c>
      <c r="O1338" s="479">
        <v>851963</v>
      </c>
      <c r="P1338" s="516">
        <v>0</v>
      </c>
      <c r="Q1338" s="479">
        <v>0</v>
      </c>
      <c r="R1338" s="516">
        <v>0</v>
      </c>
      <c r="S1338" s="479">
        <v>0</v>
      </c>
      <c r="T1338" s="515">
        <v>0</v>
      </c>
      <c r="U1338" s="517">
        <v>0</v>
      </c>
      <c r="V1338" s="282"/>
      <c r="W1338" s="282">
        <f>O1338/N1338</f>
        <v>3244.3373952779889</v>
      </c>
      <c r="X1338" s="282"/>
    </row>
    <row r="1339" spans="1:35" ht="30">
      <c r="A1339" s="470">
        <v>266</v>
      </c>
      <c r="B1339" s="480" t="s">
        <v>804</v>
      </c>
      <c r="C1339" s="479">
        <f>'часть 1'!L1371</f>
        <v>844129</v>
      </c>
      <c r="D1339" s="479">
        <v>0</v>
      </c>
      <c r="E1339" s="479">
        <v>0</v>
      </c>
      <c r="F1339" s="479">
        <v>0</v>
      </c>
      <c r="G1339" s="479">
        <v>0</v>
      </c>
      <c r="H1339" s="479">
        <v>0</v>
      </c>
      <c r="I1339" s="479">
        <v>0</v>
      </c>
      <c r="J1339" s="479">
        <v>0</v>
      </c>
      <c r="K1339" s="479">
        <v>0</v>
      </c>
      <c r="L1339" s="515">
        <v>0</v>
      </c>
      <c r="M1339" s="479">
        <v>0</v>
      </c>
      <c r="N1339" s="558">
        <v>260.10000000000002</v>
      </c>
      <c r="O1339" s="479">
        <v>844129</v>
      </c>
      <c r="P1339" s="516">
        <v>0</v>
      </c>
      <c r="Q1339" s="479">
        <v>0</v>
      </c>
      <c r="R1339" s="516">
        <v>0</v>
      </c>
      <c r="S1339" s="479">
        <v>0</v>
      </c>
      <c r="T1339" s="515">
        <v>0</v>
      </c>
      <c r="U1339" s="517">
        <v>0</v>
      </c>
      <c r="V1339" s="282"/>
      <c r="W1339" s="282">
        <f>O1339/N1339</f>
        <v>3245.4017685505573</v>
      </c>
      <c r="X1339" s="282"/>
    </row>
    <row r="1340" spans="1:35" ht="30">
      <c r="A1340" s="470"/>
      <c r="B1340" s="480" t="s">
        <v>100</v>
      </c>
      <c r="C1340" s="479">
        <v>0</v>
      </c>
      <c r="D1340" s="479">
        <v>0</v>
      </c>
      <c r="E1340" s="479">
        <v>0</v>
      </c>
      <c r="F1340" s="479">
        <v>0</v>
      </c>
      <c r="G1340" s="479">
        <v>0</v>
      </c>
      <c r="H1340" s="479">
        <v>0</v>
      </c>
      <c r="I1340" s="479">
        <v>0</v>
      </c>
      <c r="J1340" s="479">
        <v>0</v>
      </c>
      <c r="K1340" s="479">
        <v>0</v>
      </c>
      <c r="L1340" s="479">
        <v>0</v>
      </c>
      <c r="M1340" s="479">
        <v>0</v>
      </c>
      <c r="N1340" s="479">
        <v>0</v>
      </c>
      <c r="O1340" s="479">
        <v>0</v>
      </c>
      <c r="P1340" s="479">
        <v>0</v>
      </c>
      <c r="Q1340" s="479">
        <v>0</v>
      </c>
      <c r="R1340" s="479">
        <v>0</v>
      </c>
      <c r="S1340" s="479">
        <v>0</v>
      </c>
      <c r="T1340" s="479">
        <v>0</v>
      </c>
      <c r="U1340" s="479">
        <v>0</v>
      </c>
      <c r="V1340" s="479" t="e">
        <f>#REF!</f>
        <v>#REF!</v>
      </c>
      <c r="W1340" s="282"/>
      <c r="X1340" s="282"/>
    </row>
    <row r="1341" spans="1:35" ht="30">
      <c r="A1341" s="470"/>
      <c r="B1341" s="480" t="s">
        <v>101</v>
      </c>
      <c r="C1341" s="479">
        <f>C1342</f>
        <v>1648047</v>
      </c>
      <c r="D1341" s="479">
        <f t="shared" ref="D1341:U1341" si="225">D1342</f>
        <v>0</v>
      </c>
      <c r="E1341" s="479">
        <f t="shared" si="225"/>
        <v>0</v>
      </c>
      <c r="F1341" s="479">
        <f t="shared" si="225"/>
        <v>0</v>
      </c>
      <c r="G1341" s="479">
        <f t="shared" si="225"/>
        <v>0</v>
      </c>
      <c r="H1341" s="479">
        <f t="shared" si="225"/>
        <v>0</v>
      </c>
      <c r="I1341" s="479">
        <f t="shared" si="225"/>
        <v>0</v>
      </c>
      <c r="J1341" s="479">
        <f t="shared" si="225"/>
        <v>0</v>
      </c>
      <c r="K1341" s="479">
        <f t="shared" si="225"/>
        <v>0</v>
      </c>
      <c r="L1341" s="479">
        <f t="shared" si="225"/>
        <v>0</v>
      </c>
      <c r="M1341" s="479">
        <f t="shared" si="225"/>
        <v>0</v>
      </c>
      <c r="N1341" s="479">
        <f t="shared" si="225"/>
        <v>515.20000000000005</v>
      </c>
      <c r="O1341" s="479">
        <f t="shared" si="225"/>
        <v>1648047</v>
      </c>
      <c r="P1341" s="479">
        <f t="shared" si="225"/>
        <v>0</v>
      </c>
      <c r="Q1341" s="479">
        <f t="shared" si="225"/>
        <v>0</v>
      </c>
      <c r="R1341" s="479">
        <f t="shared" si="225"/>
        <v>0</v>
      </c>
      <c r="S1341" s="479">
        <f t="shared" si="225"/>
        <v>0</v>
      </c>
      <c r="T1341" s="479">
        <f t="shared" si="225"/>
        <v>0</v>
      </c>
      <c r="U1341" s="479">
        <f t="shared" si="225"/>
        <v>0</v>
      </c>
      <c r="V1341" s="282"/>
      <c r="W1341" s="282"/>
      <c r="X1341" s="282"/>
    </row>
    <row r="1342" spans="1:35" ht="30">
      <c r="A1342" s="470">
        <v>268</v>
      </c>
      <c r="B1342" s="480" t="s">
        <v>926</v>
      </c>
      <c r="C1342" s="479">
        <f>'часть 1'!L1374</f>
        <v>1648047</v>
      </c>
      <c r="D1342" s="479">
        <v>0</v>
      </c>
      <c r="E1342" s="479">
        <v>0</v>
      </c>
      <c r="F1342" s="479">
        <v>0</v>
      </c>
      <c r="G1342" s="479">
        <v>0</v>
      </c>
      <c r="H1342" s="479">
        <v>0</v>
      </c>
      <c r="I1342" s="479">
        <v>0</v>
      </c>
      <c r="J1342" s="479">
        <v>0</v>
      </c>
      <c r="K1342" s="479">
        <v>0</v>
      </c>
      <c r="L1342" s="515">
        <v>0</v>
      </c>
      <c r="M1342" s="479">
        <v>0</v>
      </c>
      <c r="N1342" s="472">
        <v>515.20000000000005</v>
      </c>
      <c r="O1342" s="479">
        <v>1648047</v>
      </c>
      <c r="P1342" s="516">
        <v>0</v>
      </c>
      <c r="Q1342" s="479">
        <v>0</v>
      </c>
      <c r="R1342" s="516">
        <v>0</v>
      </c>
      <c r="S1342" s="479">
        <v>0</v>
      </c>
      <c r="T1342" s="515">
        <v>0</v>
      </c>
      <c r="U1342" s="517">
        <v>0</v>
      </c>
      <c r="V1342" s="282"/>
      <c r="W1342" s="282">
        <f>O1342/N1342</f>
        <v>3198.8489906832297</v>
      </c>
      <c r="X1342" s="282"/>
    </row>
    <row r="1343" spans="1:35" ht="30">
      <c r="A1343" s="470"/>
      <c r="B1343" s="480" t="s">
        <v>126</v>
      </c>
      <c r="C1343" s="479">
        <f>C1344</f>
        <v>2577836</v>
      </c>
      <c r="D1343" s="479">
        <f t="shared" ref="D1343:U1343" si="226">D1344</f>
        <v>0</v>
      </c>
      <c r="E1343" s="479">
        <f t="shared" si="226"/>
        <v>0</v>
      </c>
      <c r="F1343" s="479">
        <f t="shared" si="226"/>
        <v>0</v>
      </c>
      <c r="G1343" s="479">
        <f t="shared" si="226"/>
        <v>0</v>
      </c>
      <c r="H1343" s="479">
        <f t="shared" si="226"/>
        <v>0</v>
      </c>
      <c r="I1343" s="479">
        <f t="shared" si="226"/>
        <v>0</v>
      </c>
      <c r="J1343" s="479">
        <f t="shared" si="226"/>
        <v>0</v>
      </c>
      <c r="K1343" s="479">
        <f t="shared" si="226"/>
        <v>0</v>
      </c>
      <c r="L1343" s="479">
        <f t="shared" si="226"/>
        <v>0</v>
      </c>
      <c r="M1343" s="479">
        <f t="shared" si="226"/>
        <v>0</v>
      </c>
      <c r="N1343" s="479">
        <f t="shared" si="226"/>
        <v>811.2</v>
      </c>
      <c r="O1343" s="479">
        <f t="shared" si="226"/>
        <v>2577836</v>
      </c>
      <c r="P1343" s="479">
        <f t="shared" si="226"/>
        <v>0</v>
      </c>
      <c r="Q1343" s="479">
        <f t="shared" si="226"/>
        <v>0</v>
      </c>
      <c r="R1343" s="479">
        <f t="shared" si="226"/>
        <v>0</v>
      </c>
      <c r="S1343" s="479">
        <f t="shared" si="226"/>
        <v>0</v>
      </c>
      <c r="T1343" s="479">
        <f t="shared" si="226"/>
        <v>0</v>
      </c>
      <c r="U1343" s="479">
        <f t="shared" si="226"/>
        <v>0</v>
      </c>
      <c r="V1343" s="282"/>
      <c r="W1343" s="282"/>
      <c r="X1343" s="282"/>
    </row>
    <row r="1344" spans="1:35" ht="30">
      <c r="A1344" s="470">
        <v>270</v>
      </c>
      <c r="B1344" s="480" t="s">
        <v>812</v>
      </c>
      <c r="C1344" s="479">
        <v>2577836</v>
      </c>
      <c r="D1344" s="479">
        <v>0</v>
      </c>
      <c r="E1344" s="479">
        <v>0</v>
      </c>
      <c r="F1344" s="479">
        <v>0</v>
      </c>
      <c r="G1344" s="479">
        <v>0</v>
      </c>
      <c r="H1344" s="479">
        <v>0</v>
      </c>
      <c r="I1344" s="479">
        <v>0</v>
      </c>
      <c r="J1344" s="479">
        <v>0</v>
      </c>
      <c r="K1344" s="479">
        <v>0</v>
      </c>
      <c r="L1344" s="515">
        <v>0</v>
      </c>
      <c r="M1344" s="479">
        <v>0</v>
      </c>
      <c r="N1344" s="479">
        <v>811.2</v>
      </c>
      <c r="O1344" s="479">
        <v>2577836</v>
      </c>
      <c r="P1344" s="516">
        <v>0</v>
      </c>
      <c r="Q1344" s="479">
        <v>0</v>
      </c>
      <c r="R1344" s="516">
        <v>0</v>
      </c>
      <c r="S1344" s="479">
        <v>0</v>
      </c>
      <c r="T1344" s="515">
        <v>0</v>
      </c>
      <c r="U1344" s="517">
        <v>0</v>
      </c>
      <c r="V1344" s="282"/>
      <c r="W1344" s="282">
        <f>O1344/N1344</f>
        <v>3177.8057199211044</v>
      </c>
      <c r="X1344" s="282"/>
    </row>
    <row r="1345" spans="1:26" ht="30.6" customHeight="1">
      <c r="A1345" s="470"/>
      <c r="B1345" s="480" t="s">
        <v>861</v>
      </c>
      <c r="C1345" s="479">
        <f>C1346</f>
        <v>1908394</v>
      </c>
      <c r="D1345" s="479">
        <f t="shared" ref="D1345:V1345" si="227">D1346</f>
        <v>0</v>
      </c>
      <c r="E1345" s="479">
        <f t="shared" si="227"/>
        <v>0</v>
      </c>
      <c r="F1345" s="479">
        <f t="shared" si="227"/>
        <v>0</v>
      </c>
      <c r="G1345" s="479">
        <f t="shared" si="227"/>
        <v>0</v>
      </c>
      <c r="H1345" s="479">
        <f t="shared" si="227"/>
        <v>0</v>
      </c>
      <c r="I1345" s="479">
        <f t="shared" si="227"/>
        <v>0</v>
      </c>
      <c r="J1345" s="479">
        <f t="shared" si="227"/>
        <v>0</v>
      </c>
      <c r="K1345" s="479">
        <f t="shared" si="227"/>
        <v>0</v>
      </c>
      <c r="L1345" s="479">
        <f t="shared" si="227"/>
        <v>0</v>
      </c>
      <c r="M1345" s="479">
        <f t="shared" si="227"/>
        <v>0</v>
      </c>
      <c r="N1345" s="479">
        <f t="shared" si="227"/>
        <v>688.8</v>
      </c>
      <c r="O1345" s="479">
        <f t="shared" si="227"/>
        <v>1908394</v>
      </c>
      <c r="P1345" s="479">
        <f t="shared" si="227"/>
        <v>0</v>
      </c>
      <c r="Q1345" s="479">
        <f t="shared" si="227"/>
        <v>0</v>
      </c>
      <c r="R1345" s="479">
        <f t="shared" si="227"/>
        <v>0</v>
      </c>
      <c r="S1345" s="479">
        <f t="shared" si="227"/>
        <v>0</v>
      </c>
      <c r="T1345" s="479">
        <f t="shared" si="227"/>
        <v>0</v>
      </c>
      <c r="U1345" s="479">
        <f t="shared" si="227"/>
        <v>0</v>
      </c>
      <c r="V1345" s="211">
        <f t="shared" si="227"/>
        <v>0</v>
      </c>
      <c r="W1345" s="282"/>
      <c r="X1345" s="282"/>
    </row>
    <row r="1346" spans="1:26" ht="27" customHeight="1">
      <c r="A1346" s="470"/>
      <c r="B1346" s="480" t="s">
        <v>862</v>
      </c>
      <c r="C1346" s="479">
        <f>'часть 1'!L1378</f>
        <v>1908394</v>
      </c>
      <c r="D1346" s="479">
        <v>0</v>
      </c>
      <c r="E1346" s="479">
        <v>0</v>
      </c>
      <c r="F1346" s="479">
        <v>0</v>
      </c>
      <c r="G1346" s="479">
        <v>0</v>
      </c>
      <c r="H1346" s="479">
        <v>0</v>
      </c>
      <c r="I1346" s="479">
        <v>0</v>
      </c>
      <c r="J1346" s="479">
        <v>0</v>
      </c>
      <c r="K1346" s="479">
        <v>0</v>
      </c>
      <c r="L1346" s="515">
        <v>0</v>
      </c>
      <c r="M1346" s="479">
        <v>0</v>
      </c>
      <c r="N1346" s="479">
        <v>688.8</v>
      </c>
      <c r="O1346" s="479">
        <v>1908394</v>
      </c>
      <c r="P1346" s="516">
        <v>0</v>
      </c>
      <c r="Q1346" s="479">
        <v>0</v>
      </c>
      <c r="R1346" s="516">
        <v>0</v>
      </c>
      <c r="S1346" s="479">
        <v>0</v>
      </c>
      <c r="T1346" s="515">
        <v>0</v>
      </c>
      <c r="U1346" s="517">
        <v>0</v>
      </c>
      <c r="V1346" s="282"/>
      <c r="W1346" s="282">
        <f>O1346/N1346</f>
        <v>2770.6068524970965</v>
      </c>
      <c r="X1346" s="282"/>
    </row>
    <row r="1347" spans="1:26">
      <c r="A1347" s="198"/>
      <c r="B1347" s="216" t="s">
        <v>46</v>
      </c>
      <c r="C1347" s="211">
        <f>C1348</f>
        <v>684446</v>
      </c>
      <c r="D1347" s="211">
        <f t="shared" ref="D1347:U1347" si="228">D1348</f>
        <v>0</v>
      </c>
      <c r="E1347" s="211">
        <f t="shared" si="228"/>
        <v>0</v>
      </c>
      <c r="F1347" s="211">
        <f t="shared" si="228"/>
        <v>0</v>
      </c>
      <c r="G1347" s="211">
        <f t="shared" si="228"/>
        <v>0</v>
      </c>
      <c r="H1347" s="211">
        <f t="shared" si="228"/>
        <v>0</v>
      </c>
      <c r="I1347" s="211">
        <f t="shared" si="228"/>
        <v>0</v>
      </c>
      <c r="J1347" s="211">
        <f t="shared" si="228"/>
        <v>0</v>
      </c>
      <c r="K1347" s="211">
        <f t="shared" si="228"/>
        <v>0</v>
      </c>
      <c r="L1347" s="211">
        <f t="shared" si="228"/>
        <v>0</v>
      </c>
      <c r="M1347" s="211">
        <f t="shared" si="228"/>
        <v>0</v>
      </c>
      <c r="N1347" s="211">
        <f t="shared" si="228"/>
        <v>0</v>
      </c>
      <c r="O1347" s="211">
        <f t="shared" si="228"/>
        <v>0</v>
      </c>
      <c r="P1347" s="211">
        <f t="shared" si="228"/>
        <v>0</v>
      </c>
      <c r="Q1347" s="211">
        <f t="shared" si="228"/>
        <v>0</v>
      </c>
      <c r="R1347" s="211">
        <f t="shared" si="228"/>
        <v>445.3</v>
      </c>
      <c r="S1347" s="211">
        <f t="shared" si="228"/>
        <v>684446</v>
      </c>
      <c r="T1347" s="211">
        <f t="shared" si="228"/>
        <v>0</v>
      </c>
      <c r="U1347" s="211">
        <f t="shared" si="228"/>
        <v>0</v>
      </c>
      <c r="V1347" s="282"/>
      <c r="W1347" s="282"/>
      <c r="X1347" s="282"/>
    </row>
    <row r="1348" spans="1:26" ht="30">
      <c r="A1348" s="194"/>
      <c r="B1348" s="214" t="s">
        <v>102</v>
      </c>
      <c r="C1348" s="211">
        <f>C1349</f>
        <v>684446</v>
      </c>
      <c r="D1348" s="211">
        <f t="shared" ref="D1348:U1348" si="229">D1349</f>
        <v>0</v>
      </c>
      <c r="E1348" s="211">
        <f t="shared" si="229"/>
        <v>0</v>
      </c>
      <c r="F1348" s="211">
        <f t="shared" si="229"/>
        <v>0</v>
      </c>
      <c r="G1348" s="211">
        <f t="shared" si="229"/>
        <v>0</v>
      </c>
      <c r="H1348" s="211">
        <f t="shared" si="229"/>
        <v>0</v>
      </c>
      <c r="I1348" s="211">
        <f t="shared" si="229"/>
        <v>0</v>
      </c>
      <c r="J1348" s="211">
        <f t="shared" si="229"/>
        <v>0</v>
      </c>
      <c r="K1348" s="211">
        <f t="shared" si="229"/>
        <v>0</v>
      </c>
      <c r="L1348" s="211">
        <f t="shared" si="229"/>
        <v>0</v>
      </c>
      <c r="M1348" s="211">
        <f t="shared" si="229"/>
        <v>0</v>
      </c>
      <c r="N1348" s="211">
        <f t="shared" si="229"/>
        <v>0</v>
      </c>
      <c r="O1348" s="211">
        <f t="shared" si="229"/>
        <v>0</v>
      </c>
      <c r="P1348" s="211">
        <f t="shared" si="229"/>
        <v>0</v>
      </c>
      <c r="Q1348" s="211">
        <f t="shared" si="229"/>
        <v>0</v>
      </c>
      <c r="R1348" s="211">
        <f t="shared" si="229"/>
        <v>445.3</v>
      </c>
      <c r="S1348" s="211">
        <f t="shared" si="229"/>
        <v>684446</v>
      </c>
      <c r="T1348" s="211">
        <f t="shared" si="229"/>
        <v>0</v>
      </c>
      <c r="U1348" s="211">
        <f t="shared" si="229"/>
        <v>0</v>
      </c>
      <c r="V1348" s="282"/>
      <c r="W1348" s="282"/>
      <c r="X1348" s="282"/>
    </row>
    <row r="1349" spans="1:26">
      <c r="A1349" s="470">
        <v>271</v>
      </c>
      <c r="B1349" s="480" t="s">
        <v>592</v>
      </c>
      <c r="C1349" s="479">
        <f>'часть 1'!L1381</f>
        <v>684446</v>
      </c>
      <c r="D1349" s="479">
        <v>0</v>
      </c>
      <c r="E1349" s="479">
        <v>0</v>
      </c>
      <c r="F1349" s="479">
        <v>0</v>
      </c>
      <c r="G1349" s="479">
        <v>0</v>
      </c>
      <c r="H1349" s="479">
        <v>0</v>
      </c>
      <c r="I1349" s="479">
        <v>0</v>
      </c>
      <c r="J1349" s="479">
        <v>0</v>
      </c>
      <c r="K1349" s="479">
        <v>0</v>
      </c>
      <c r="L1349" s="515">
        <v>0</v>
      </c>
      <c r="M1349" s="479">
        <v>0</v>
      </c>
      <c r="N1349" s="512">
        <v>0</v>
      </c>
      <c r="O1349" s="479">
        <v>0</v>
      </c>
      <c r="P1349" s="516">
        <v>0</v>
      </c>
      <c r="Q1349" s="479">
        <v>0</v>
      </c>
      <c r="R1349" s="479">
        <v>445.3</v>
      </c>
      <c r="S1349" s="479">
        <v>684446</v>
      </c>
      <c r="T1349" s="515">
        <v>0</v>
      </c>
      <c r="U1349" s="517">
        <v>0</v>
      </c>
      <c r="V1349" s="282"/>
      <c r="W1349" s="282"/>
      <c r="X1349" s="282">
        <f>S1349/R1349</f>
        <v>1537.0446889737254</v>
      </c>
    </row>
    <row r="1350" spans="1:26">
      <c r="A1350" s="470"/>
      <c r="B1350" s="480"/>
      <c r="C1350" s="479"/>
      <c r="D1350" s="479"/>
      <c r="E1350" s="479"/>
      <c r="F1350" s="479"/>
      <c r="G1350" s="479"/>
      <c r="H1350" s="479"/>
      <c r="I1350" s="479"/>
      <c r="J1350" s="479"/>
      <c r="K1350" s="479"/>
      <c r="L1350" s="515"/>
      <c r="M1350" s="479"/>
      <c r="N1350" s="479"/>
      <c r="O1350" s="479"/>
      <c r="P1350" s="516"/>
      <c r="Q1350" s="479"/>
      <c r="R1350" s="516"/>
      <c r="S1350" s="479"/>
      <c r="T1350" s="515"/>
      <c r="U1350" s="517"/>
      <c r="V1350" s="282"/>
      <c r="W1350" s="282"/>
      <c r="X1350" s="282"/>
    </row>
    <row r="1351" spans="1:26" s="18" customFormat="1" ht="24" customHeight="1">
      <c r="A1351" s="198"/>
      <c r="B1351" s="216" t="s">
        <v>47</v>
      </c>
      <c r="C1351" s="211">
        <f>C1352</f>
        <v>2602688</v>
      </c>
      <c r="D1351" s="211">
        <f t="shared" ref="D1351:V1351" si="230">D1352</f>
        <v>0</v>
      </c>
      <c r="E1351" s="211">
        <f t="shared" si="230"/>
        <v>0</v>
      </c>
      <c r="F1351" s="211">
        <f t="shared" si="230"/>
        <v>0</v>
      </c>
      <c r="G1351" s="211">
        <f t="shared" si="230"/>
        <v>0</v>
      </c>
      <c r="H1351" s="211">
        <f t="shared" si="230"/>
        <v>0</v>
      </c>
      <c r="I1351" s="211">
        <f t="shared" si="230"/>
        <v>0</v>
      </c>
      <c r="J1351" s="211">
        <f t="shared" si="230"/>
        <v>0</v>
      </c>
      <c r="K1351" s="211">
        <f t="shared" si="230"/>
        <v>0</v>
      </c>
      <c r="L1351" s="211">
        <f t="shared" si="230"/>
        <v>0</v>
      </c>
      <c r="M1351" s="211">
        <f t="shared" si="230"/>
        <v>0</v>
      </c>
      <c r="N1351" s="211">
        <f t="shared" si="230"/>
        <v>819.2</v>
      </c>
      <c r="O1351" s="211">
        <f t="shared" si="230"/>
        <v>2602688</v>
      </c>
      <c r="P1351" s="211">
        <f t="shared" si="230"/>
        <v>0</v>
      </c>
      <c r="Q1351" s="211">
        <f t="shared" si="230"/>
        <v>0</v>
      </c>
      <c r="R1351" s="211">
        <f t="shared" si="230"/>
        <v>0</v>
      </c>
      <c r="S1351" s="211">
        <f t="shared" si="230"/>
        <v>0</v>
      </c>
      <c r="T1351" s="211">
        <f t="shared" si="230"/>
        <v>0</v>
      </c>
      <c r="U1351" s="211">
        <f t="shared" si="230"/>
        <v>0</v>
      </c>
      <c r="V1351" s="211">
        <f t="shared" si="230"/>
        <v>0</v>
      </c>
      <c r="W1351" s="282"/>
      <c r="X1351" s="282"/>
    </row>
    <row r="1352" spans="1:26" ht="30">
      <c r="A1352" s="470"/>
      <c r="B1352" s="480" t="s">
        <v>103</v>
      </c>
      <c r="C1352" s="479">
        <f>C1353</f>
        <v>2602688</v>
      </c>
      <c r="D1352" s="479">
        <f t="shared" ref="D1352:V1352" si="231">D1353</f>
        <v>0</v>
      </c>
      <c r="E1352" s="479">
        <f t="shared" si="231"/>
        <v>0</v>
      </c>
      <c r="F1352" s="479">
        <f t="shared" si="231"/>
        <v>0</v>
      </c>
      <c r="G1352" s="479">
        <f t="shared" si="231"/>
        <v>0</v>
      </c>
      <c r="H1352" s="479">
        <f t="shared" si="231"/>
        <v>0</v>
      </c>
      <c r="I1352" s="479">
        <f t="shared" si="231"/>
        <v>0</v>
      </c>
      <c r="J1352" s="479">
        <f t="shared" si="231"/>
        <v>0</v>
      </c>
      <c r="K1352" s="479">
        <f t="shared" si="231"/>
        <v>0</v>
      </c>
      <c r="L1352" s="479">
        <f t="shared" si="231"/>
        <v>0</v>
      </c>
      <c r="M1352" s="479">
        <f t="shared" si="231"/>
        <v>0</v>
      </c>
      <c r="N1352" s="479">
        <f t="shared" si="231"/>
        <v>819.2</v>
      </c>
      <c r="O1352" s="479">
        <f t="shared" si="231"/>
        <v>2602688</v>
      </c>
      <c r="P1352" s="479">
        <f t="shared" si="231"/>
        <v>0</v>
      </c>
      <c r="Q1352" s="479">
        <f t="shared" si="231"/>
        <v>0</v>
      </c>
      <c r="R1352" s="479">
        <f t="shared" si="231"/>
        <v>0</v>
      </c>
      <c r="S1352" s="479">
        <f t="shared" si="231"/>
        <v>0</v>
      </c>
      <c r="T1352" s="479">
        <f t="shared" si="231"/>
        <v>0</v>
      </c>
      <c r="U1352" s="479">
        <f t="shared" si="231"/>
        <v>0</v>
      </c>
      <c r="V1352" s="211">
        <f t="shared" si="231"/>
        <v>0</v>
      </c>
      <c r="W1352" s="282"/>
      <c r="X1352" s="282"/>
    </row>
    <row r="1353" spans="1:26" ht="21" customHeight="1">
      <c r="A1353" s="470">
        <v>273</v>
      </c>
      <c r="B1353" s="480" t="s">
        <v>880</v>
      </c>
      <c r="C1353" s="479">
        <f>'часть 1'!L1385</f>
        <v>2602688</v>
      </c>
      <c r="D1353" s="479">
        <v>0</v>
      </c>
      <c r="E1353" s="479">
        <v>0</v>
      </c>
      <c r="F1353" s="479">
        <v>0</v>
      </c>
      <c r="G1353" s="479">
        <v>0</v>
      </c>
      <c r="H1353" s="479">
        <v>0</v>
      </c>
      <c r="I1353" s="479">
        <v>0</v>
      </c>
      <c r="J1353" s="479">
        <v>0</v>
      </c>
      <c r="K1353" s="479">
        <v>0</v>
      </c>
      <c r="L1353" s="515">
        <v>0</v>
      </c>
      <c r="M1353" s="479">
        <v>0</v>
      </c>
      <c r="N1353" s="479">
        <v>819.2</v>
      </c>
      <c r="O1353" s="479">
        <v>2602688</v>
      </c>
      <c r="P1353" s="516">
        <v>0</v>
      </c>
      <c r="Q1353" s="479">
        <v>0</v>
      </c>
      <c r="R1353" s="516">
        <v>0</v>
      </c>
      <c r="S1353" s="479">
        <v>0</v>
      </c>
      <c r="T1353" s="515">
        <v>0</v>
      </c>
      <c r="U1353" s="517">
        <v>0</v>
      </c>
      <c r="V1353" s="282"/>
      <c r="W1353" s="282">
        <f>O1353/N1353</f>
        <v>3177.109375</v>
      </c>
      <c r="X1353" s="282"/>
    </row>
    <row r="1354" spans="1:26" s="91" customFormat="1">
      <c r="A1354" s="198"/>
      <c r="B1354" s="216" t="s">
        <v>48</v>
      </c>
      <c r="C1354" s="211">
        <v>3947863</v>
      </c>
      <c r="D1354" s="211"/>
      <c r="E1354" s="211"/>
      <c r="F1354" s="211"/>
      <c r="G1354" s="211"/>
      <c r="H1354" s="211"/>
      <c r="I1354" s="211"/>
      <c r="J1354" s="211"/>
      <c r="K1354" s="211">
        <v>163315</v>
      </c>
      <c r="L1354" s="212">
        <v>0</v>
      </c>
      <c r="M1354" s="211">
        <v>0</v>
      </c>
      <c r="N1354" s="211">
        <v>1314.93</v>
      </c>
      <c r="O1354" s="211">
        <v>2673179</v>
      </c>
      <c r="P1354" s="213">
        <v>0</v>
      </c>
      <c r="Q1354" s="211">
        <v>0</v>
      </c>
      <c r="R1354" s="211">
        <v>759.4</v>
      </c>
      <c r="S1354" s="211">
        <v>1111369</v>
      </c>
      <c r="T1354" s="212">
        <v>0</v>
      </c>
      <c r="U1354" s="290">
        <v>0</v>
      </c>
      <c r="V1354" s="282"/>
      <c r="W1354" s="282"/>
      <c r="X1354" s="282"/>
    </row>
    <row r="1355" spans="1:26" ht="30">
      <c r="A1355" s="470"/>
      <c r="B1355" s="480" t="s">
        <v>107</v>
      </c>
      <c r="C1355" s="479">
        <f>C1356</f>
        <v>2102577</v>
      </c>
      <c r="D1355" s="479">
        <f t="shared" ref="D1355:U1355" si="232">D1356</f>
        <v>0</v>
      </c>
      <c r="E1355" s="479">
        <f t="shared" si="232"/>
        <v>0</v>
      </c>
      <c r="F1355" s="479">
        <f t="shared" si="232"/>
        <v>0</v>
      </c>
      <c r="G1355" s="479">
        <f t="shared" si="232"/>
        <v>0</v>
      </c>
      <c r="H1355" s="479">
        <f t="shared" si="232"/>
        <v>0</v>
      </c>
      <c r="I1355" s="479">
        <f t="shared" si="232"/>
        <v>0</v>
      </c>
      <c r="J1355" s="479">
        <f t="shared" si="232"/>
        <v>0</v>
      </c>
      <c r="K1355" s="479">
        <f t="shared" si="232"/>
        <v>0</v>
      </c>
      <c r="L1355" s="479">
        <f t="shared" si="232"/>
        <v>0</v>
      </c>
      <c r="M1355" s="479">
        <f t="shared" si="232"/>
        <v>0</v>
      </c>
      <c r="N1355" s="479">
        <f t="shared" si="232"/>
        <v>1382.27</v>
      </c>
      <c r="O1355" s="479">
        <f t="shared" si="232"/>
        <v>2102577</v>
      </c>
      <c r="P1355" s="479">
        <f t="shared" si="232"/>
        <v>0</v>
      </c>
      <c r="Q1355" s="479">
        <f t="shared" si="232"/>
        <v>0</v>
      </c>
      <c r="R1355" s="479">
        <f t="shared" si="232"/>
        <v>0</v>
      </c>
      <c r="S1355" s="479">
        <f t="shared" si="232"/>
        <v>0</v>
      </c>
      <c r="T1355" s="479">
        <f t="shared" si="232"/>
        <v>0</v>
      </c>
      <c r="U1355" s="479">
        <f t="shared" si="232"/>
        <v>0</v>
      </c>
      <c r="V1355" s="282"/>
      <c r="W1355" s="282"/>
      <c r="X1355" s="282"/>
    </row>
    <row r="1356" spans="1:26">
      <c r="A1356" s="470">
        <v>277</v>
      </c>
      <c r="B1356" s="480" t="s">
        <v>774</v>
      </c>
      <c r="C1356" s="479">
        <f>'часть 1'!L1388</f>
        <v>2102577</v>
      </c>
      <c r="D1356" s="479">
        <v>0</v>
      </c>
      <c r="E1356" s="479">
        <v>0</v>
      </c>
      <c r="F1356" s="479">
        <v>0</v>
      </c>
      <c r="G1356" s="479">
        <v>0</v>
      </c>
      <c r="H1356" s="479">
        <v>0</v>
      </c>
      <c r="I1356" s="479">
        <v>0</v>
      </c>
      <c r="J1356" s="479">
        <v>0</v>
      </c>
      <c r="K1356" s="518">
        <v>0</v>
      </c>
      <c r="L1356" s="476">
        <v>0</v>
      </c>
      <c r="M1356" s="518">
        <v>0</v>
      </c>
      <c r="N1356" s="518">
        <v>1382.27</v>
      </c>
      <c r="O1356" s="521">
        <v>2102577</v>
      </c>
      <c r="P1356" s="571">
        <v>0</v>
      </c>
      <c r="Q1356" s="518">
        <v>0</v>
      </c>
      <c r="R1356" s="518">
        <v>0</v>
      </c>
      <c r="S1356" s="518">
        <v>0</v>
      </c>
      <c r="T1356" s="476">
        <v>0</v>
      </c>
      <c r="U1356" s="477">
        <v>0</v>
      </c>
      <c r="V1356" s="282"/>
      <c r="W1356" s="282">
        <f>O1356/N1356</f>
        <v>1521.1044152010822</v>
      </c>
      <c r="X1356" s="282"/>
      <c r="Y1356" s="25"/>
      <c r="Z1356" s="25"/>
    </row>
    <row r="1357" spans="1:26" ht="30">
      <c r="A1357" s="198"/>
      <c r="B1357" s="214" t="s">
        <v>104</v>
      </c>
      <c r="C1357" s="211">
        <v>553839</v>
      </c>
      <c r="D1357" s="211"/>
      <c r="E1357" s="211"/>
      <c r="F1357" s="211"/>
      <c r="G1357" s="211"/>
      <c r="H1357" s="211"/>
      <c r="I1357" s="211"/>
      <c r="J1357" s="211"/>
      <c r="K1357" s="211">
        <v>0</v>
      </c>
      <c r="L1357" s="212">
        <v>0</v>
      </c>
      <c r="M1357" s="211">
        <v>0</v>
      </c>
      <c r="N1357" s="211">
        <v>270.93</v>
      </c>
      <c r="O1357" s="211">
        <v>553839</v>
      </c>
      <c r="P1357" s="213">
        <v>0</v>
      </c>
      <c r="Q1357" s="211">
        <v>0</v>
      </c>
      <c r="R1357" s="213">
        <v>0</v>
      </c>
      <c r="S1357" s="211">
        <v>0</v>
      </c>
      <c r="T1357" s="212">
        <v>0</v>
      </c>
      <c r="U1357" s="290">
        <v>0</v>
      </c>
      <c r="V1357" s="282"/>
      <c r="W1357" s="282"/>
      <c r="X1357" s="282"/>
    </row>
    <row r="1358" spans="1:26" ht="30">
      <c r="A1358" s="198">
        <v>280</v>
      </c>
      <c r="B1358" s="214" t="s">
        <v>452</v>
      </c>
      <c r="C1358" s="211">
        <v>553839</v>
      </c>
      <c r="D1358" s="211"/>
      <c r="E1358" s="211"/>
      <c r="F1358" s="211"/>
      <c r="G1358" s="211"/>
      <c r="H1358" s="211"/>
      <c r="I1358" s="211"/>
      <c r="J1358" s="211"/>
      <c r="K1358" s="211">
        <v>0</v>
      </c>
      <c r="L1358" s="212">
        <v>0</v>
      </c>
      <c r="M1358" s="211">
        <v>0</v>
      </c>
      <c r="N1358" s="199">
        <v>270.93</v>
      </c>
      <c r="O1358" s="211">
        <v>553839</v>
      </c>
      <c r="P1358" s="213">
        <v>0</v>
      </c>
      <c r="Q1358" s="211">
        <v>0</v>
      </c>
      <c r="R1358" s="213">
        <v>0</v>
      </c>
      <c r="S1358" s="211">
        <v>0</v>
      </c>
      <c r="T1358" s="212">
        <v>0</v>
      </c>
      <c r="U1358" s="290">
        <v>0</v>
      </c>
      <c r="V1358" s="282"/>
      <c r="W1358" s="282"/>
      <c r="X1358" s="282"/>
    </row>
    <row r="1359" spans="1:26">
      <c r="A1359" s="198"/>
      <c r="B1359" s="216" t="s">
        <v>49</v>
      </c>
      <c r="C1359" s="211">
        <v>8949722</v>
      </c>
      <c r="D1359" s="211"/>
      <c r="E1359" s="211"/>
      <c r="F1359" s="211"/>
      <c r="G1359" s="211"/>
      <c r="H1359" s="211"/>
      <c r="I1359" s="211"/>
      <c r="J1359" s="211"/>
      <c r="K1359" s="211">
        <v>0</v>
      </c>
      <c r="L1359" s="212">
        <v>0</v>
      </c>
      <c r="M1359" s="211">
        <v>0</v>
      </c>
      <c r="N1359" s="211">
        <v>3313.5</v>
      </c>
      <c r="O1359" s="211">
        <v>6652861</v>
      </c>
      <c r="P1359" s="213">
        <v>0</v>
      </c>
      <c r="Q1359" s="211">
        <v>0</v>
      </c>
      <c r="R1359" s="211">
        <v>1589</v>
      </c>
      <c r="S1359" s="211">
        <v>2296861</v>
      </c>
      <c r="T1359" s="212">
        <v>0</v>
      </c>
      <c r="U1359" s="290">
        <v>0</v>
      </c>
      <c r="V1359" s="282"/>
      <c r="W1359" s="282"/>
      <c r="X1359" s="282"/>
    </row>
    <row r="1360" spans="1:26" ht="30">
      <c r="A1360" s="198"/>
      <c r="B1360" s="214" t="s">
        <v>105</v>
      </c>
      <c r="C1360" s="211">
        <f>C1361</f>
        <v>1551685</v>
      </c>
      <c r="D1360" s="211">
        <f t="shared" ref="D1360:U1360" si="233">D1361</f>
        <v>0</v>
      </c>
      <c r="E1360" s="211">
        <f t="shared" si="233"/>
        <v>0</v>
      </c>
      <c r="F1360" s="211">
        <f t="shared" si="233"/>
        <v>0</v>
      </c>
      <c r="G1360" s="211">
        <f t="shared" si="233"/>
        <v>0</v>
      </c>
      <c r="H1360" s="211">
        <f t="shared" si="233"/>
        <v>0</v>
      </c>
      <c r="I1360" s="211">
        <f t="shared" si="233"/>
        <v>0</v>
      </c>
      <c r="J1360" s="211">
        <f t="shared" si="233"/>
        <v>0</v>
      </c>
      <c r="K1360" s="211">
        <f t="shared" si="233"/>
        <v>0</v>
      </c>
      <c r="L1360" s="211">
        <f t="shared" si="233"/>
        <v>0</v>
      </c>
      <c r="M1360" s="211">
        <f t="shared" si="233"/>
        <v>0</v>
      </c>
      <c r="N1360" s="211">
        <f t="shared" si="233"/>
        <v>485.1</v>
      </c>
      <c r="O1360" s="211">
        <f t="shared" si="233"/>
        <v>1551685</v>
      </c>
      <c r="P1360" s="211">
        <f t="shared" si="233"/>
        <v>0</v>
      </c>
      <c r="Q1360" s="211">
        <f t="shared" si="233"/>
        <v>0</v>
      </c>
      <c r="R1360" s="211">
        <f t="shared" si="233"/>
        <v>0</v>
      </c>
      <c r="S1360" s="211">
        <f t="shared" si="233"/>
        <v>0</v>
      </c>
      <c r="T1360" s="211">
        <f t="shared" si="233"/>
        <v>0</v>
      </c>
      <c r="U1360" s="211">
        <f t="shared" si="233"/>
        <v>0</v>
      </c>
      <c r="V1360" s="282"/>
      <c r="W1360" s="282"/>
      <c r="X1360" s="282"/>
    </row>
    <row r="1361" spans="1:24" s="18" customFormat="1">
      <c r="A1361" s="470">
        <v>281</v>
      </c>
      <c r="B1361" s="524" t="s">
        <v>483</v>
      </c>
      <c r="C1361" s="479">
        <v>1551685</v>
      </c>
      <c r="D1361" s="479">
        <v>0</v>
      </c>
      <c r="E1361" s="479">
        <v>0</v>
      </c>
      <c r="F1361" s="479">
        <v>0</v>
      </c>
      <c r="G1361" s="479">
        <v>0</v>
      </c>
      <c r="H1361" s="479">
        <v>0</v>
      </c>
      <c r="I1361" s="479">
        <v>0</v>
      </c>
      <c r="J1361" s="479">
        <v>0</v>
      </c>
      <c r="K1361" s="479">
        <v>0</v>
      </c>
      <c r="L1361" s="515">
        <v>0</v>
      </c>
      <c r="M1361" s="479">
        <v>0</v>
      </c>
      <c r="N1361" s="479">
        <v>485.1</v>
      </c>
      <c r="O1361" s="479">
        <v>1551685</v>
      </c>
      <c r="P1361" s="516">
        <v>0</v>
      </c>
      <c r="Q1361" s="479">
        <v>0</v>
      </c>
      <c r="R1361" s="516">
        <v>0</v>
      </c>
      <c r="S1361" s="479">
        <v>0</v>
      </c>
      <c r="T1361" s="515">
        <v>0</v>
      </c>
      <c r="U1361" s="517">
        <v>0</v>
      </c>
      <c r="V1361" s="282"/>
      <c r="W1361" s="282">
        <f>O1361/N1361</f>
        <v>3198.6909915481342</v>
      </c>
      <c r="X1361" s="282"/>
    </row>
    <row r="1362" spans="1:24" s="18" customFormat="1">
      <c r="A1362" s="470"/>
      <c r="B1362" s="524"/>
      <c r="C1362" s="479"/>
      <c r="D1362" s="479"/>
      <c r="E1362" s="479"/>
      <c r="F1362" s="479"/>
      <c r="G1362" s="479"/>
      <c r="H1362" s="479"/>
      <c r="I1362" s="479"/>
      <c r="J1362" s="479"/>
      <c r="K1362" s="479"/>
      <c r="L1362" s="515"/>
      <c r="M1362" s="479"/>
      <c r="N1362" s="479"/>
      <c r="O1362" s="479"/>
      <c r="P1362" s="516"/>
      <c r="Q1362" s="479"/>
      <c r="R1362" s="516"/>
      <c r="S1362" s="479"/>
      <c r="T1362" s="515"/>
      <c r="U1362" s="517"/>
      <c r="V1362" s="282"/>
      <c r="W1362" s="282"/>
      <c r="X1362" s="282"/>
    </row>
    <row r="1363" spans="1:24" s="18" customFormat="1" ht="30">
      <c r="A1363" s="198"/>
      <c r="B1363" s="214" t="s">
        <v>188</v>
      </c>
      <c r="C1363" s="211">
        <v>1905804</v>
      </c>
      <c r="D1363" s="211"/>
      <c r="E1363" s="211"/>
      <c r="F1363" s="211"/>
      <c r="G1363" s="211"/>
      <c r="H1363" s="211"/>
      <c r="I1363" s="211"/>
      <c r="J1363" s="211"/>
      <c r="K1363" s="211">
        <v>0</v>
      </c>
      <c r="L1363" s="212">
        <v>0</v>
      </c>
      <c r="M1363" s="211">
        <v>0</v>
      </c>
      <c r="N1363" s="211">
        <v>968.7</v>
      </c>
      <c r="O1363" s="211">
        <v>1905804</v>
      </c>
      <c r="P1363" s="213">
        <v>0</v>
      </c>
      <c r="Q1363" s="211">
        <v>0</v>
      </c>
      <c r="R1363" s="213">
        <v>0</v>
      </c>
      <c r="S1363" s="211">
        <v>0</v>
      </c>
      <c r="T1363" s="212">
        <v>0</v>
      </c>
      <c r="U1363" s="290">
        <v>0</v>
      </c>
      <c r="V1363" s="282"/>
      <c r="W1363" s="282"/>
      <c r="X1363" s="282"/>
    </row>
    <row r="1364" spans="1:24" s="18" customFormat="1">
      <c r="A1364" s="198">
        <v>283</v>
      </c>
      <c r="B1364" s="214" t="s">
        <v>410</v>
      </c>
      <c r="C1364" s="211">
        <v>958459</v>
      </c>
      <c r="D1364" s="211"/>
      <c r="E1364" s="211"/>
      <c r="F1364" s="211"/>
      <c r="G1364" s="211"/>
      <c r="H1364" s="211"/>
      <c r="I1364" s="211"/>
      <c r="J1364" s="211"/>
      <c r="K1364" s="211">
        <v>0</v>
      </c>
      <c r="L1364" s="212">
        <v>0</v>
      </c>
      <c r="M1364" s="211">
        <v>0</v>
      </c>
      <c r="N1364" s="211">
        <v>487.2</v>
      </c>
      <c r="O1364" s="211">
        <v>958459</v>
      </c>
      <c r="P1364" s="213">
        <v>0</v>
      </c>
      <c r="Q1364" s="211">
        <v>0</v>
      </c>
      <c r="R1364" s="213">
        <v>0</v>
      </c>
      <c r="S1364" s="211">
        <v>0</v>
      </c>
      <c r="T1364" s="212">
        <v>0</v>
      </c>
      <c r="U1364" s="290">
        <v>0</v>
      </c>
      <c r="V1364" s="282"/>
      <c r="W1364" s="282"/>
      <c r="X1364" s="282"/>
    </row>
    <row r="1365" spans="1:24" s="18" customFormat="1">
      <c r="A1365" s="198">
        <v>284</v>
      </c>
      <c r="B1365" s="214" t="s">
        <v>411</v>
      </c>
      <c r="C1365" s="211">
        <v>947345</v>
      </c>
      <c r="D1365" s="211"/>
      <c r="E1365" s="211"/>
      <c r="F1365" s="211"/>
      <c r="G1365" s="211"/>
      <c r="H1365" s="211"/>
      <c r="I1365" s="211"/>
      <c r="J1365" s="211"/>
      <c r="K1365" s="211">
        <v>0</v>
      </c>
      <c r="L1365" s="212">
        <v>0</v>
      </c>
      <c r="M1365" s="211">
        <v>0</v>
      </c>
      <c r="N1365" s="211">
        <v>481.5</v>
      </c>
      <c r="O1365" s="211">
        <v>947345</v>
      </c>
      <c r="P1365" s="213">
        <v>0</v>
      </c>
      <c r="Q1365" s="211">
        <v>0</v>
      </c>
      <c r="R1365" s="213">
        <v>0</v>
      </c>
      <c r="S1365" s="211">
        <v>0</v>
      </c>
      <c r="T1365" s="212">
        <v>0</v>
      </c>
      <c r="U1365" s="290">
        <v>0</v>
      </c>
      <c r="V1365" s="282"/>
      <c r="W1365" s="282"/>
      <c r="X1365" s="282"/>
    </row>
    <row r="1366" spans="1:24" s="18" customFormat="1" ht="30">
      <c r="A1366" s="198"/>
      <c r="B1366" s="214" t="s">
        <v>189</v>
      </c>
      <c r="C1366" s="211">
        <v>820660</v>
      </c>
      <c r="D1366" s="211"/>
      <c r="E1366" s="211"/>
      <c r="F1366" s="211"/>
      <c r="G1366" s="211"/>
      <c r="H1366" s="211"/>
      <c r="I1366" s="211"/>
      <c r="J1366" s="211"/>
      <c r="K1366" s="211">
        <v>0</v>
      </c>
      <c r="L1366" s="212">
        <v>0</v>
      </c>
      <c r="M1366" s="211">
        <v>0</v>
      </c>
      <c r="N1366" s="211">
        <v>406.8</v>
      </c>
      <c r="O1366" s="211">
        <v>820660</v>
      </c>
      <c r="P1366" s="213">
        <v>0</v>
      </c>
      <c r="Q1366" s="211">
        <v>0</v>
      </c>
      <c r="R1366" s="213">
        <v>0</v>
      </c>
      <c r="S1366" s="211">
        <v>0</v>
      </c>
      <c r="T1366" s="212">
        <v>0</v>
      </c>
      <c r="U1366" s="290">
        <v>0</v>
      </c>
      <c r="V1366" s="282"/>
      <c r="W1366" s="282"/>
      <c r="X1366" s="282"/>
    </row>
    <row r="1367" spans="1:24" s="18" customFormat="1">
      <c r="A1367" s="198">
        <v>285</v>
      </c>
      <c r="B1367" s="214" t="s">
        <v>412</v>
      </c>
      <c r="C1367" s="211">
        <v>820660</v>
      </c>
      <c r="D1367" s="211"/>
      <c r="E1367" s="211"/>
      <c r="F1367" s="211"/>
      <c r="G1367" s="211"/>
      <c r="H1367" s="211"/>
      <c r="I1367" s="211"/>
      <c r="J1367" s="211"/>
      <c r="K1367" s="211">
        <v>0</v>
      </c>
      <c r="L1367" s="212">
        <v>0</v>
      </c>
      <c r="M1367" s="211">
        <v>0</v>
      </c>
      <c r="N1367" s="211">
        <v>406.8</v>
      </c>
      <c r="O1367" s="211">
        <v>820660</v>
      </c>
      <c r="P1367" s="213">
        <v>0</v>
      </c>
      <c r="Q1367" s="211">
        <v>0</v>
      </c>
      <c r="R1367" s="213">
        <v>0</v>
      </c>
      <c r="S1367" s="211">
        <v>0</v>
      </c>
      <c r="T1367" s="212">
        <v>0</v>
      </c>
      <c r="U1367" s="290">
        <v>0</v>
      </c>
      <c r="V1367" s="282"/>
      <c r="W1367" s="282"/>
      <c r="X1367" s="282"/>
    </row>
    <row r="1368" spans="1:24" s="18" customFormat="1" ht="30">
      <c r="A1368" s="198"/>
      <c r="B1368" s="214" t="s">
        <v>131</v>
      </c>
      <c r="C1368" s="211">
        <f>C1369</f>
        <v>2802982.3</v>
      </c>
      <c r="D1368" s="211">
        <f t="shared" ref="D1368:V1368" si="234">D1369</f>
        <v>0</v>
      </c>
      <c r="E1368" s="211">
        <f t="shared" si="234"/>
        <v>0</v>
      </c>
      <c r="F1368" s="211">
        <f t="shared" si="234"/>
        <v>0</v>
      </c>
      <c r="G1368" s="211">
        <f t="shared" si="234"/>
        <v>0</v>
      </c>
      <c r="H1368" s="211">
        <f t="shared" si="234"/>
        <v>0</v>
      </c>
      <c r="I1368" s="211">
        <f t="shared" si="234"/>
        <v>0</v>
      </c>
      <c r="J1368" s="211">
        <f t="shared" si="234"/>
        <v>0</v>
      </c>
      <c r="K1368" s="211">
        <f t="shared" si="234"/>
        <v>0</v>
      </c>
      <c r="L1368" s="211">
        <f t="shared" si="234"/>
        <v>0</v>
      </c>
      <c r="M1368" s="211">
        <f t="shared" si="234"/>
        <v>0</v>
      </c>
      <c r="N1368" s="211">
        <f t="shared" si="234"/>
        <v>1929.1</v>
      </c>
      <c r="O1368" s="211">
        <f t="shared" si="234"/>
        <v>2802982.3</v>
      </c>
      <c r="P1368" s="211">
        <f t="shared" si="234"/>
        <v>0</v>
      </c>
      <c r="Q1368" s="211">
        <f t="shared" si="234"/>
        <v>0</v>
      </c>
      <c r="R1368" s="211">
        <f t="shared" si="234"/>
        <v>0</v>
      </c>
      <c r="S1368" s="211">
        <f t="shared" si="234"/>
        <v>0</v>
      </c>
      <c r="T1368" s="211">
        <f t="shared" si="234"/>
        <v>0</v>
      </c>
      <c r="U1368" s="211">
        <f t="shared" si="234"/>
        <v>0</v>
      </c>
      <c r="V1368" s="211">
        <f t="shared" si="234"/>
        <v>0</v>
      </c>
      <c r="W1368" s="282"/>
      <c r="X1368" s="282"/>
    </row>
    <row r="1369" spans="1:24" s="18" customFormat="1" ht="19.899999999999999" customHeight="1">
      <c r="A1369" s="198">
        <v>286</v>
      </c>
      <c r="B1369" s="214" t="s">
        <v>662</v>
      </c>
      <c r="C1369" s="211">
        <v>2802982.3</v>
      </c>
      <c r="D1369" s="211">
        <v>0</v>
      </c>
      <c r="E1369" s="211">
        <v>0</v>
      </c>
      <c r="F1369" s="211">
        <v>0</v>
      </c>
      <c r="G1369" s="211">
        <v>0</v>
      </c>
      <c r="H1369" s="211">
        <v>0</v>
      </c>
      <c r="I1369" s="211">
        <v>0</v>
      </c>
      <c r="J1369" s="211">
        <v>0</v>
      </c>
      <c r="K1369" s="211">
        <v>0</v>
      </c>
      <c r="L1369" s="212">
        <v>0</v>
      </c>
      <c r="M1369" s="211">
        <v>0</v>
      </c>
      <c r="N1369" s="233">
        <v>1929.1</v>
      </c>
      <c r="O1369" s="211">
        <v>2802982.3</v>
      </c>
      <c r="P1369" s="213">
        <v>0</v>
      </c>
      <c r="Q1369" s="211">
        <v>0</v>
      </c>
      <c r="R1369" s="213">
        <v>0</v>
      </c>
      <c r="S1369" s="211">
        <v>0</v>
      </c>
      <c r="T1369" s="212">
        <v>0</v>
      </c>
      <c r="U1369" s="290">
        <v>0</v>
      </c>
      <c r="V1369" s="282"/>
      <c r="W1369" s="282">
        <f>O1369/N1369</f>
        <v>1453</v>
      </c>
      <c r="X1369" s="282"/>
    </row>
    <row r="1370" spans="1:24" s="18" customFormat="1">
      <c r="A1370" s="198"/>
      <c r="B1370" s="214"/>
      <c r="C1370" s="211"/>
      <c r="D1370" s="211"/>
      <c r="E1370" s="211"/>
      <c r="F1370" s="211"/>
      <c r="G1370" s="211"/>
      <c r="H1370" s="211"/>
      <c r="I1370" s="211"/>
      <c r="J1370" s="211"/>
      <c r="K1370" s="211"/>
      <c r="L1370" s="212"/>
      <c r="M1370" s="211"/>
      <c r="N1370" s="211"/>
      <c r="O1370" s="211"/>
      <c r="P1370" s="213"/>
      <c r="Q1370" s="211"/>
      <c r="R1370" s="215"/>
      <c r="S1370" s="211"/>
      <c r="T1370" s="212"/>
      <c r="U1370" s="290"/>
      <c r="V1370" s="282"/>
      <c r="W1370" s="282"/>
      <c r="X1370" s="282"/>
    </row>
    <row r="1371" spans="1:24" s="17" customFormat="1" ht="21.6" customHeight="1">
      <c r="A1371" s="198"/>
      <c r="B1371" s="216" t="s">
        <v>50</v>
      </c>
      <c r="C1371" s="211">
        <f>C1372</f>
        <v>13218958</v>
      </c>
      <c r="D1371" s="211">
        <f t="shared" ref="D1371:V1371" si="235">D1372</f>
        <v>0</v>
      </c>
      <c r="E1371" s="211">
        <f t="shared" si="235"/>
        <v>0</v>
      </c>
      <c r="F1371" s="211">
        <f t="shared" si="235"/>
        <v>0</v>
      </c>
      <c r="G1371" s="211">
        <f t="shared" si="235"/>
        <v>0</v>
      </c>
      <c r="H1371" s="211">
        <f t="shared" si="235"/>
        <v>0</v>
      </c>
      <c r="I1371" s="211">
        <f t="shared" si="235"/>
        <v>0</v>
      </c>
      <c r="J1371" s="211">
        <f t="shared" si="235"/>
        <v>0</v>
      </c>
      <c r="K1371" s="211">
        <f t="shared" si="235"/>
        <v>0</v>
      </c>
      <c r="L1371" s="211">
        <f t="shared" si="235"/>
        <v>0</v>
      </c>
      <c r="M1371" s="211">
        <f t="shared" si="235"/>
        <v>0</v>
      </c>
      <c r="N1371" s="211">
        <f t="shared" si="235"/>
        <v>4654.3</v>
      </c>
      <c r="O1371" s="211">
        <f t="shared" si="235"/>
        <v>13218958</v>
      </c>
      <c r="P1371" s="211">
        <f t="shared" si="235"/>
        <v>0</v>
      </c>
      <c r="Q1371" s="211">
        <f t="shared" si="235"/>
        <v>0</v>
      </c>
      <c r="R1371" s="211">
        <f t="shared" si="235"/>
        <v>0</v>
      </c>
      <c r="S1371" s="211">
        <f t="shared" si="235"/>
        <v>0</v>
      </c>
      <c r="T1371" s="211">
        <f t="shared" si="235"/>
        <v>0</v>
      </c>
      <c r="U1371" s="211">
        <f t="shared" si="235"/>
        <v>0</v>
      </c>
      <c r="V1371" s="211">
        <f t="shared" si="235"/>
        <v>0</v>
      </c>
      <c r="W1371" s="282"/>
      <c r="X1371" s="282"/>
    </row>
    <row r="1372" spans="1:24" ht="30">
      <c r="A1372" s="198"/>
      <c r="B1372" s="214" t="s">
        <v>106</v>
      </c>
      <c r="C1372" s="211">
        <f>C1373+C1374+C1375+C1376+C1377+C1378+C1379+C1380+C1381</f>
        <v>13218958</v>
      </c>
      <c r="D1372" s="211">
        <f t="shared" ref="D1372:U1372" si="236">D1373+D1374+D1375+D1376+D1377+D1378+D1379+D1380+D1381</f>
        <v>0</v>
      </c>
      <c r="E1372" s="211">
        <f t="shared" si="236"/>
        <v>0</v>
      </c>
      <c r="F1372" s="211">
        <f t="shared" si="236"/>
        <v>0</v>
      </c>
      <c r="G1372" s="211">
        <f t="shared" si="236"/>
        <v>0</v>
      </c>
      <c r="H1372" s="211">
        <f t="shared" si="236"/>
        <v>0</v>
      </c>
      <c r="I1372" s="211">
        <f t="shared" si="236"/>
        <v>0</v>
      </c>
      <c r="J1372" s="211">
        <f t="shared" si="236"/>
        <v>0</v>
      </c>
      <c r="K1372" s="211">
        <f t="shared" si="236"/>
        <v>0</v>
      </c>
      <c r="L1372" s="211">
        <f t="shared" si="236"/>
        <v>0</v>
      </c>
      <c r="M1372" s="211">
        <f t="shared" si="236"/>
        <v>0</v>
      </c>
      <c r="N1372" s="211">
        <f t="shared" si="236"/>
        <v>4654.3</v>
      </c>
      <c r="O1372" s="211">
        <f t="shared" si="236"/>
        <v>13218958</v>
      </c>
      <c r="P1372" s="211">
        <f t="shared" si="236"/>
        <v>0</v>
      </c>
      <c r="Q1372" s="211">
        <f t="shared" si="236"/>
        <v>0</v>
      </c>
      <c r="R1372" s="211">
        <f t="shared" si="236"/>
        <v>0</v>
      </c>
      <c r="S1372" s="211">
        <f t="shared" si="236"/>
        <v>0</v>
      </c>
      <c r="T1372" s="211">
        <f t="shared" si="236"/>
        <v>0</v>
      </c>
      <c r="U1372" s="211">
        <f t="shared" si="236"/>
        <v>0</v>
      </c>
      <c r="V1372" s="282"/>
      <c r="W1372" s="282"/>
      <c r="X1372" s="282"/>
    </row>
    <row r="1373" spans="1:24" ht="15.75">
      <c r="A1373" s="198">
        <v>288</v>
      </c>
      <c r="B1373" s="165" t="s">
        <v>852</v>
      </c>
      <c r="C1373" s="211">
        <f>'часть 1'!L1405</f>
        <v>1024592</v>
      </c>
      <c r="D1373" s="211">
        <v>0</v>
      </c>
      <c r="E1373" s="211">
        <v>0</v>
      </c>
      <c r="F1373" s="211">
        <v>0</v>
      </c>
      <c r="G1373" s="211">
        <v>0</v>
      </c>
      <c r="H1373" s="211">
        <v>0</v>
      </c>
      <c r="I1373" s="211">
        <v>0</v>
      </c>
      <c r="J1373" s="211">
        <v>0</v>
      </c>
      <c r="K1373" s="211">
        <v>0</v>
      </c>
      <c r="L1373" s="212">
        <v>0</v>
      </c>
      <c r="M1373" s="211">
        <v>0</v>
      </c>
      <c r="N1373" s="234">
        <v>410</v>
      </c>
      <c r="O1373" s="211">
        <v>1024592</v>
      </c>
      <c r="P1373" s="213">
        <v>0</v>
      </c>
      <c r="Q1373" s="211">
        <v>0</v>
      </c>
      <c r="R1373" s="213">
        <v>0</v>
      </c>
      <c r="S1373" s="211">
        <v>0</v>
      </c>
      <c r="T1373" s="212">
        <v>0</v>
      </c>
      <c r="U1373" s="290">
        <v>0</v>
      </c>
      <c r="V1373" s="282"/>
      <c r="W1373" s="282">
        <f>O1373/N1373</f>
        <v>2499.0048780487805</v>
      </c>
      <c r="X1373" s="282"/>
    </row>
    <row r="1374" spans="1:24" ht="15.75">
      <c r="A1374" s="198">
        <v>289</v>
      </c>
      <c r="B1374" s="165" t="s">
        <v>853</v>
      </c>
      <c r="C1374" s="211">
        <f>'часть 1'!L1406</f>
        <v>1366296</v>
      </c>
      <c r="D1374" s="211">
        <v>0</v>
      </c>
      <c r="E1374" s="211">
        <v>0</v>
      </c>
      <c r="F1374" s="211">
        <v>0</v>
      </c>
      <c r="G1374" s="211">
        <v>0</v>
      </c>
      <c r="H1374" s="211">
        <v>0</v>
      </c>
      <c r="I1374" s="211">
        <v>0</v>
      </c>
      <c r="J1374" s="211">
        <v>0</v>
      </c>
      <c r="K1374" s="211">
        <v>0</v>
      </c>
      <c r="L1374" s="212">
        <v>0</v>
      </c>
      <c r="M1374" s="211">
        <v>0</v>
      </c>
      <c r="N1374" s="234">
        <v>546</v>
      </c>
      <c r="O1374" s="211">
        <v>1366296</v>
      </c>
      <c r="P1374" s="213">
        <v>0</v>
      </c>
      <c r="Q1374" s="211">
        <v>0</v>
      </c>
      <c r="R1374" s="213">
        <v>0</v>
      </c>
      <c r="S1374" s="211">
        <v>0</v>
      </c>
      <c r="T1374" s="212">
        <v>0</v>
      </c>
      <c r="U1374" s="290">
        <v>0</v>
      </c>
      <c r="V1374" s="282"/>
      <c r="W1374" s="282">
        <f t="shared" ref="W1374:W1381" si="237">O1374/N1374</f>
        <v>2502.3736263736264</v>
      </c>
      <c r="X1374" s="282"/>
    </row>
    <row r="1375" spans="1:24" ht="15.75">
      <c r="A1375" s="198">
        <v>290</v>
      </c>
      <c r="B1375" s="165" t="s">
        <v>854</v>
      </c>
      <c r="C1375" s="211">
        <f>'часть 1'!L1407</f>
        <v>1544253</v>
      </c>
      <c r="D1375" s="211">
        <v>0</v>
      </c>
      <c r="E1375" s="211">
        <v>0</v>
      </c>
      <c r="F1375" s="211">
        <v>0</v>
      </c>
      <c r="G1375" s="211">
        <v>0</v>
      </c>
      <c r="H1375" s="211">
        <v>0</v>
      </c>
      <c r="I1375" s="211">
        <v>0</v>
      </c>
      <c r="J1375" s="211">
        <v>0</v>
      </c>
      <c r="K1375" s="211">
        <v>0</v>
      </c>
      <c r="L1375" s="212">
        <v>0</v>
      </c>
      <c r="M1375" s="211">
        <v>0</v>
      </c>
      <c r="N1375" s="234">
        <v>483</v>
      </c>
      <c r="O1375" s="211">
        <v>1544253</v>
      </c>
      <c r="P1375" s="213">
        <v>0</v>
      </c>
      <c r="Q1375" s="211">
        <v>0</v>
      </c>
      <c r="R1375" s="213">
        <v>0</v>
      </c>
      <c r="S1375" s="211">
        <v>0</v>
      </c>
      <c r="T1375" s="212">
        <v>0</v>
      </c>
      <c r="U1375" s="290">
        <v>0</v>
      </c>
      <c r="V1375" s="282"/>
      <c r="W1375" s="282">
        <f t="shared" si="237"/>
        <v>3197.2111801242236</v>
      </c>
      <c r="X1375" s="282"/>
    </row>
    <row r="1376" spans="1:24" ht="15.75">
      <c r="A1376" s="198">
        <v>291</v>
      </c>
      <c r="B1376" s="165" t="s">
        <v>855</v>
      </c>
      <c r="C1376" s="211">
        <f>'часть 1'!L1408</f>
        <v>1119066</v>
      </c>
      <c r="D1376" s="211">
        <v>0</v>
      </c>
      <c r="E1376" s="211">
        <v>0</v>
      </c>
      <c r="F1376" s="211">
        <v>0</v>
      </c>
      <c r="G1376" s="211">
        <v>0</v>
      </c>
      <c r="H1376" s="211">
        <v>0</v>
      </c>
      <c r="I1376" s="211">
        <v>0</v>
      </c>
      <c r="J1376" s="211">
        <v>0</v>
      </c>
      <c r="K1376" s="211">
        <v>0</v>
      </c>
      <c r="L1376" s="212">
        <v>0</v>
      </c>
      <c r="M1376" s="211">
        <v>0</v>
      </c>
      <c r="N1376" s="234">
        <v>348</v>
      </c>
      <c r="O1376" s="211">
        <v>1119066</v>
      </c>
      <c r="P1376" s="213">
        <v>0</v>
      </c>
      <c r="Q1376" s="211">
        <v>0</v>
      </c>
      <c r="R1376" s="213">
        <v>0</v>
      </c>
      <c r="S1376" s="211">
        <v>0</v>
      </c>
      <c r="T1376" s="212">
        <v>0</v>
      </c>
      <c r="U1376" s="290">
        <v>0</v>
      </c>
      <c r="V1376" s="282"/>
      <c r="W1376" s="282">
        <f t="shared" si="237"/>
        <v>3215.7068965517242</v>
      </c>
      <c r="X1376" s="282"/>
    </row>
    <row r="1377" spans="1:24" ht="15.75">
      <c r="A1377" s="198">
        <v>292</v>
      </c>
      <c r="B1377" s="165" t="s">
        <v>856</v>
      </c>
      <c r="C1377" s="211">
        <f>'часть 1'!L1409</f>
        <v>2060671</v>
      </c>
      <c r="D1377" s="211">
        <v>0</v>
      </c>
      <c r="E1377" s="211">
        <v>0</v>
      </c>
      <c r="F1377" s="211">
        <v>0</v>
      </c>
      <c r="G1377" s="211">
        <v>0</v>
      </c>
      <c r="H1377" s="211">
        <v>0</v>
      </c>
      <c r="I1377" s="211">
        <v>0</v>
      </c>
      <c r="J1377" s="211">
        <v>0</v>
      </c>
      <c r="K1377" s="211">
        <v>0</v>
      </c>
      <c r="L1377" s="212">
        <v>0</v>
      </c>
      <c r="M1377" s="211">
        <v>0</v>
      </c>
      <c r="N1377" s="234">
        <v>647</v>
      </c>
      <c r="O1377" s="211">
        <v>2060671</v>
      </c>
      <c r="P1377" s="213">
        <v>0</v>
      </c>
      <c r="Q1377" s="211">
        <v>0</v>
      </c>
      <c r="R1377" s="213">
        <v>0</v>
      </c>
      <c r="S1377" s="211">
        <v>0</v>
      </c>
      <c r="T1377" s="212">
        <v>0</v>
      </c>
      <c r="U1377" s="290">
        <v>0</v>
      </c>
      <c r="V1377" s="282"/>
      <c r="W1377" s="282">
        <f t="shared" si="237"/>
        <v>3184.9629057187017</v>
      </c>
      <c r="X1377" s="282"/>
    </row>
    <row r="1378" spans="1:24" ht="15.75">
      <c r="A1378" s="198">
        <v>293</v>
      </c>
      <c r="B1378" s="165" t="s">
        <v>850</v>
      </c>
      <c r="C1378" s="211">
        <f>'часть 1'!L1410</f>
        <v>1226134</v>
      </c>
      <c r="D1378" s="211">
        <v>0</v>
      </c>
      <c r="E1378" s="211">
        <v>0</v>
      </c>
      <c r="F1378" s="211">
        <v>0</v>
      </c>
      <c r="G1378" s="211">
        <v>0</v>
      </c>
      <c r="H1378" s="211">
        <v>0</v>
      </c>
      <c r="I1378" s="211">
        <v>0</v>
      </c>
      <c r="J1378" s="211">
        <v>0</v>
      </c>
      <c r="K1378" s="211">
        <v>0</v>
      </c>
      <c r="L1378" s="212">
        <v>0</v>
      </c>
      <c r="M1378" s="211">
        <v>0</v>
      </c>
      <c r="N1378" s="234">
        <v>382</v>
      </c>
      <c r="O1378" s="211">
        <v>1226134</v>
      </c>
      <c r="P1378" s="213">
        <v>0</v>
      </c>
      <c r="Q1378" s="211">
        <v>0</v>
      </c>
      <c r="R1378" s="213">
        <v>0</v>
      </c>
      <c r="S1378" s="211">
        <v>0</v>
      </c>
      <c r="T1378" s="212">
        <v>0</v>
      </c>
      <c r="U1378" s="290">
        <v>0</v>
      </c>
      <c r="V1378" s="282"/>
      <c r="W1378" s="282">
        <f t="shared" si="237"/>
        <v>3209.7748691099478</v>
      </c>
      <c r="X1378" s="282"/>
    </row>
    <row r="1379" spans="1:24" ht="15.75">
      <c r="A1379" s="198">
        <v>294</v>
      </c>
      <c r="B1379" s="165" t="s">
        <v>978</v>
      </c>
      <c r="C1379" s="211">
        <f>'часть 1'!L1411</f>
        <v>1002285</v>
      </c>
      <c r="D1379" s="211">
        <v>0</v>
      </c>
      <c r="E1379" s="211">
        <v>0</v>
      </c>
      <c r="F1379" s="211">
        <v>0</v>
      </c>
      <c r="G1379" s="211">
        <v>0</v>
      </c>
      <c r="H1379" s="211">
        <v>0</v>
      </c>
      <c r="I1379" s="211">
        <v>0</v>
      </c>
      <c r="J1379" s="211">
        <v>0</v>
      </c>
      <c r="K1379" s="211">
        <v>0</v>
      </c>
      <c r="L1379" s="212">
        <v>0</v>
      </c>
      <c r="M1379" s="211">
        <v>0</v>
      </c>
      <c r="N1379" s="234">
        <v>401</v>
      </c>
      <c r="O1379" s="211">
        <v>1002285</v>
      </c>
      <c r="P1379" s="213">
        <v>0</v>
      </c>
      <c r="Q1379" s="211">
        <v>0</v>
      </c>
      <c r="R1379" s="213">
        <v>0</v>
      </c>
      <c r="S1379" s="211">
        <v>0</v>
      </c>
      <c r="T1379" s="212">
        <v>0</v>
      </c>
      <c r="U1379" s="290">
        <v>0</v>
      </c>
      <c r="V1379" s="282"/>
      <c r="W1379" s="282">
        <f t="shared" si="237"/>
        <v>2499.4638403990025</v>
      </c>
      <c r="X1379" s="282"/>
    </row>
    <row r="1380" spans="1:24" ht="15.75">
      <c r="A1380" s="198">
        <v>295</v>
      </c>
      <c r="B1380" s="165" t="s">
        <v>979</v>
      </c>
      <c r="C1380" s="211">
        <f>'часть 1'!L1412</f>
        <v>1296378</v>
      </c>
      <c r="D1380" s="211">
        <v>0</v>
      </c>
      <c r="E1380" s="211">
        <v>0</v>
      </c>
      <c r="F1380" s="211">
        <v>0</v>
      </c>
      <c r="G1380" s="211">
        <v>0</v>
      </c>
      <c r="H1380" s="211">
        <v>0</v>
      </c>
      <c r="I1380" s="211">
        <v>0</v>
      </c>
      <c r="J1380" s="211">
        <v>0</v>
      </c>
      <c r="K1380" s="211">
        <v>0</v>
      </c>
      <c r="L1380" s="212">
        <v>0</v>
      </c>
      <c r="M1380" s="211">
        <v>0</v>
      </c>
      <c r="N1380" s="234">
        <v>407.3</v>
      </c>
      <c r="O1380" s="211">
        <v>1296378</v>
      </c>
      <c r="P1380" s="213">
        <v>0</v>
      </c>
      <c r="Q1380" s="211">
        <v>0</v>
      </c>
      <c r="R1380" s="213">
        <v>0</v>
      </c>
      <c r="S1380" s="211">
        <v>0</v>
      </c>
      <c r="T1380" s="212">
        <v>0</v>
      </c>
      <c r="U1380" s="290">
        <v>0</v>
      </c>
      <c r="V1380" s="282"/>
      <c r="W1380" s="282">
        <f t="shared" si="237"/>
        <v>3182.8578443407805</v>
      </c>
      <c r="X1380" s="282"/>
    </row>
    <row r="1381" spans="1:24" ht="15.75">
      <c r="A1381" s="198">
        <v>296</v>
      </c>
      <c r="B1381" s="165" t="s">
        <v>857</v>
      </c>
      <c r="C1381" s="211">
        <f>'часть 1'!L1413</f>
        <v>2579283</v>
      </c>
      <c r="D1381" s="211">
        <v>0</v>
      </c>
      <c r="E1381" s="211">
        <v>0</v>
      </c>
      <c r="F1381" s="211">
        <v>0</v>
      </c>
      <c r="G1381" s="211">
        <v>0</v>
      </c>
      <c r="H1381" s="211">
        <v>0</v>
      </c>
      <c r="I1381" s="211">
        <v>0</v>
      </c>
      <c r="J1381" s="211">
        <v>0</v>
      </c>
      <c r="K1381" s="211">
        <v>0</v>
      </c>
      <c r="L1381" s="212">
        <v>0</v>
      </c>
      <c r="M1381" s="211">
        <v>0</v>
      </c>
      <c r="N1381" s="234">
        <v>1030</v>
      </c>
      <c r="O1381" s="211">
        <v>2579283</v>
      </c>
      <c r="P1381" s="213">
        <v>0</v>
      </c>
      <c r="Q1381" s="211">
        <v>0</v>
      </c>
      <c r="R1381" s="213">
        <v>0</v>
      </c>
      <c r="S1381" s="211">
        <v>0</v>
      </c>
      <c r="T1381" s="212">
        <v>0</v>
      </c>
      <c r="U1381" s="290">
        <v>0</v>
      </c>
      <c r="V1381" s="282"/>
      <c r="W1381" s="282">
        <f t="shared" si="237"/>
        <v>2504.1582524271844</v>
      </c>
      <c r="X1381" s="282"/>
    </row>
    <row r="1382" spans="1:24">
      <c r="A1382" s="198"/>
      <c r="B1382" s="216" t="s">
        <v>51</v>
      </c>
      <c r="C1382" s="211">
        <v>13321832</v>
      </c>
      <c r="D1382" s="211"/>
      <c r="E1382" s="211"/>
      <c r="F1382" s="211"/>
      <c r="G1382" s="211"/>
      <c r="H1382" s="211"/>
      <c r="I1382" s="211"/>
      <c r="J1382" s="211"/>
      <c r="K1382" s="211">
        <v>148073</v>
      </c>
      <c r="L1382" s="212">
        <v>0</v>
      </c>
      <c r="M1382" s="211">
        <v>0</v>
      </c>
      <c r="N1382" s="211">
        <v>6258.7000000000007</v>
      </c>
      <c r="O1382" s="211">
        <v>12532204</v>
      </c>
      <c r="P1382" s="213">
        <v>0</v>
      </c>
      <c r="Q1382" s="211">
        <v>0</v>
      </c>
      <c r="R1382" s="211">
        <v>440.1</v>
      </c>
      <c r="S1382" s="211">
        <v>641555</v>
      </c>
      <c r="T1382" s="212">
        <v>0</v>
      </c>
      <c r="U1382" s="290">
        <v>0</v>
      </c>
      <c r="V1382" s="282"/>
      <c r="W1382" s="282"/>
      <c r="X1382" s="282"/>
    </row>
    <row r="1383" spans="1:24" ht="30">
      <c r="A1383" s="198"/>
      <c r="B1383" s="214" t="s">
        <v>108</v>
      </c>
      <c r="C1383" s="211">
        <f>C1384+C1385+C1386+C1387+C1388+C1389+C1390</f>
        <v>10822736</v>
      </c>
      <c r="D1383" s="211">
        <f t="shared" ref="D1383:U1383" si="238">D1384+D1385+D1386+D1387+D1388+D1389+D1390</f>
        <v>0</v>
      </c>
      <c r="E1383" s="211">
        <f t="shared" si="238"/>
        <v>0</v>
      </c>
      <c r="F1383" s="211">
        <f t="shared" si="238"/>
        <v>0</v>
      </c>
      <c r="G1383" s="211">
        <f t="shared" si="238"/>
        <v>0</v>
      </c>
      <c r="H1383" s="211">
        <f t="shared" si="238"/>
        <v>0</v>
      </c>
      <c r="I1383" s="211">
        <f t="shared" si="238"/>
        <v>0</v>
      </c>
      <c r="J1383" s="211">
        <f t="shared" si="238"/>
        <v>0</v>
      </c>
      <c r="K1383" s="211">
        <f t="shared" si="238"/>
        <v>0</v>
      </c>
      <c r="L1383" s="211">
        <f t="shared" si="238"/>
        <v>0</v>
      </c>
      <c r="M1383" s="211">
        <f t="shared" si="238"/>
        <v>0</v>
      </c>
      <c r="N1383" s="211">
        <f t="shared" si="238"/>
        <v>3794.9</v>
      </c>
      <c r="O1383" s="211">
        <f t="shared" si="238"/>
        <v>10822736</v>
      </c>
      <c r="P1383" s="211">
        <f t="shared" si="238"/>
        <v>0</v>
      </c>
      <c r="Q1383" s="211">
        <f t="shared" si="238"/>
        <v>0</v>
      </c>
      <c r="R1383" s="211">
        <f t="shared" si="238"/>
        <v>0</v>
      </c>
      <c r="S1383" s="211">
        <f t="shared" si="238"/>
        <v>0</v>
      </c>
      <c r="T1383" s="211">
        <f t="shared" si="238"/>
        <v>0</v>
      </c>
      <c r="U1383" s="211">
        <f t="shared" si="238"/>
        <v>0</v>
      </c>
      <c r="V1383" s="282"/>
      <c r="W1383" s="282"/>
      <c r="X1383" s="282"/>
    </row>
    <row r="1384" spans="1:24" ht="15.75">
      <c r="A1384" s="198">
        <v>298</v>
      </c>
      <c r="B1384" s="947" t="s">
        <v>1014</v>
      </c>
      <c r="C1384" s="211">
        <f>'часть 1'!L1416</f>
        <v>1488075</v>
      </c>
      <c r="D1384" s="211">
        <v>0</v>
      </c>
      <c r="E1384" s="211">
        <v>0</v>
      </c>
      <c r="F1384" s="211">
        <v>0</v>
      </c>
      <c r="G1384" s="211">
        <v>0</v>
      </c>
      <c r="H1384" s="211">
        <v>0</v>
      </c>
      <c r="I1384" s="211">
        <v>0</v>
      </c>
      <c r="J1384" s="211">
        <v>0</v>
      </c>
      <c r="K1384" s="211">
        <v>0</v>
      </c>
      <c r="L1384" s="212">
        <v>0</v>
      </c>
      <c r="M1384" s="211">
        <v>0</v>
      </c>
      <c r="N1384" s="211">
        <v>471</v>
      </c>
      <c r="O1384" s="211">
        <f>'часть 1'!L1416</f>
        <v>1488075</v>
      </c>
      <c r="P1384" s="213">
        <v>0</v>
      </c>
      <c r="Q1384" s="211">
        <v>0</v>
      </c>
      <c r="R1384" s="213">
        <v>0</v>
      </c>
      <c r="S1384" s="211">
        <v>0</v>
      </c>
      <c r="T1384" s="212">
        <v>0</v>
      </c>
      <c r="U1384" s="290">
        <v>0</v>
      </c>
      <c r="V1384" s="282"/>
      <c r="W1384" s="282">
        <f>O1384/N1384</f>
        <v>3159.3949044585988</v>
      </c>
      <c r="X1384" s="282"/>
    </row>
    <row r="1385" spans="1:24" ht="15.75">
      <c r="A1385" s="198">
        <v>299</v>
      </c>
      <c r="B1385" s="947" t="s">
        <v>486</v>
      </c>
      <c r="C1385" s="211">
        <f>'часть 1'!L1417</f>
        <v>1488068</v>
      </c>
      <c r="D1385" s="211">
        <v>0</v>
      </c>
      <c r="E1385" s="211">
        <v>0</v>
      </c>
      <c r="F1385" s="211">
        <v>0</v>
      </c>
      <c r="G1385" s="211">
        <v>0</v>
      </c>
      <c r="H1385" s="211">
        <v>0</v>
      </c>
      <c r="I1385" s="211">
        <v>0</v>
      </c>
      <c r="J1385" s="211">
        <v>0</v>
      </c>
      <c r="K1385" s="211">
        <v>0</v>
      </c>
      <c r="L1385" s="212">
        <v>0</v>
      </c>
      <c r="M1385" s="211">
        <v>0</v>
      </c>
      <c r="N1385" s="211">
        <v>471</v>
      </c>
      <c r="O1385" s="211">
        <f>'часть 1'!L1417</f>
        <v>1488068</v>
      </c>
      <c r="P1385" s="213">
        <v>0</v>
      </c>
      <c r="Q1385" s="211">
        <v>0</v>
      </c>
      <c r="R1385" s="213">
        <v>0</v>
      </c>
      <c r="S1385" s="211">
        <v>0</v>
      </c>
      <c r="T1385" s="212">
        <v>0</v>
      </c>
      <c r="U1385" s="290">
        <v>0</v>
      </c>
      <c r="V1385" s="282"/>
      <c r="W1385" s="282">
        <f t="shared" ref="W1385:W1390" si="239">O1385/N1385</f>
        <v>3159.3800424628448</v>
      </c>
      <c r="X1385" s="282"/>
    </row>
    <row r="1386" spans="1:24" ht="15.75">
      <c r="A1386" s="198">
        <v>300</v>
      </c>
      <c r="B1386" s="947" t="s">
        <v>1015</v>
      </c>
      <c r="C1386" s="211">
        <f>'часть 1'!L1418</f>
        <v>931593</v>
      </c>
      <c r="D1386" s="211">
        <v>0</v>
      </c>
      <c r="E1386" s="211">
        <v>0</v>
      </c>
      <c r="F1386" s="211">
        <v>0</v>
      </c>
      <c r="G1386" s="211">
        <v>0</v>
      </c>
      <c r="H1386" s="211">
        <v>0</v>
      </c>
      <c r="I1386" s="211">
        <v>0</v>
      </c>
      <c r="J1386" s="211">
        <v>0</v>
      </c>
      <c r="K1386" s="211">
        <v>0</v>
      </c>
      <c r="L1386" s="212">
        <v>0</v>
      </c>
      <c r="M1386" s="211">
        <v>0</v>
      </c>
      <c r="N1386" s="211">
        <v>292</v>
      </c>
      <c r="O1386" s="211">
        <f>'часть 1'!L1418</f>
        <v>931593</v>
      </c>
      <c r="P1386" s="213">
        <v>0</v>
      </c>
      <c r="Q1386" s="211">
        <v>0</v>
      </c>
      <c r="R1386" s="213">
        <v>0</v>
      </c>
      <c r="S1386" s="211">
        <v>0</v>
      </c>
      <c r="T1386" s="212">
        <v>0</v>
      </c>
      <c r="U1386" s="290">
        <v>0</v>
      </c>
      <c r="V1386" s="282"/>
      <c r="W1386" s="282">
        <f t="shared" si="239"/>
        <v>3190.3869863013697</v>
      </c>
      <c r="X1386" s="282"/>
    </row>
    <row r="1387" spans="1:24" ht="15.75">
      <c r="A1387" s="198">
        <v>301</v>
      </c>
      <c r="B1387" s="171" t="s">
        <v>1016</v>
      </c>
      <c r="C1387" s="211">
        <f>'часть 1'!L1419</f>
        <v>741660</v>
      </c>
      <c r="D1387" s="211">
        <v>0</v>
      </c>
      <c r="E1387" s="211">
        <v>0</v>
      </c>
      <c r="F1387" s="211">
        <v>0</v>
      </c>
      <c r="G1387" s="211">
        <v>0</v>
      </c>
      <c r="H1387" s="211">
        <v>0</v>
      </c>
      <c r="I1387" s="211">
        <v>0</v>
      </c>
      <c r="J1387" s="211">
        <v>0</v>
      </c>
      <c r="K1387" s="211">
        <v>0</v>
      </c>
      <c r="L1387" s="212">
        <v>0</v>
      </c>
      <c r="M1387" s="211">
        <v>0</v>
      </c>
      <c r="N1387" s="211">
        <v>233.8</v>
      </c>
      <c r="O1387" s="211">
        <f>'часть 1'!L1419</f>
        <v>741660</v>
      </c>
      <c r="P1387" s="213">
        <v>0</v>
      </c>
      <c r="Q1387" s="211">
        <v>0</v>
      </c>
      <c r="R1387" s="213">
        <v>0</v>
      </c>
      <c r="S1387" s="211">
        <v>0</v>
      </c>
      <c r="T1387" s="212">
        <v>0</v>
      </c>
      <c r="U1387" s="290">
        <v>0</v>
      </c>
      <c r="V1387" s="282"/>
      <c r="W1387" s="282">
        <f t="shared" si="239"/>
        <v>3172.198460222412</v>
      </c>
      <c r="X1387" s="282"/>
    </row>
    <row r="1388" spans="1:24" ht="15.75">
      <c r="A1388" s="198">
        <v>302</v>
      </c>
      <c r="B1388" s="947" t="s">
        <v>1017</v>
      </c>
      <c r="C1388" s="211">
        <f>'часть 1'!L1420</f>
        <v>1854480</v>
      </c>
      <c r="D1388" s="211">
        <v>0</v>
      </c>
      <c r="E1388" s="211">
        <v>0</v>
      </c>
      <c r="F1388" s="211">
        <v>0</v>
      </c>
      <c r="G1388" s="211">
        <v>0</v>
      </c>
      <c r="H1388" s="211">
        <v>0</v>
      </c>
      <c r="I1388" s="211">
        <v>0</v>
      </c>
      <c r="J1388" s="211">
        <v>0</v>
      </c>
      <c r="K1388" s="211">
        <v>0</v>
      </c>
      <c r="L1388" s="212">
        <v>0</v>
      </c>
      <c r="M1388" s="211">
        <v>0</v>
      </c>
      <c r="N1388" s="211">
        <v>584.1</v>
      </c>
      <c r="O1388" s="211">
        <f>'часть 1'!L1420</f>
        <v>1854480</v>
      </c>
      <c r="P1388" s="213">
        <v>0</v>
      </c>
      <c r="Q1388" s="211">
        <v>0</v>
      </c>
      <c r="R1388" s="213">
        <v>0</v>
      </c>
      <c r="S1388" s="211">
        <v>0</v>
      </c>
      <c r="T1388" s="212">
        <v>0</v>
      </c>
      <c r="U1388" s="290">
        <v>0</v>
      </c>
      <c r="V1388" s="282"/>
      <c r="W1388" s="282">
        <f t="shared" si="239"/>
        <v>3174.9357986646123</v>
      </c>
      <c r="X1388" s="282"/>
    </row>
    <row r="1389" spans="1:24" ht="15.75">
      <c r="A1389" s="198">
        <v>303</v>
      </c>
      <c r="B1389" s="567" t="s">
        <v>1018</v>
      </c>
      <c r="C1389" s="211">
        <f>'часть 1'!L1421</f>
        <v>2161845</v>
      </c>
      <c r="D1389" s="211">
        <v>0</v>
      </c>
      <c r="E1389" s="211">
        <v>0</v>
      </c>
      <c r="F1389" s="211">
        <v>0</v>
      </c>
      <c r="G1389" s="211">
        <v>0</v>
      </c>
      <c r="H1389" s="211">
        <v>0</v>
      </c>
      <c r="I1389" s="211">
        <v>0</v>
      </c>
      <c r="J1389" s="211">
        <v>0</v>
      </c>
      <c r="K1389" s="211">
        <v>0</v>
      </c>
      <c r="L1389" s="212">
        <v>0</v>
      </c>
      <c r="M1389" s="211">
        <v>0</v>
      </c>
      <c r="N1389" s="211">
        <v>872.5</v>
      </c>
      <c r="O1389" s="211">
        <f>'часть 1'!L1421</f>
        <v>2161845</v>
      </c>
      <c r="P1389" s="213">
        <v>0</v>
      </c>
      <c r="Q1389" s="211">
        <v>0</v>
      </c>
      <c r="R1389" s="213">
        <v>0</v>
      </c>
      <c r="S1389" s="211">
        <v>0</v>
      </c>
      <c r="T1389" s="212">
        <v>0</v>
      </c>
      <c r="U1389" s="290">
        <v>0</v>
      </c>
      <c r="V1389" s="282"/>
      <c r="W1389" s="282">
        <f t="shared" si="239"/>
        <v>2477.7593123209167</v>
      </c>
      <c r="X1389" s="282"/>
    </row>
    <row r="1390" spans="1:24" ht="15.75">
      <c r="A1390" s="198">
        <v>304</v>
      </c>
      <c r="B1390" s="947" t="s">
        <v>1019</v>
      </c>
      <c r="C1390" s="211">
        <f>'часть 1'!L1422</f>
        <v>2157015</v>
      </c>
      <c r="D1390" s="211">
        <v>0</v>
      </c>
      <c r="E1390" s="211">
        <v>0</v>
      </c>
      <c r="F1390" s="211">
        <v>0</v>
      </c>
      <c r="G1390" s="211">
        <v>0</v>
      </c>
      <c r="H1390" s="211">
        <v>0</v>
      </c>
      <c r="I1390" s="211">
        <v>0</v>
      </c>
      <c r="J1390" s="211">
        <v>0</v>
      </c>
      <c r="K1390" s="211">
        <v>0</v>
      </c>
      <c r="L1390" s="212">
        <v>0</v>
      </c>
      <c r="M1390" s="211">
        <v>0</v>
      </c>
      <c r="N1390" s="211">
        <v>870.5</v>
      </c>
      <c r="O1390" s="211">
        <f>'часть 1'!L1422</f>
        <v>2157015</v>
      </c>
      <c r="P1390" s="213">
        <v>0</v>
      </c>
      <c r="Q1390" s="211">
        <v>0</v>
      </c>
      <c r="R1390" s="213">
        <v>0</v>
      </c>
      <c r="S1390" s="211">
        <v>0</v>
      </c>
      <c r="T1390" s="212">
        <v>0</v>
      </c>
      <c r="U1390" s="290">
        <v>0</v>
      </c>
      <c r="V1390" s="282"/>
      <c r="W1390" s="282">
        <f t="shared" si="239"/>
        <v>2477.9035037334866</v>
      </c>
      <c r="X1390" s="282"/>
    </row>
    <row r="1391" spans="1:24" ht="30">
      <c r="A1391" s="470"/>
      <c r="B1391" s="480" t="s">
        <v>882</v>
      </c>
      <c r="C1391" s="479">
        <f>C1392+C1393</f>
        <v>1917878</v>
      </c>
      <c r="D1391" s="479">
        <f t="shared" ref="D1391:U1391" si="240">D1392+D1393</f>
        <v>292645</v>
      </c>
      <c r="E1391" s="479">
        <f t="shared" si="240"/>
        <v>292645</v>
      </c>
      <c r="F1391" s="479">
        <f t="shared" si="240"/>
        <v>0</v>
      </c>
      <c r="G1391" s="479">
        <f t="shared" si="240"/>
        <v>0</v>
      </c>
      <c r="H1391" s="479">
        <f t="shared" si="240"/>
        <v>0</v>
      </c>
      <c r="I1391" s="479">
        <f t="shared" si="240"/>
        <v>0</v>
      </c>
      <c r="J1391" s="479">
        <f t="shared" si="240"/>
        <v>0</v>
      </c>
      <c r="K1391" s="479">
        <f t="shared" si="240"/>
        <v>0</v>
      </c>
      <c r="L1391" s="479">
        <f t="shared" si="240"/>
        <v>0</v>
      </c>
      <c r="M1391" s="479">
        <f t="shared" si="240"/>
        <v>0</v>
      </c>
      <c r="N1391" s="479">
        <f t="shared" si="240"/>
        <v>508.8</v>
      </c>
      <c r="O1391" s="479">
        <f t="shared" si="240"/>
        <v>1625233</v>
      </c>
      <c r="P1391" s="479">
        <f t="shared" si="240"/>
        <v>0</v>
      </c>
      <c r="Q1391" s="479">
        <f t="shared" si="240"/>
        <v>0</v>
      </c>
      <c r="R1391" s="479">
        <f t="shared" si="240"/>
        <v>0</v>
      </c>
      <c r="S1391" s="479">
        <f t="shared" si="240"/>
        <v>0</v>
      </c>
      <c r="T1391" s="479">
        <f t="shared" si="240"/>
        <v>0</v>
      </c>
      <c r="U1391" s="479">
        <f t="shared" si="240"/>
        <v>0</v>
      </c>
      <c r="V1391" s="282"/>
      <c r="W1391" s="282"/>
      <c r="X1391" s="282"/>
    </row>
    <row r="1392" spans="1:24" ht="30">
      <c r="A1392" s="470"/>
      <c r="B1392" s="480" t="s">
        <v>886</v>
      </c>
      <c r="C1392" s="479">
        <f>'часть 1'!L1424</f>
        <v>1625233</v>
      </c>
      <c r="D1392" s="479">
        <f>E1392+F1392+G1392+H1392+I1392+J1392+K1392</f>
        <v>0</v>
      </c>
      <c r="E1392" s="479">
        <v>0</v>
      </c>
      <c r="F1392" s="479">
        <v>0</v>
      </c>
      <c r="G1392" s="479">
        <v>0</v>
      </c>
      <c r="H1392" s="479">
        <v>0</v>
      </c>
      <c r="I1392" s="479">
        <v>0</v>
      </c>
      <c r="J1392" s="479">
        <v>0</v>
      </c>
      <c r="K1392" s="479">
        <v>0</v>
      </c>
      <c r="L1392" s="515">
        <v>0</v>
      </c>
      <c r="M1392" s="479">
        <v>0</v>
      </c>
      <c r="N1392" s="479">
        <v>508.8</v>
      </c>
      <c r="O1392" s="479">
        <v>1625233</v>
      </c>
      <c r="P1392" s="516">
        <v>0</v>
      </c>
      <c r="Q1392" s="479">
        <v>0</v>
      </c>
      <c r="R1392" s="479">
        <v>0</v>
      </c>
      <c r="S1392" s="479">
        <v>0</v>
      </c>
      <c r="T1392" s="515">
        <v>0</v>
      </c>
      <c r="U1392" s="517">
        <v>0</v>
      </c>
      <c r="V1392" s="282"/>
      <c r="W1392" s="282">
        <f>O1392/N1392</f>
        <v>3194.2472484276727</v>
      </c>
      <c r="X1392" s="282"/>
    </row>
    <row r="1393" spans="1:28" ht="22.9" customHeight="1">
      <c r="A1393" s="470"/>
      <c r="B1393" s="480" t="s">
        <v>884</v>
      </c>
      <c r="C1393" s="479">
        <f>'часть 1'!L1425</f>
        <v>292645</v>
      </c>
      <c r="D1393" s="479">
        <f>E1393+F1393+G1393+H1393+I1393+J1393+K1393</f>
        <v>292645</v>
      </c>
      <c r="E1393" s="479">
        <v>292645</v>
      </c>
      <c r="F1393" s="479">
        <v>0</v>
      </c>
      <c r="G1393" s="479">
        <v>0</v>
      </c>
      <c r="H1393" s="479">
        <v>0</v>
      </c>
      <c r="I1393" s="479">
        <v>0</v>
      </c>
      <c r="J1393" s="479">
        <v>0</v>
      </c>
      <c r="K1393" s="479">
        <v>0</v>
      </c>
      <c r="L1393" s="515">
        <v>0</v>
      </c>
      <c r="M1393" s="479">
        <v>0</v>
      </c>
      <c r="N1393" s="479">
        <v>0</v>
      </c>
      <c r="O1393" s="479">
        <v>0</v>
      </c>
      <c r="P1393" s="516">
        <v>0</v>
      </c>
      <c r="Q1393" s="479">
        <v>0</v>
      </c>
      <c r="R1393" s="479">
        <v>0</v>
      </c>
      <c r="S1393" s="479">
        <v>0</v>
      </c>
      <c r="T1393" s="515">
        <v>0</v>
      </c>
      <c r="U1393" s="517">
        <v>0</v>
      </c>
      <c r="V1393" s="282"/>
      <c r="W1393" s="282"/>
      <c r="X1393" s="282"/>
      <c r="Y1393" s="1">
        <f>E1393/'часть 1'!I1425</f>
        <v>566.59244917715387</v>
      </c>
    </row>
    <row r="1394" spans="1:28" s="17" customFormat="1">
      <c r="A1394" s="198"/>
      <c r="B1394" s="216" t="s">
        <v>52</v>
      </c>
      <c r="C1394" s="211">
        <v>3908951</v>
      </c>
      <c r="D1394" s="211"/>
      <c r="E1394" s="211"/>
      <c r="F1394" s="211"/>
      <c r="G1394" s="211"/>
      <c r="H1394" s="211"/>
      <c r="I1394" s="211"/>
      <c r="J1394" s="211"/>
      <c r="K1394" s="211">
        <v>201010</v>
      </c>
      <c r="L1394" s="212">
        <v>0</v>
      </c>
      <c r="M1394" s="211">
        <v>0</v>
      </c>
      <c r="N1394" s="211">
        <v>1869.42</v>
      </c>
      <c r="O1394" s="211">
        <v>3707941</v>
      </c>
      <c r="P1394" s="213">
        <v>0</v>
      </c>
      <c r="Q1394" s="211">
        <v>0</v>
      </c>
      <c r="R1394" s="213">
        <v>0</v>
      </c>
      <c r="S1394" s="211">
        <v>0</v>
      </c>
      <c r="T1394" s="212">
        <v>0</v>
      </c>
      <c r="U1394" s="290">
        <v>0</v>
      </c>
      <c r="V1394" s="282"/>
      <c r="W1394" s="282"/>
      <c r="X1394" s="282"/>
    </row>
    <row r="1395" spans="1:28" s="18" customFormat="1" ht="30">
      <c r="A1395" s="470"/>
      <c r="B1395" s="480" t="s">
        <v>130</v>
      </c>
      <c r="C1395" s="479">
        <f>C1396</f>
        <v>2385226</v>
      </c>
      <c r="D1395" s="479">
        <f t="shared" ref="D1395:V1395" si="241">D1396</f>
        <v>0</v>
      </c>
      <c r="E1395" s="479">
        <f t="shared" si="241"/>
        <v>0</v>
      </c>
      <c r="F1395" s="479">
        <f t="shared" si="241"/>
        <v>0</v>
      </c>
      <c r="G1395" s="479">
        <f t="shared" si="241"/>
        <v>0</v>
      </c>
      <c r="H1395" s="479">
        <f t="shared" si="241"/>
        <v>0</v>
      </c>
      <c r="I1395" s="479">
        <f t="shared" si="241"/>
        <v>0</v>
      </c>
      <c r="J1395" s="479">
        <f t="shared" si="241"/>
        <v>0</v>
      </c>
      <c r="K1395" s="479">
        <f t="shared" si="241"/>
        <v>0</v>
      </c>
      <c r="L1395" s="479">
        <f t="shared" si="241"/>
        <v>0</v>
      </c>
      <c r="M1395" s="479">
        <f t="shared" si="241"/>
        <v>0</v>
      </c>
      <c r="N1395" s="479">
        <f t="shared" si="241"/>
        <v>751</v>
      </c>
      <c r="O1395" s="479">
        <f t="shared" si="241"/>
        <v>2385226</v>
      </c>
      <c r="P1395" s="479">
        <f t="shared" si="241"/>
        <v>0</v>
      </c>
      <c r="Q1395" s="479">
        <f t="shared" si="241"/>
        <v>0</v>
      </c>
      <c r="R1395" s="479">
        <f t="shared" si="241"/>
        <v>0</v>
      </c>
      <c r="S1395" s="479">
        <f t="shared" si="241"/>
        <v>0</v>
      </c>
      <c r="T1395" s="479">
        <f t="shared" si="241"/>
        <v>0</v>
      </c>
      <c r="U1395" s="479">
        <f t="shared" si="241"/>
        <v>0</v>
      </c>
      <c r="V1395" s="211">
        <f t="shared" si="241"/>
        <v>0</v>
      </c>
      <c r="W1395" s="282"/>
      <c r="X1395" s="282"/>
    </row>
    <row r="1396" spans="1:28" s="17" customFormat="1">
      <c r="A1396" s="470">
        <v>312</v>
      </c>
      <c r="B1396" s="480" t="s">
        <v>674</v>
      </c>
      <c r="C1396" s="479">
        <v>2385226</v>
      </c>
      <c r="D1396" s="479">
        <v>0</v>
      </c>
      <c r="E1396" s="479">
        <v>0</v>
      </c>
      <c r="F1396" s="479">
        <v>0</v>
      </c>
      <c r="G1396" s="479">
        <v>0</v>
      </c>
      <c r="H1396" s="479">
        <v>0</v>
      </c>
      <c r="I1396" s="479">
        <v>0</v>
      </c>
      <c r="J1396" s="479">
        <v>0</v>
      </c>
      <c r="K1396" s="479">
        <v>0</v>
      </c>
      <c r="L1396" s="516">
        <v>0</v>
      </c>
      <c r="M1396" s="479">
        <v>0</v>
      </c>
      <c r="N1396" s="472">
        <v>751</v>
      </c>
      <c r="O1396" s="479">
        <v>2385226</v>
      </c>
      <c r="P1396" s="516">
        <v>0</v>
      </c>
      <c r="Q1396" s="479">
        <v>0</v>
      </c>
      <c r="R1396" s="516">
        <v>0</v>
      </c>
      <c r="S1396" s="479">
        <v>0</v>
      </c>
      <c r="T1396" s="516">
        <v>0</v>
      </c>
      <c r="U1396" s="517">
        <v>0</v>
      </c>
      <c r="V1396" s="282"/>
      <c r="W1396" s="282">
        <f>O1396/N1396</f>
        <v>3176.0665778961384</v>
      </c>
      <c r="X1396" s="282"/>
    </row>
    <row r="1397" spans="1:28" s="17" customFormat="1">
      <c r="A1397" s="470"/>
      <c r="B1397" s="480"/>
      <c r="C1397" s="479"/>
      <c r="D1397" s="479"/>
      <c r="E1397" s="479"/>
      <c r="F1397" s="479"/>
      <c r="G1397" s="479"/>
      <c r="H1397" s="479"/>
      <c r="I1397" s="479"/>
      <c r="J1397" s="479"/>
      <c r="K1397" s="479"/>
      <c r="L1397" s="516"/>
      <c r="M1397" s="479"/>
      <c r="N1397" s="472"/>
      <c r="O1397" s="479"/>
      <c r="P1397" s="516"/>
      <c r="Q1397" s="479"/>
      <c r="R1397" s="516"/>
      <c r="S1397" s="479"/>
      <c r="T1397" s="516"/>
      <c r="U1397" s="517"/>
      <c r="V1397" s="282"/>
      <c r="W1397" s="282"/>
      <c r="X1397" s="282"/>
    </row>
    <row r="1398" spans="1:28" ht="30">
      <c r="A1398" s="198"/>
      <c r="B1398" s="214" t="s">
        <v>109</v>
      </c>
      <c r="C1398" s="211">
        <v>201010</v>
      </c>
      <c r="D1398" s="211"/>
      <c r="E1398" s="211"/>
      <c r="F1398" s="211"/>
      <c r="G1398" s="211"/>
      <c r="H1398" s="211"/>
      <c r="I1398" s="211"/>
      <c r="J1398" s="211"/>
      <c r="K1398" s="211">
        <v>201010</v>
      </c>
      <c r="L1398" s="212">
        <v>0</v>
      </c>
      <c r="M1398" s="211">
        <v>0</v>
      </c>
      <c r="N1398" s="211">
        <v>0</v>
      </c>
      <c r="O1398" s="211">
        <v>0</v>
      </c>
      <c r="P1398" s="213">
        <v>0</v>
      </c>
      <c r="Q1398" s="211">
        <v>0</v>
      </c>
      <c r="R1398" s="213">
        <v>0</v>
      </c>
      <c r="S1398" s="211">
        <v>0</v>
      </c>
      <c r="T1398" s="212">
        <v>0</v>
      </c>
      <c r="U1398" s="290">
        <v>0</v>
      </c>
      <c r="V1398" s="282"/>
      <c r="W1398" s="282"/>
      <c r="X1398" s="282"/>
    </row>
    <row r="1399" spans="1:28">
      <c r="A1399" s="198">
        <v>314</v>
      </c>
      <c r="B1399" s="216" t="s">
        <v>414</v>
      </c>
      <c r="C1399" s="211">
        <v>201010</v>
      </c>
      <c r="D1399" s="211"/>
      <c r="E1399" s="211"/>
      <c r="F1399" s="211"/>
      <c r="G1399" s="211"/>
      <c r="H1399" s="211"/>
      <c r="I1399" s="211"/>
      <c r="J1399" s="211"/>
      <c r="K1399" s="211">
        <v>201010</v>
      </c>
      <c r="L1399" s="212">
        <v>0</v>
      </c>
      <c r="M1399" s="211">
        <v>0</v>
      </c>
      <c r="N1399" s="211">
        <v>0</v>
      </c>
      <c r="O1399" s="211">
        <v>0</v>
      </c>
      <c r="P1399" s="213">
        <v>0</v>
      </c>
      <c r="Q1399" s="211">
        <v>0</v>
      </c>
      <c r="R1399" s="213">
        <v>0</v>
      </c>
      <c r="S1399" s="211">
        <v>0</v>
      </c>
      <c r="T1399" s="212">
        <v>0</v>
      </c>
      <c r="U1399" s="290">
        <v>0</v>
      </c>
      <c r="V1399" s="282"/>
      <c r="W1399" s="282"/>
      <c r="X1399" s="282"/>
    </row>
    <row r="1400" spans="1:28" ht="30">
      <c r="A1400" s="198"/>
      <c r="B1400" s="214" t="s">
        <v>198</v>
      </c>
      <c r="C1400" s="211">
        <v>1091336</v>
      </c>
      <c r="D1400" s="211"/>
      <c r="E1400" s="211"/>
      <c r="F1400" s="211"/>
      <c r="G1400" s="211"/>
      <c r="H1400" s="211"/>
      <c r="I1400" s="211"/>
      <c r="J1400" s="211"/>
      <c r="K1400" s="211">
        <v>0</v>
      </c>
      <c r="L1400" s="212">
        <v>0</v>
      </c>
      <c r="M1400" s="211">
        <v>0</v>
      </c>
      <c r="N1400" s="211">
        <v>554.41999999999996</v>
      </c>
      <c r="O1400" s="211">
        <v>1091336</v>
      </c>
      <c r="P1400" s="213">
        <v>0</v>
      </c>
      <c r="Q1400" s="211">
        <v>0</v>
      </c>
      <c r="R1400" s="213">
        <v>0</v>
      </c>
      <c r="S1400" s="211">
        <v>0</v>
      </c>
      <c r="T1400" s="212">
        <v>0</v>
      </c>
      <c r="U1400" s="290">
        <v>0</v>
      </c>
      <c r="V1400" s="282"/>
      <c r="W1400" s="282"/>
      <c r="X1400" s="282"/>
    </row>
    <row r="1401" spans="1:28" ht="30">
      <c r="A1401" s="198">
        <v>315</v>
      </c>
      <c r="B1401" s="214" t="s">
        <v>444</v>
      </c>
      <c r="C1401" s="211">
        <v>1091336</v>
      </c>
      <c r="D1401" s="211"/>
      <c r="E1401" s="211"/>
      <c r="F1401" s="211"/>
      <c r="G1401" s="211"/>
      <c r="H1401" s="211"/>
      <c r="I1401" s="211"/>
      <c r="J1401" s="211"/>
      <c r="K1401" s="211">
        <v>0</v>
      </c>
      <c r="L1401" s="212">
        <v>0</v>
      </c>
      <c r="M1401" s="211">
        <v>0</v>
      </c>
      <c r="N1401" s="211">
        <v>554.41999999999996</v>
      </c>
      <c r="O1401" s="211">
        <v>1091336</v>
      </c>
      <c r="P1401" s="213">
        <v>0</v>
      </c>
      <c r="Q1401" s="211">
        <v>0</v>
      </c>
      <c r="R1401" s="213">
        <v>0</v>
      </c>
      <c r="S1401" s="211">
        <v>0</v>
      </c>
      <c r="T1401" s="212">
        <v>0</v>
      </c>
      <c r="U1401" s="290">
        <v>0</v>
      </c>
      <c r="V1401" s="282"/>
      <c r="W1401" s="282"/>
      <c r="X1401" s="282"/>
    </row>
    <row r="1402" spans="1:28" s="17" customFormat="1">
      <c r="A1402" s="198"/>
      <c r="B1402" s="216" t="s">
        <v>53</v>
      </c>
      <c r="C1402" s="211">
        <v>51240898.530000001</v>
      </c>
      <c r="D1402" s="211"/>
      <c r="E1402" s="211"/>
      <c r="F1402" s="211"/>
      <c r="G1402" s="211"/>
      <c r="H1402" s="211"/>
      <c r="I1402" s="211"/>
      <c r="J1402" s="211"/>
      <c r="K1402" s="211">
        <v>1666943.13</v>
      </c>
      <c r="L1402" s="212">
        <v>16</v>
      </c>
      <c r="M1402" s="211">
        <f>M1403+M1418+M1420+M1423+M1430+M1431+M1433</f>
        <v>0</v>
      </c>
      <c r="N1402" s="211">
        <f>N1403+N1418+N1420+N1423+N1430+N1431+N1433</f>
        <v>17736.52</v>
      </c>
      <c r="O1402" s="211">
        <f>O1403+O1418+O1420+O1423+O1430+O1431+O1433</f>
        <v>45386855.920000002</v>
      </c>
      <c r="P1402" s="213">
        <v>0</v>
      </c>
      <c r="Q1402" s="211">
        <v>0</v>
      </c>
      <c r="R1402" s="211">
        <v>3776.66</v>
      </c>
      <c r="S1402" s="211">
        <v>2073719.84</v>
      </c>
      <c r="T1402" s="213">
        <v>0</v>
      </c>
      <c r="U1402" s="290">
        <v>0</v>
      </c>
      <c r="V1402" s="282"/>
      <c r="W1402" s="282"/>
      <c r="X1402" s="282"/>
    </row>
    <row r="1403" spans="1:28" ht="30">
      <c r="A1403" s="470"/>
      <c r="B1403" s="480" t="s">
        <v>88</v>
      </c>
      <c r="C1403" s="479">
        <f>C1404+C1405+C1406+C1407+C1408+C1409++C1410+C1411+C1412+C1413+C1414</f>
        <v>29036828</v>
      </c>
      <c r="D1403" s="479">
        <f t="shared" ref="D1403:V1403" si="242">D1404+D1405+D1406+D1407+D1408+D1409++D1410+D1411+D1412+D1413+D1414</f>
        <v>0</v>
      </c>
      <c r="E1403" s="479">
        <f t="shared" si="242"/>
        <v>0</v>
      </c>
      <c r="F1403" s="479">
        <f t="shared" si="242"/>
        <v>0</v>
      </c>
      <c r="G1403" s="479">
        <f t="shared" si="242"/>
        <v>0</v>
      </c>
      <c r="H1403" s="479">
        <f t="shared" si="242"/>
        <v>0</v>
      </c>
      <c r="I1403" s="479">
        <f t="shared" si="242"/>
        <v>0</v>
      </c>
      <c r="J1403" s="479">
        <f t="shared" si="242"/>
        <v>0</v>
      </c>
      <c r="K1403" s="479">
        <f t="shared" si="242"/>
        <v>0</v>
      </c>
      <c r="L1403" s="479">
        <f t="shared" si="242"/>
        <v>0</v>
      </c>
      <c r="M1403" s="479">
        <f t="shared" si="242"/>
        <v>0</v>
      </c>
      <c r="N1403" s="479">
        <f t="shared" si="242"/>
        <v>11589.4</v>
      </c>
      <c r="O1403" s="479">
        <f t="shared" si="242"/>
        <v>29036828</v>
      </c>
      <c r="P1403" s="479">
        <f t="shared" si="242"/>
        <v>0</v>
      </c>
      <c r="Q1403" s="479">
        <f t="shared" si="242"/>
        <v>0</v>
      </c>
      <c r="R1403" s="479">
        <f t="shared" si="242"/>
        <v>0</v>
      </c>
      <c r="S1403" s="479">
        <f t="shared" si="242"/>
        <v>0</v>
      </c>
      <c r="T1403" s="479">
        <f t="shared" si="242"/>
        <v>0</v>
      </c>
      <c r="U1403" s="479">
        <f t="shared" si="242"/>
        <v>0</v>
      </c>
      <c r="V1403" s="211">
        <f t="shared" si="242"/>
        <v>0</v>
      </c>
      <c r="W1403" s="282"/>
      <c r="X1403" s="282"/>
      <c r="Y1403" s="10"/>
      <c r="Z1403" s="10"/>
      <c r="AA1403" s="10"/>
      <c r="AB1403" s="10"/>
    </row>
    <row r="1404" spans="1:28" s="19" customFormat="1" ht="15.75">
      <c r="A1404" s="470">
        <v>316</v>
      </c>
      <c r="B1404" s="844" t="s">
        <v>756</v>
      </c>
      <c r="C1404" s="479">
        <f>'часть 1'!L1436</f>
        <v>3116315</v>
      </c>
      <c r="D1404" s="479">
        <v>0</v>
      </c>
      <c r="E1404" s="479">
        <v>0</v>
      </c>
      <c r="F1404" s="479">
        <v>0</v>
      </c>
      <c r="G1404" s="479">
        <v>0</v>
      </c>
      <c r="H1404" s="479">
        <v>0</v>
      </c>
      <c r="I1404" s="479">
        <v>0</v>
      </c>
      <c r="J1404" s="479">
        <v>0</v>
      </c>
      <c r="K1404" s="479">
        <v>0</v>
      </c>
      <c r="L1404" s="515">
        <v>0</v>
      </c>
      <c r="M1404" s="479">
        <v>0</v>
      </c>
      <c r="N1404" s="479">
        <v>1246.5999999999999</v>
      </c>
      <c r="O1404" s="479">
        <f>C1404</f>
        <v>3116315</v>
      </c>
      <c r="P1404" s="516">
        <v>0</v>
      </c>
      <c r="Q1404" s="479">
        <v>0</v>
      </c>
      <c r="R1404" s="516">
        <v>0</v>
      </c>
      <c r="S1404" s="479">
        <v>0</v>
      </c>
      <c r="T1404" s="515">
        <v>0</v>
      </c>
      <c r="U1404" s="517">
        <v>0</v>
      </c>
      <c r="V1404" s="282"/>
      <c r="W1404" s="282">
        <f>O1404/N1404</f>
        <v>2499.8515963420505</v>
      </c>
      <c r="X1404" s="282"/>
      <c r="Y1404" s="27"/>
      <c r="Z1404" s="27"/>
      <c r="AA1404" s="27"/>
      <c r="AB1404" s="27"/>
    </row>
    <row r="1405" spans="1:28" s="19" customFormat="1" ht="15.75">
      <c r="A1405" s="470">
        <v>317</v>
      </c>
      <c r="B1405" s="844" t="s">
        <v>754</v>
      </c>
      <c r="C1405" s="479">
        <f>'часть 1'!L1437</f>
        <v>2952420</v>
      </c>
      <c r="D1405" s="479">
        <v>0</v>
      </c>
      <c r="E1405" s="479">
        <v>0</v>
      </c>
      <c r="F1405" s="479">
        <v>0</v>
      </c>
      <c r="G1405" s="479">
        <v>0</v>
      </c>
      <c r="H1405" s="479">
        <v>0</v>
      </c>
      <c r="I1405" s="479">
        <v>0</v>
      </c>
      <c r="J1405" s="479">
        <v>0</v>
      </c>
      <c r="K1405" s="479">
        <v>0</v>
      </c>
      <c r="L1405" s="515">
        <v>0</v>
      </c>
      <c r="M1405" s="479">
        <v>0</v>
      </c>
      <c r="N1405" s="479">
        <v>1180.8</v>
      </c>
      <c r="O1405" s="479">
        <f t="shared" ref="O1405:O1414" si="243">C1405</f>
        <v>2952420</v>
      </c>
      <c r="P1405" s="516">
        <v>0</v>
      </c>
      <c r="Q1405" s="479">
        <v>0</v>
      </c>
      <c r="R1405" s="516">
        <v>0</v>
      </c>
      <c r="S1405" s="479">
        <v>0</v>
      </c>
      <c r="T1405" s="515">
        <v>0</v>
      </c>
      <c r="U1405" s="517">
        <v>0</v>
      </c>
      <c r="V1405" s="282"/>
      <c r="W1405" s="282">
        <f t="shared" ref="W1405:W1414" si="244">O1405/N1405</f>
        <v>2500.3556910569105</v>
      </c>
      <c r="X1405" s="282"/>
      <c r="Y1405" s="27"/>
      <c r="Z1405" s="27"/>
      <c r="AA1405" s="27"/>
      <c r="AB1405" s="27"/>
    </row>
    <row r="1406" spans="1:28" s="19" customFormat="1" ht="15.75">
      <c r="A1406" s="470">
        <v>318</v>
      </c>
      <c r="B1406" s="844" t="s">
        <v>755</v>
      </c>
      <c r="C1406" s="479">
        <f>'часть 1'!L1438</f>
        <v>2857647</v>
      </c>
      <c r="D1406" s="521">
        <v>0</v>
      </c>
      <c r="E1406" s="521">
        <v>0</v>
      </c>
      <c r="F1406" s="521">
        <v>0</v>
      </c>
      <c r="G1406" s="521">
        <v>0</v>
      </c>
      <c r="H1406" s="521">
        <v>0</v>
      </c>
      <c r="I1406" s="521">
        <v>0</v>
      </c>
      <c r="J1406" s="521">
        <v>0</v>
      </c>
      <c r="K1406" s="860">
        <v>0</v>
      </c>
      <c r="L1406" s="515">
        <v>0</v>
      </c>
      <c r="M1406" s="479">
        <v>0</v>
      </c>
      <c r="N1406" s="521">
        <v>1142</v>
      </c>
      <c r="O1406" s="479">
        <f t="shared" si="243"/>
        <v>2857647</v>
      </c>
      <c r="P1406" s="516">
        <v>0</v>
      </c>
      <c r="Q1406" s="479">
        <v>0</v>
      </c>
      <c r="R1406" s="516">
        <v>0</v>
      </c>
      <c r="S1406" s="479">
        <v>0</v>
      </c>
      <c r="T1406" s="515">
        <v>0</v>
      </c>
      <c r="U1406" s="517">
        <v>0</v>
      </c>
      <c r="V1406" s="282"/>
      <c r="W1406" s="282">
        <f t="shared" si="244"/>
        <v>2502.3178633975481</v>
      </c>
      <c r="X1406" s="282"/>
      <c r="Y1406" s="27"/>
      <c r="Z1406" s="27"/>
      <c r="AA1406" s="27"/>
      <c r="AB1406" s="27"/>
    </row>
    <row r="1407" spans="1:28" s="19" customFormat="1" ht="15.75">
      <c r="A1407" s="470">
        <v>319</v>
      </c>
      <c r="B1407" s="844" t="s">
        <v>759</v>
      </c>
      <c r="C1407" s="479">
        <f>'часть 1'!L1439</f>
        <v>1532580</v>
      </c>
      <c r="D1407" s="479">
        <v>0</v>
      </c>
      <c r="E1407" s="479">
        <v>0</v>
      </c>
      <c r="F1407" s="479">
        <v>0</v>
      </c>
      <c r="G1407" s="479">
        <v>0</v>
      </c>
      <c r="H1407" s="479">
        <v>0</v>
      </c>
      <c r="I1407" s="479">
        <v>0</v>
      </c>
      <c r="J1407" s="479">
        <v>0</v>
      </c>
      <c r="K1407" s="479">
        <v>0</v>
      </c>
      <c r="L1407" s="515">
        <v>0</v>
      </c>
      <c r="M1407" s="479">
        <v>0</v>
      </c>
      <c r="N1407" s="479">
        <v>600</v>
      </c>
      <c r="O1407" s="479">
        <f t="shared" si="243"/>
        <v>1532580</v>
      </c>
      <c r="P1407" s="516">
        <v>0</v>
      </c>
      <c r="Q1407" s="479">
        <v>0</v>
      </c>
      <c r="R1407" s="479">
        <v>0</v>
      </c>
      <c r="S1407" s="479">
        <v>0</v>
      </c>
      <c r="T1407" s="515">
        <v>0</v>
      </c>
      <c r="U1407" s="517">
        <v>0</v>
      </c>
      <c r="V1407" s="282"/>
      <c r="W1407" s="282">
        <f t="shared" si="244"/>
        <v>2554.3000000000002</v>
      </c>
      <c r="X1407" s="282"/>
      <c r="Y1407" s="27"/>
      <c r="Z1407" s="27"/>
      <c r="AA1407" s="27"/>
      <c r="AB1407" s="27"/>
    </row>
    <row r="1408" spans="1:28" s="19" customFormat="1" ht="15.75">
      <c r="A1408" s="470">
        <v>320</v>
      </c>
      <c r="B1408" s="844" t="s">
        <v>760</v>
      </c>
      <c r="C1408" s="479">
        <f>'часть 1'!L1440</f>
        <v>2654053</v>
      </c>
      <c r="D1408" s="521">
        <v>0</v>
      </c>
      <c r="E1408" s="521">
        <v>0</v>
      </c>
      <c r="F1408" s="521">
        <v>0</v>
      </c>
      <c r="G1408" s="521">
        <v>0</v>
      </c>
      <c r="H1408" s="521">
        <v>0</v>
      </c>
      <c r="I1408" s="521">
        <v>0</v>
      </c>
      <c r="J1408" s="521">
        <v>0</v>
      </c>
      <c r="K1408" s="518">
        <v>0</v>
      </c>
      <c r="L1408" s="476">
        <v>0</v>
      </c>
      <c r="M1408" s="521">
        <v>0</v>
      </c>
      <c r="N1408" s="479">
        <v>1060</v>
      </c>
      <c r="O1408" s="479">
        <f t="shared" si="243"/>
        <v>2654053</v>
      </c>
      <c r="P1408" s="516">
        <v>0</v>
      </c>
      <c r="Q1408" s="479">
        <v>0</v>
      </c>
      <c r="R1408" s="516">
        <v>0</v>
      </c>
      <c r="S1408" s="479">
        <v>0</v>
      </c>
      <c r="T1408" s="515">
        <v>0</v>
      </c>
      <c r="U1408" s="517">
        <v>0</v>
      </c>
      <c r="V1408" s="282"/>
      <c r="W1408" s="282">
        <f t="shared" si="244"/>
        <v>2503.8235849056605</v>
      </c>
      <c r="X1408" s="282"/>
      <c r="Y1408" s="6"/>
      <c r="Z1408" s="6"/>
      <c r="AA1408" s="26"/>
      <c r="AB1408" s="26"/>
    </row>
    <row r="1409" spans="1:28" s="19" customFormat="1" ht="15.75">
      <c r="A1409" s="470">
        <v>321</v>
      </c>
      <c r="B1409" s="844" t="s">
        <v>761</v>
      </c>
      <c r="C1409" s="479">
        <f>'часть 1'!L1441</f>
        <v>2653957</v>
      </c>
      <c r="D1409" s="521">
        <v>0</v>
      </c>
      <c r="E1409" s="521">
        <v>0</v>
      </c>
      <c r="F1409" s="521">
        <v>0</v>
      </c>
      <c r="G1409" s="521">
        <v>0</v>
      </c>
      <c r="H1409" s="521">
        <v>0</v>
      </c>
      <c r="I1409" s="521">
        <v>0</v>
      </c>
      <c r="J1409" s="521">
        <v>0</v>
      </c>
      <c r="K1409" s="518">
        <v>0</v>
      </c>
      <c r="L1409" s="476">
        <v>0</v>
      </c>
      <c r="M1409" s="518">
        <v>0</v>
      </c>
      <c r="N1409" s="479">
        <v>1060</v>
      </c>
      <c r="O1409" s="479">
        <f t="shared" si="243"/>
        <v>2653957</v>
      </c>
      <c r="P1409" s="516">
        <v>0</v>
      </c>
      <c r="Q1409" s="479">
        <v>0</v>
      </c>
      <c r="R1409" s="516">
        <v>0</v>
      </c>
      <c r="S1409" s="479">
        <v>0</v>
      </c>
      <c r="T1409" s="515">
        <v>0</v>
      </c>
      <c r="U1409" s="517">
        <v>0</v>
      </c>
      <c r="V1409" s="282"/>
      <c r="W1409" s="282">
        <f t="shared" si="244"/>
        <v>2503.7330188679243</v>
      </c>
      <c r="X1409" s="282"/>
      <c r="Y1409" s="6"/>
      <c r="Z1409" s="6"/>
      <c r="AA1409" s="26"/>
      <c r="AB1409" s="26"/>
    </row>
    <row r="1410" spans="1:28" s="19" customFormat="1" ht="15.75">
      <c r="A1410" s="470">
        <v>322</v>
      </c>
      <c r="B1410" s="844" t="s">
        <v>762</v>
      </c>
      <c r="C1410" s="479">
        <f>'часть 1'!L1442</f>
        <v>2653904</v>
      </c>
      <c r="D1410" s="521">
        <v>0</v>
      </c>
      <c r="E1410" s="521">
        <v>0</v>
      </c>
      <c r="F1410" s="521">
        <v>0</v>
      </c>
      <c r="G1410" s="521">
        <v>0</v>
      </c>
      <c r="H1410" s="521">
        <v>0</v>
      </c>
      <c r="I1410" s="521">
        <v>0</v>
      </c>
      <c r="J1410" s="521">
        <v>0</v>
      </c>
      <c r="K1410" s="518">
        <v>0</v>
      </c>
      <c r="L1410" s="476">
        <v>0</v>
      </c>
      <c r="M1410" s="521">
        <v>0</v>
      </c>
      <c r="N1410" s="479">
        <v>1060</v>
      </c>
      <c r="O1410" s="479">
        <f t="shared" si="243"/>
        <v>2653904</v>
      </c>
      <c r="P1410" s="516">
        <v>0</v>
      </c>
      <c r="Q1410" s="479">
        <v>0</v>
      </c>
      <c r="R1410" s="516">
        <v>0</v>
      </c>
      <c r="S1410" s="479">
        <v>0</v>
      </c>
      <c r="T1410" s="515">
        <v>0</v>
      </c>
      <c r="U1410" s="517">
        <v>0</v>
      </c>
      <c r="V1410" s="282"/>
      <c r="W1410" s="282">
        <f t="shared" si="244"/>
        <v>2503.6830188679246</v>
      </c>
      <c r="X1410" s="282"/>
      <c r="Y1410" s="6"/>
      <c r="Z1410" s="6"/>
      <c r="AA1410" s="26"/>
      <c r="AB1410" s="26"/>
    </row>
    <row r="1411" spans="1:28" s="19" customFormat="1" ht="15.75">
      <c r="A1411" s="470">
        <v>323</v>
      </c>
      <c r="B1411" s="844" t="s">
        <v>763</v>
      </c>
      <c r="C1411" s="479">
        <f>'часть 1'!L1443</f>
        <v>2653979</v>
      </c>
      <c r="D1411" s="479">
        <v>0</v>
      </c>
      <c r="E1411" s="479">
        <v>0</v>
      </c>
      <c r="F1411" s="479">
        <v>0</v>
      </c>
      <c r="G1411" s="479">
        <v>0</v>
      </c>
      <c r="H1411" s="479">
        <v>0</v>
      </c>
      <c r="I1411" s="479">
        <v>0</v>
      </c>
      <c r="J1411" s="479">
        <v>0</v>
      </c>
      <c r="K1411" s="479">
        <v>0</v>
      </c>
      <c r="L1411" s="515">
        <v>0</v>
      </c>
      <c r="M1411" s="479">
        <v>0</v>
      </c>
      <c r="N1411" s="479">
        <v>1060</v>
      </c>
      <c r="O1411" s="479">
        <f t="shared" si="243"/>
        <v>2653979</v>
      </c>
      <c r="P1411" s="516">
        <v>0</v>
      </c>
      <c r="Q1411" s="479">
        <v>0</v>
      </c>
      <c r="R1411" s="479">
        <v>0</v>
      </c>
      <c r="S1411" s="479">
        <v>0</v>
      </c>
      <c r="T1411" s="515">
        <v>0</v>
      </c>
      <c r="U1411" s="517">
        <v>0</v>
      </c>
      <c r="V1411" s="282"/>
      <c r="W1411" s="282">
        <f t="shared" si="244"/>
        <v>2503.7537735849055</v>
      </c>
      <c r="X1411" s="282"/>
      <c r="Y1411" s="27"/>
      <c r="Z1411" s="27"/>
      <c r="AA1411" s="27"/>
      <c r="AB1411" s="27"/>
    </row>
    <row r="1412" spans="1:28" s="19" customFormat="1" ht="15.75">
      <c r="A1412" s="470">
        <v>324</v>
      </c>
      <c r="B1412" s="844" t="s">
        <v>764</v>
      </c>
      <c r="C1412" s="479">
        <f>'часть 1'!L1444</f>
        <v>2654063</v>
      </c>
      <c r="D1412" s="521">
        <v>0</v>
      </c>
      <c r="E1412" s="521">
        <v>0</v>
      </c>
      <c r="F1412" s="521">
        <v>0</v>
      </c>
      <c r="G1412" s="521">
        <v>0</v>
      </c>
      <c r="H1412" s="521">
        <v>0</v>
      </c>
      <c r="I1412" s="521">
        <v>0</v>
      </c>
      <c r="J1412" s="521">
        <v>0</v>
      </c>
      <c r="K1412" s="518">
        <v>0</v>
      </c>
      <c r="L1412" s="476">
        <v>0</v>
      </c>
      <c r="M1412" s="472">
        <v>0</v>
      </c>
      <c r="N1412" s="479">
        <v>1060</v>
      </c>
      <c r="O1412" s="479">
        <f t="shared" si="243"/>
        <v>2654063</v>
      </c>
      <c r="P1412" s="516">
        <v>0</v>
      </c>
      <c r="Q1412" s="479">
        <v>0</v>
      </c>
      <c r="R1412" s="516">
        <v>0</v>
      </c>
      <c r="S1412" s="479">
        <v>0</v>
      </c>
      <c r="T1412" s="515">
        <v>0</v>
      </c>
      <c r="U1412" s="517">
        <v>0</v>
      </c>
      <c r="V1412" s="282"/>
      <c r="W1412" s="282">
        <f t="shared" si="244"/>
        <v>2503.8330188679247</v>
      </c>
      <c r="X1412" s="282"/>
      <c r="Y1412" s="6"/>
      <c r="Z1412" s="6"/>
      <c r="AA1412" s="26"/>
      <c r="AB1412" s="26"/>
    </row>
    <row r="1413" spans="1:28" s="19" customFormat="1" ht="15.75">
      <c r="A1413" s="470">
        <v>325</v>
      </c>
      <c r="B1413" s="844" t="s">
        <v>765</v>
      </c>
      <c r="C1413" s="479">
        <f>'часть 1'!L1445</f>
        <v>2653996</v>
      </c>
      <c r="D1413" s="521">
        <v>0</v>
      </c>
      <c r="E1413" s="521">
        <v>0</v>
      </c>
      <c r="F1413" s="521">
        <v>0</v>
      </c>
      <c r="G1413" s="521">
        <v>0</v>
      </c>
      <c r="H1413" s="521">
        <v>0</v>
      </c>
      <c r="I1413" s="521">
        <v>0</v>
      </c>
      <c r="J1413" s="521">
        <v>0</v>
      </c>
      <c r="K1413" s="518">
        <v>0</v>
      </c>
      <c r="L1413" s="476">
        <v>0</v>
      </c>
      <c r="M1413" s="521">
        <v>0</v>
      </c>
      <c r="N1413" s="479">
        <v>1060</v>
      </c>
      <c r="O1413" s="479">
        <f t="shared" si="243"/>
        <v>2653996</v>
      </c>
      <c r="P1413" s="516">
        <v>0</v>
      </c>
      <c r="Q1413" s="479">
        <v>0</v>
      </c>
      <c r="R1413" s="516">
        <v>0</v>
      </c>
      <c r="S1413" s="479">
        <v>0</v>
      </c>
      <c r="T1413" s="515">
        <v>0</v>
      </c>
      <c r="U1413" s="517">
        <v>0</v>
      </c>
      <c r="V1413" s="282"/>
      <c r="W1413" s="282">
        <f t="shared" si="244"/>
        <v>2503.7698113207548</v>
      </c>
      <c r="X1413" s="282"/>
      <c r="Y1413" s="6"/>
      <c r="Z1413" s="6"/>
      <c r="AA1413" s="26"/>
      <c r="AB1413" s="26"/>
    </row>
    <row r="1414" spans="1:28" s="19" customFormat="1" ht="15.75">
      <c r="A1414" s="470">
        <v>326</v>
      </c>
      <c r="B1414" s="844" t="s">
        <v>766</v>
      </c>
      <c r="C1414" s="479">
        <f>'часть 1'!L1446</f>
        <v>2653914</v>
      </c>
      <c r="D1414" s="521">
        <v>0</v>
      </c>
      <c r="E1414" s="521">
        <v>0</v>
      </c>
      <c r="F1414" s="521">
        <v>0</v>
      </c>
      <c r="G1414" s="521">
        <v>0</v>
      </c>
      <c r="H1414" s="521">
        <v>0</v>
      </c>
      <c r="I1414" s="521">
        <v>0</v>
      </c>
      <c r="J1414" s="521">
        <v>0</v>
      </c>
      <c r="K1414" s="518">
        <v>0</v>
      </c>
      <c r="L1414" s="476">
        <v>0</v>
      </c>
      <c r="M1414" s="518">
        <v>0</v>
      </c>
      <c r="N1414" s="479">
        <v>1060</v>
      </c>
      <c r="O1414" s="479">
        <f t="shared" si="243"/>
        <v>2653914</v>
      </c>
      <c r="P1414" s="516">
        <v>0</v>
      </c>
      <c r="Q1414" s="479">
        <v>0</v>
      </c>
      <c r="R1414" s="516">
        <v>0</v>
      </c>
      <c r="S1414" s="479">
        <v>0</v>
      </c>
      <c r="T1414" s="515">
        <v>0</v>
      </c>
      <c r="U1414" s="517">
        <v>0</v>
      </c>
      <c r="V1414" s="282"/>
      <c r="W1414" s="282">
        <f t="shared" si="244"/>
        <v>2503.6924528301888</v>
      </c>
      <c r="X1414" s="282"/>
      <c r="Y1414" s="6"/>
      <c r="Z1414" s="6"/>
      <c r="AA1414" s="26"/>
      <c r="AB1414" s="26"/>
    </row>
    <row r="1415" spans="1:28" s="19" customFormat="1">
      <c r="A1415" s="470"/>
      <c r="B1415" s="480"/>
      <c r="C1415" s="521"/>
      <c r="D1415" s="521"/>
      <c r="E1415" s="521"/>
      <c r="F1415" s="521"/>
      <c r="G1415" s="521"/>
      <c r="H1415" s="521"/>
      <c r="I1415" s="521"/>
      <c r="J1415" s="521"/>
      <c r="K1415" s="518"/>
      <c r="L1415" s="476"/>
      <c r="M1415" s="518"/>
      <c r="N1415" s="479"/>
      <c r="O1415" s="479"/>
      <c r="P1415" s="516"/>
      <c r="Q1415" s="479"/>
      <c r="R1415" s="516"/>
      <c r="S1415" s="479"/>
      <c r="T1415" s="515"/>
      <c r="U1415" s="517"/>
      <c r="V1415" s="282"/>
      <c r="W1415" s="282"/>
      <c r="X1415" s="282"/>
      <c r="Y1415" s="6"/>
      <c r="Z1415" s="6"/>
      <c r="AA1415" s="26"/>
      <c r="AB1415" s="26"/>
    </row>
    <row r="1416" spans="1:28" s="19" customFormat="1">
      <c r="A1416" s="470"/>
      <c r="B1416" s="480"/>
      <c r="C1416" s="521"/>
      <c r="D1416" s="521"/>
      <c r="E1416" s="521"/>
      <c r="F1416" s="521"/>
      <c r="G1416" s="521"/>
      <c r="H1416" s="521"/>
      <c r="I1416" s="521"/>
      <c r="J1416" s="521"/>
      <c r="K1416" s="518"/>
      <c r="L1416" s="476"/>
      <c r="M1416" s="521"/>
      <c r="N1416" s="479"/>
      <c r="O1416" s="479"/>
      <c r="P1416" s="516"/>
      <c r="Q1416" s="479"/>
      <c r="R1416" s="516"/>
      <c r="S1416" s="479"/>
      <c r="T1416" s="515"/>
      <c r="U1416" s="517"/>
      <c r="V1416" s="282"/>
      <c r="W1416" s="282"/>
      <c r="X1416" s="282"/>
      <c r="Y1416" s="6"/>
      <c r="Z1416" s="6"/>
      <c r="AA1416" s="26"/>
      <c r="AB1416" s="26"/>
    </row>
    <row r="1417" spans="1:28" s="19" customFormat="1">
      <c r="A1417" s="470"/>
      <c r="B1417" s="659"/>
      <c r="C1417" s="479"/>
      <c r="D1417" s="479"/>
      <c r="E1417" s="479"/>
      <c r="F1417" s="479"/>
      <c r="G1417" s="479"/>
      <c r="H1417" s="479"/>
      <c r="I1417" s="479"/>
      <c r="J1417" s="479"/>
      <c r="K1417" s="479"/>
      <c r="L1417" s="515"/>
      <c r="M1417" s="479"/>
      <c r="N1417" s="479"/>
      <c r="O1417" s="479"/>
      <c r="P1417" s="516"/>
      <c r="Q1417" s="479"/>
      <c r="R1417" s="479"/>
      <c r="S1417" s="479"/>
      <c r="T1417" s="515"/>
      <c r="U1417" s="517"/>
      <c r="V1417" s="282"/>
      <c r="W1417" s="282"/>
      <c r="X1417" s="282"/>
      <c r="Y1417" s="27"/>
      <c r="Z1417" s="27"/>
      <c r="AA1417" s="27"/>
      <c r="AB1417" s="27"/>
    </row>
    <row r="1418" spans="1:28" ht="30">
      <c r="A1418" s="198"/>
      <c r="B1418" s="214" t="s">
        <v>132</v>
      </c>
      <c r="C1418" s="211">
        <f>C1419</f>
        <v>1854126</v>
      </c>
      <c r="D1418" s="211">
        <f t="shared" ref="D1418:U1418" si="245">D1419</f>
        <v>0</v>
      </c>
      <c r="E1418" s="211">
        <f t="shared" si="245"/>
        <v>0</v>
      </c>
      <c r="F1418" s="211">
        <f t="shared" si="245"/>
        <v>0</v>
      </c>
      <c r="G1418" s="211">
        <f t="shared" si="245"/>
        <v>0</v>
      </c>
      <c r="H1418" s="211">
        <f t="shared" si="245"/>
        <v>0</v>
      </c>
      <c r="I1418" s="211">
        <f t="shared" si="245"/>
        <v>0</v>
      </c>
      <c r="J1418" s="211">
        <f t="shared" si="245"/>
        <v>0</v>
      </c>
      <c r="K1418" s="211">
        <f t="shared" si="245"/>
        <v>0</v>
      </c>
      <c r="L1418" s="211">
        <f t="shared" si="245"/>
        <v>0</v>
      </c>
      <c r="M1418" s="211">
        <f t="shared" si="245"/>
        <v>0</v>
      </c>
      <c r="N1418" s="211">
        <f t="shared" si="245"/>
        <v>581</v>
      </c>
      <c r="O1418" s="211">
        <f t="shared" si="245"/>
        <v>1854126</v>
      </c>
      <c r="P1418" s="211">
        <f t="shared" si="245"/>
        <v>0</v>
      </c>
      <c r="Q1418" s="211">
        <f t="shared" si="245"/>
        <v>0</v>
      </c>
      <c r="R1418" s="211">
        <f t="shared" si="245"/>
        <v>0</v>
      </c>
      <c r="S1418" s="211">
        <f t="shared" si="245"/>
        <v>0</v>
      </c>
      <c r="T1418" s="211">
        <f t="shared" si="245"/>
        <v>0</v>
      </c>
      <c r="U1418" s="211">
        <f t="shared" si="245"/>
        <v>0</v>
      </c>
      <c r="V1418" s="282"/>
      <c r="W1418" s="282"/>
      <c r="X1418" s="282"/>
      <c r="Y1418" s="10"/>
      <c r="Z1418" s="10"/>
      <c r="AA1418" s="10"/>
      <c r="AB1418" s="10"/>
    </row>
    <row r="1419" spans="1:28" ht="30">
      <c r="A1419" s="470">
        <v>331</v>
      </c>
      <c r="B1419" s="480" t="s">
        <v>702</v>
      </c>
      <c r="C1419" s="479">
        <f>'часть 1'!L1448</f>
        <v>1854126</v>
      </c>
      <c r="D1419" s="479">
        <v>0</v>
      </c>
      <c r="E1419" s="479">
        <v>0</v>
      </c>
      <c r="F1419" s="479">
        <v>0</v>
      </c>
      <c r="G1419" s="479">
        <v>0</v>
      </c>
      <c r="H1419" s="479">
        <v>0</v>
      </c>
      <c r="I1419" s="479">
        <v>0</v>
      </c>
      <c r="J1419" s="479">
        <v>0</v>
      </c>
      <c r="K1419" s="479">
        <v>0</v>
      </c>
      <c r="L1419" s="515">
        <v>0</v>
      </c>
      <c r="M1419" s="479">
        <v>0</v>
      </c>
      <c r="N1419" s="479">
        <v>581</v>
      </c>
      <c r="O1419" s="479">
        <v>1854126</v>
      </c>
      <c r="P1419" s="516">
        <v>0</v>
      </c>
      <c r="Q1419" s="479">
        <v>0</v>
      </c>
      <c r="R1419" s="516">
        <v>0</v>
      </c>
      <c r="S1419" s="479">
        <v>0</v>
      </c>
      <c r="T1419" s="515">
        <v>0</v>
      </c>
      <c r="U1419" s="517">
        <v>0</v>
      </c>
      <c r="V1419" s="282"/>
      <c r="W1419" s="282">
        <f>O1419/N1419</f>
        <v>3191.2667814113597</v>
      </c>
      <c r="X1419" s="282"/>
      <c r="Y1419" s="10"/>
      <c r="Z1419" s="10"/>
      <c r="AA1419" s="10"/>
      <c r="AB1419" s="10"/>
    </row>
    <row r="1420" spans="1:28" ht="30">
      <c r="A1420" s="198"/>
      <c r="B1420" s="214" t="s">
        <v>110</v>
      </c>
      <c r="C1420" s="211">
        <f>C1421</f>
        <v>2569441</v>
      </c>
      <c r="D1420" s="211">
        <f t="shared" ref="D1420:U1420" si="246">D1421</f>
        <v>0</v>
      </c>
      <c r="E1420" s="211">
        <f t="shared" si="246"/>
        <v>0</v>
      </c>
      <c r="F1420" s="211">
        <f t="shared" si="246"/>
        <v>0</v>
      </c>
      <c r="G1420" s="211">
        <f t="shared" si="246"/>
        <v>0</v>
      </c>
      <c r="H1420" s="211">
        <f t="shared" si="246"/>
        <v>0</v>
      </c>
      <c r="I1420" s="211">
        <f t="shared" si="246"/>
        <v>0</v>
      </c>
      <c r="J1420" s="211">
        <f t="shared" si="246"/>
        <v>0</v>
      </c>
      <c r="K1420" s="211">
        <f t="shared" si="246"/>
        <v>0</v>
      </c>
      <c r="L1420" s="211">
        <f t="shared" si="246"/>
        <v>0</v>
      </c>
      <c r="M1420" s="211">
        <f t="shared" si="246"/>
        <v>0</v>
      </c>
      <c r="N1420" s="211">
        <f t="shared" si="246"/>
        <v>802.72</v>
      </c>
      <c r="O1420" s="211">
        <f t="shared" si="246"/>
        <v>2569441</v>
      </c>
      <c r="P1420" s="211">
        <f t="shared" si="246"/>
        <v>0</v>
      </c>
      <c r="Q1420" s="211">
        <f t="shared" si="246"/>
        <v>0</v>
      </c>
      <c r="R1420" s="211">
        <f t="shared" si="246"/>
        <v>0</v>
      </c>
      <c r="S1420" s="211">
        <f t="shared" si="246"/>
        <v>0</v>
      </c>
      <c r="T1420" s="211">
        <f t="shared" si="246"/>
        <v>0</v>
      </c>
      <c r="U1420" s="211">
        <f t="shared" si="246"/>
        <v>0</v>
      </c>
      <c r="V1420" s="282"/>
      <c r="W1420" s="282"/>
      <c r="X1420" s="282"/>
      <c r="Y1420" s="10"/>
      <c r="Z1420" s="10"/>
      <c r="AA1420" s="10"/>
      <c r="AB1420" s="10"/>
    </row>
    <row r="1421" spans="1:28">
      <c r="A1421" s="470">
        <v>332</v>
      </c>
      <c r="B1421" s="523" t="s">
        <v>477</v>
      </c>
      <c r="C1421" s="479">
        <v>2569441</v>
      </c>
      <c r="D1421" s="479">
        <v>0</v>
      </c>
      <c r="E1421" s="479">
        <v>0</v>
      </c>
      <c r="F1421" s="479">
        <v>0</v>
      </c>
      <c r="G1421" s="479">
        <v>0</v>
      </c>
      <c r="H1421" s="479">
        <v>0</v>
      </c>
      <c r="I1421" s="479">
        <v>0</v>
      </c>
      <c r="J1421" s="479">
        <v>0</v>
      </c>
      <c r="K1421" s="479">
        <v>0</v>
      </c>
      <c r="L1421" s="515">
        <v>0</v>
      </c>
      <c r="M1421" s="479">
        <v>0</v>
      </c>
      <c r="N1421" s="472">
        <v>802.72</v>
      </c>
      <c r="O1421" s="479">
        <v>2569441</v>
      </c>
      <c r="P1421" s="516">
        <v>0</v>
      </c>
      <c r="Q1421" s="479">
        <v>0</v>
      </c>
      <c r="R1421" s="516">
        <v>0</v>
      </c>
      <c r="S1421" s="479">
        <v>0</v>
      </c>
      <c r="T1421" s="515">
        <v>0</v>
      </c>
      <c r="U1421" s="517">
        <v>0</v>
      </c>
      <c r="V1421" s="282"/>
      <c r="W1421" s="282">
        <f>O1421/N1421</f>
        <v>3200.9181283635639</v>
      </c>
      <c r="X1421" s="282"/>
    </row>
    <row r="1422" spans="1:28">
      <c r="A1422" s="470"/>
      <c r="B1422" s="480"/>
      <c r="C1422" s="479"/>
      <c r="D1422" s="479"/>
      <c r="E1422" s="479"/>
      <c r="F1422" s="479"/>
      <c r="G1422" s="479"/>
      <c r="H1422" s="479"/>
      <c r="I1422" s="479"/>
      <c r="J1422" s="479"/>
      <c r="K1422" s="479"/>
      <c r="L1422" s="515"/>
      <c r="M1422" s="479"/>
      <c r="N1422" s="479"/>
      <c r="O1422" s="479"/>
      <c r="P1422" s="516"/>
      <c r="Q1422" s="479"/>
      <c r="R1422" s="516"/>
      <c r="S1422" s="479"/>
      <c r="T1422" s="515"/>
      <c r="U1422" s="517"/>
      <c r="V1422" s="282"/>
      <c r="W1422" s="282"/>
      <c r="X1422" s="282"/>
    </row>
    <row r="1423" spans="1:28" ht="30">
      <c r="A1423" s="470"/>
      <c r="B1423" s="480" t="s">
        <v>128</v>
      </c>
      <c r="C1423" s="479">
        <f>C1424+C1425+C1426</f>
        <v>9681670</v>
      </c>
      <c r="D1423" s="479">
        <f t="shared" ref="D1423:U1423" si="247">D1424+D1425+D1426</f>
        <v>0</v>
      </c>
      <c r="E1423" s="479">
        <f t="shared" si="247"/>
        <v>0</v>
      </c>
      <c r="F1423" s="479">
        <f t="shared" si="247"/>
        <v>0</v>
      </c>
      <c r="G1423" s="479">
        <f t="shared" si="247"/>
        <v>0</v>
      </c>
      <c r="H1423" s="479">
        <f t="shared" si="247"/>
        <v>0</v>
      </c>
      <c r="I1423" s="479">
        <f t="shared" si="247"/>
        <v>0</v>
      </c>
      <c r="J1423" s="479">
        <f t="shared" si="247"/>
        <v>0</v>
      </c>
      <c r="K1423" s="479">
        <f t="shared" si="247"/>
        <v>0</v>
      </c>
      <c r="L1423" s="479">
        <f t="shared" si="247"/>
        <v>0</v>
      </c>
      <c r="M1423" s="479">
        <f t="shared" si="247"/>
        <v>0</v>
      </c>
      <c r="N1423" s="479">
        <f t="shared" si="247"/>
        <v>3875.7</v>
      </c>
      <c r="O1423" s="479">
        <f t="shared" si="247"/>
        <v>9681670</v>
      </c>
      <c r="P1423" s="479">
        <f t="shared" si="247"/>
        <v>0</v>
      </c>
      <c r="Q1423" s="479">
        <f t="shared" si="247"/>
        <v>0</v>
      </c>
      <c r="R1423" s="479">
        <f t="shared" si="247"/>
        <v>0</v>
      </c>
      <c r="S1423" s="479">
        <f t="shared" si="247"/>
        <v>0</v>
      </c>
      <c r="T1423" s="479">
        <f t="shared" si="247"/>
        <v>0</v>
      </c>
      <c r="U1423" s="479">
        <f t="shared" si="247"/>
        <v>0</v>
      </c>
      <c r="V1423" s="282"/>
      <c r="W1423" s="282"/>
      <c r="X1423" s="282"/>
    </row>
    <row r="1424" spans="1:28" s="59" customFormat="1" ht="22.9" customHeight="1">
      <c r="A1424" s="470">
        <v>334</v>
      </c>
      <c r="B1424" s="520" t="s">
        <v>729</v>
      </c>
      <c r="C1424" s="521">
        <f>'часть 1'!L1452</f>
        <v>2026223</v>
      </c>
      <c r="D1424" s="521">
        <v>0</v>
      </c>
      <c r="E1424" s="521">
        <v>0</v>
      </c>
      <c r="F1424" s="521">
        <v>0</v>
      </c>
      <c r="G1424" s="521">
        <v>0</v>
      </c>
      <c r="H1424" s="521">
        <v>0</v>
      </c>
      <c r="I1424" s="521">
        <v>0</v>
      </c>
      <c r="J1424" s="521">
        <v>0</v>
      </c>
      <c r="K1424" s="521">
        <v>0</v>
      </c>
      <c r="L1424" s="522">
        <v>0</v>
      </c>
      <c r="M1424" s="521">
        <v>0</v>
      </c>
      <c r="N1424" s="472">
        <v>807.7</v>
      </c>
      <c r="O1424" s="521">
        <v>2026223</v>
      </c>
      <c r="P1424" s="522">
        <v>0</v>
      </c>
      <c r="Q1424" s="521">
        <v>0</v>
      </c>
      <c r="R1424" s="522">
        <v>0</v>
      </c>
      <c r="S1424" s="521">
        <v>0</v>
      </c>
      <c r="T1424" s="642">
        <v>0</v>
      </c>
      <c r="U1424" s="643">
        <v>0</v>
      </c>
      <c r="V1424" s="282"/>
      <c r="W1424" s="282">
        <f>O1424/N1424</f>
        <v>2508.6331558747056</v>
      </c>
      <c r="X1424" s="282"/>
    </row>
    <row r="1425" spans="1:24" s="59" customFormat="1" ht="31.15" customHeight="1">
      <c r="A1425" s="470">
        <v>335</v>
      </c>
      <c r="B1425" s="520" t="s">
        <v>730</v>
      </c>
      <c r="C1425" s="521">
        <f>'часть 1'!L1453</f>
        <v>4351244</v>
      </c>
      <c r="D1425" s="521">
        <v>0</v>
      </c>
      <c r="E1425" s="521">
        <v>0</v>
      </c>
      <c r="F1425" s="521">
        <v>0</v>
      </c>
      <c r="G1425" s="521">
        <v>0</v>
      </c>
      <c r="H1425" s="521">
        <v>0</v>
      </c>
      <c r="I1425" s="521">
        <v>0</v>
      </c>
      <c r="J1425" s="521">
        <v>0</v>
      </c>
      <c r="K1425" s="521">
        <v>0</v>
      </c>
      <c r="L1425" s="522">
        <v>0</v>
      </c>
      <c r="M1425" s="521">
        <v>0</v>
      </c>
      <c r="N1425" s="472">
        <v>1745</v>
      </c>
      <c r="O1425" s="521">
        <v>4351244</v>
      </c>
      <c r="P1425" s="522">
        <v>0</v>
      </c>
      <c r="Q1425" s="521">
        <v>0</v>
      </c>
      <c r="R1425" s="522">
        <v>0</v>
      </c>
      <c r="S1425" s="521">
        <v>0</v>
      </c>
      <c r="T1425" s="642">
        <v>0</v>
      </c>
      <c r="U1425" s="643">
        <v>0</v>
      </c>
      <c r="V1425" s="282"/>
      <c r="W1425" s="282">
        <f t="shared" ref="W1425:W1426" si="248">O1425/N1425</f>
        <v>2493.5495702005733</v>
      </c>
      <c r="X1425" s="282"/>
    </row>
    <row r="1426" spans="1:24" s="59" customFormat="1" ht="21.6" customHeight="1">
      <c r="A1426" s="470">
        <v>336</v>
      </c>
      <c r="B1426" s="520" t="s">
        <v>731</v>
      </c>
      <c r="C1426" s="521">
        <f>'часть 1'!L1454</f>
        <v>3304203</v>
      </c>
      <c r="D1426" s="521">
        <v>0</v>
      </c>
      <c r="E1426" s="521">
        <v>0</v>
      </c>
      <c r="F1426" s="521">
        <v>0</v>
      </c>
      <c r="G1426" s="521">
        <v>0</v>
      </c>
      <c r="H1426" s="521">
        <v>0</v>
      </c>
      <c r="I1426" s="521">
        <v>0</v>
      </c>
      <c r="J1426" s="521">
        <v>0</v>
      </c>
      <c r="K1426" s="521">
        <v>0</v>
      </c>
      <c r="L1426" s="522">
        <v>0</v>
      </c>
      <c r="M1426" s="521">
        <v>0</v>
      </c>
      <c r="N1426" s="472">
        <v>1323</v>
      </c>
      <c r="O1426" s="521">
        <v>3304203</v>
      </c>
      <c r="P1426" s="522">
        <v>0</v>
      </c>
      <c r="Q1426" s="521">
        <v>0</v>
      </c>
      <c r="R1426" s="522">
        <v>0</v>
      </c>
      <c r="S1426" s="521">
        <v>0</v>
      </c>
      <c r="T1426" s="642">
        <v>0</v>
      </c>
      <c r="U1426" s="643">
        <v>0</v>
      </c>
      <c r="V1426" s="282"/>
      <c r="W1426" s="282">
        <f t="shared" si="248"/>
        <v>2497.5079365079364</v>
      </c>
      <c r="X1426" s="282"/>
    </row>
    <row r="1427" spans="1:24" s="59" customFormat="1">
      <c r="A1427" s="470"/>
      <c r="B1427" s="520"/>
      <c r="C1427" s="521"/>
      <c r="D1427" s="521"/>
      <c r="E1427" s="521"/>
      <c r="F1427" s="521"/>
      <c r="G1427" s="521"/>
      <c r="H1427" s="521"/>
      <c r="I1427" s="521"/>
      <c r="J1427" s="521"/>
      <c r="K1427" s="521"/>
      <c r="L1427" s="522"/>
      <c r="M1427" s="521"/>
      <c r="N1427" s="472"/>
      <c r="O1427" s="521"/>
      <c r="P1427" s="522"/>
      <c r="Q1427" s="521"/>
      <c r="R1427" s="522"/>
      <c r="S1427" s="521"/>
      <c r="T1427" s="642"/>
      <c r="U1427" s="643"/>
      <c r="V1427" s="282"/>
      <c r="W1427" s="282"/>
      <c r="X1427" s="282"/>
    </row>
    <row r="1428" spans="1:24" s="59" customFormat="1">
      <c r="A1428" s="470"/>
      <c r="B1428" s="520"/>
      <c r="C1428" s="521"/>
      <c r="D1428" s="521"/>
      <c r="E1428" s="521"/>
      <c r="F1428" s="521"/>
      <c r="G1428" s="521"/>
      <c r="H1428" s="521"/>
      <c r="I1428" s="521"/>
      <c r="J1428" s="521"/>
      <c r="K1428" s="521"/>
      <c r="L1428" s="522"/>
      <c r="M1428" s="521"/>
      <c r="N1428" s="472"/>
      <c r="O1428" s="521"/>
      <c r="P1428" s="522"/>
      <c r="Q1428" s="521"/>
      <c r="R1428" s="522"/>
      <c r="S1428" s="521"/>
      <c r="T1428" s="642"/>
      <c r="U1428" s="643"/>
      <c r="V1428" s="282"/>
      <c r="W1428" s="282"/>
      <c r="X1428" s="282"/>
    </row>
    <row r="1429" spans="1:24" s="59" customFormat="1">
      <c r="A1429" s="470"/>
      <c r="B1429" s="520"/>
      <c r="C1429" s="521"/>
      <c r="D1429" s="521"/>
      <c r="E1429" s="521"/>
      <c r="F1429" s="521"/>
      <c r="G1429" s="521"/>
      <c r="H1429" s="521"/>
      <c r="I1429" s="521"/>
      <c r="J1429" s="521"/>
      <c r="K1429" s="521"/>
      <c r="L1429" s="522"/>
      <c r="M1429" s="521"/>
      <c r="N1429" s="472"/>
      <c r="O1429" s="521"/>
      <c r="P1429" s="522"/>
      <c r="Q1429" s="521"/>
      <c r="R1429" s="522"/>
      <c r="S1429" s="521"/>
      <c r="T1429" s="642"/>
      <c r="U1429" s="643"/>
      <c r="V1429" s="282"/>
      <c r="W1429" s="282"/>
      <c r="X1429" s="282"/>
    </row>
    <row r="1430" spans="1:24" ht="30">
      <c r="A1430" s="198"/>
      <c r="B1430" s="214" t="s">
        <v>994</v>
      </c>
      <c r="C1430" s="211">
        <f>'часть 1'!L1458</f>
        <v>0</v>
      </c>
      <c r="D1430" s="211">
        <v>0</v>
      </c>
      <c r="E1430" s="211">
        <v>0</v>
      </c>
      <c r="F1430" s="211">
        <v>0</v>
      </c>
      <c r="G1430" s="211">
        <v>0</v>
      </c>
      <c r="H1430" s="211">
        <v>0</v>
      </c>
      <c r="I1430" s="211">
        <v>0</v>
      </c>
      <c r="J1430" s="211">
        <v>0</v>
      </c>
      <c r="K1430" s="211">
        <v>0</v>
      </c>
      <c r="L1430" s="212">
        <v>0</v>
      </c>
      <c r="M1430" s="211">
        <v>0</v>
      </c>
      <c r="N1430" s="211">
        <v>0</v>
      </c>
      <c r="O1430" s="211">
        <v>0</v>
      </c>
      <c r="P1430" s="213">
        <v>0</v>
      </c>
      <c r="Q1430" s="211">
        <v>0</v>
      </c>
      <c r="R1430" s="211">
        <v>0</v>
      </c>
      <c r="S1430" s="211">
        <v>0</v>
      </c>
      <c r="T1430" s="212">
        <v>0</v>
      </c>
      <c r="U1430" s="290">
        <v>0</v>
      </c>
      <c r="V1430" s="282"/>
      <c r="W1430" s="282"/>
      <c r="X1430" s="282"/>
    </row>
    <row r="1431" spans="1:24" ht="30">
      <c r="A1431" s="198"/>
      <c r="B1431" s="214" t="s">
        <v>111</v>
      </c>
      <c r="C1431" s="211">
        <v>657835.92000000004</v>
      </c>
      <c r="D1431" s="211"/>
      <c r="E1431" s="211"/>
      <c r="F1431" s="211"/>
      <c r="G1431" s="211"/>
      <c r="H1431" s="211"/>
      <c r="I1431" s="211"/>
      <c r="J1431" s="211"/>
      <c r="K1431" s="211">
        <v>0</v>
      </c>
      <c r="L1431" s="213">
        <v>0</v>
      </c>
      <c r="M1431" s="211">
        <v>0</v>
      </c>
      <c r="N1431" s="211">
        <f>N1432</f>
        <v>396</v>
      </c>
      <c r="O1431" s="211">
        <v>657835.92000000004</v>
      </c>
      <c r="P1431" s="213">
        <v>0</v>
      </c>
      <c r="Q1431" s="240">
        <v>0</v>
      </c>
      <c r="R1431" s="213">
        <v>0</v>
      </c>
      <c r="S1431" s="240">
        <v>0</v>
      </c>
      <c r="T1431" s="212">
        <v>0</v>
      </c>
      <c r="U1431" s="293">
        <v>0</v>
      </c>
      <c r="V1431" s="282"/>
      <c r="W1431" s="282"/>
      <c r="X1431" s="282"/>
    </row>
    <row r="1432" spans="1:24" ht="30">
      <c r="A1432" s="198">
        <v>341</v>
      </c>
      <c r="B1432" s="214" t="s">
        <v>453</v>
      </c>
      <c r="C1432" s="211">
        <v>657835.92000000004</v>
      </c>
      <c r="D1432" s="211"/>
      <c r="E1432" s="211"/>
      <c r="F1432" s="211"/>
      <c r="G1432" s="211"/>
      <c r="H1432" s="211"/>
      <c r="I1432" s="211"/>
      <c r="J1432" s="211"/>
      <c r="K1432" s="211">
        <v>0</v>
      </c>
      <c r="L1432" s="212">
        <v>0</v>
      </c>
      <c r="M1432" s="211">
        <v>0</v>
      </c>
      <c r="N1432" s="199">
        <v>396</v>
      </c>
      <c r="O1432" s="211">
        <v>657835.92000000004</v>
      </c>
      <c r="P1432" s="213">
        <v>0</v>
      </c>
      <c r="Q1432" s="211">
        <v>0</v>
      </c>
      <c r="R1432" s="213">
        <v>0</v>
      </c>
      <c r="S1432" s="211">
        <v>0</v>
      </c>
      <c r="T1432" s="212">
        <v>0</v>
      </c>
      <c r="U1432" s="290">
        <v>0</v>
      </c>
      <c r="V1432" s="282"/>
      <c r="W1432" s="282"/>
      <c r="X1432" s="282"/>
    </row>
    <row r="1433" spans="1:24" ht="30">
      <c r="A1433" s="470"/>
      <c r="B1433" s="480" t="s">
        <v>129</v>
      </c>
      <c r="C1433" s="479">
        <f>C1434</f>
        <v>1586955</v>
      </c>
      <c r="D1433" s="479">
        <f t="shared" ref="D1433:U1433" si="249">D1434</f>
        <v>0</v>
      </c>
      <c r="E1433" s="479">
        <f t="shared" si="249"/>
        <v>0</v>
      </c>
      <c r="F1433" s="479">
        <f t="shared" si="249"/>
        <v>0</v>
      </c>
      <c r="G1433" s="479">
        <f t="shared" si="249"/>
        <v>0</v>
      </c>
      <c r="H1433" s="479">
        <f t="shared" si="249"/>
        <v>0</v>
      </c>
      <c r="I1433" s="479">
        <f t="shared" si="249"/>
        <v>0</v>
      </c>
      <c r="J1433" s="479">
        <f t="shared" si="249"/>
        <v>0</v>
      </c>
      <c r="K1433" s="479">
        <f t="shared" si="249"/>
        <v>0</v>
      </c>
      <c r="L1433" s="479">
        <f t="shared" si="249"/>
        <v>0</v>
      </c>
      <c r="M1433" s="479">
        <f t="shared" si="249"/>
        <v>0</v>
      </c>
      <c r="N1433" s="479">
        <f t="shared" si="249"/>
        <v>491.7</v>
      </c>
      <c r="O1433" s="479">
        <f t="shared" si="249"/>
        <v>1586955</v>
      </c>
      <c r="P1433" s="479">
        <f t="shared" si="249"/>
        <v>0</v>
      </c>
      <c r="Q1433" s="479">
        <f t="shared" si="249"/>
        <v>0</v>
      </c>
      <c r="R1433" s="479">
        <f t="shared" si="249"/>
        <v>0</v>
      </c>
      <c r="S1433" s="479">
        <f t="shared" si="249"/>
        <v>0</v>
      </c>
      <c r="T1433" s="479">
        <f t="shared" si="249"/>
        <v>0</v>
      </c>
      <c r="U1433" s="479">
        <f t="shared" si="249"/>
        <v>0</v>
      </c>
      <c r="V1433" s="282"/>
      <c r="W1433" s="282"/>
      <c r="X1433" s="282"/>
    </row>
    <row r="1434" spans="1:24" s="60" customFormat="1" ht="30">
      <c r="A1434" s="470">
        <v>342</v>
      </c>
      <c r="B1434" s="511" t="s">
        <v>684</v>
      </c>
      <c r="C1434" s="512">
        <v>1586955</v>
      </c>
      <c r="D1434" s="512">
        <v>0</v>
      </c>
      <c r="E1434" s="512">
        <v>0</v>
      </c>
      <c r="F1434" s="512">
        <v>0</v>
      </c>
      <c r="G1434" s="512">
        <v>0</v>
      </c>
      <c r="H1434" s="512">
        <v>0</v>
      </c>
      <c r="I1434" s="512">
        <v>0</v>
      </c>
      <c r="J1434" s="512">
        <v>0</v>
      </c>
      <c r="K1434" s="479">
        <v>0</v>
      </c>
      <c r="L1434" s="476">
        <v>0</v>
      </c>
      <c r="M1434" s="479">
        <v>0</v>
      </c>
      <c r="N1434" s="472">
        <v>491.7</v>
      </c>
      <c r="O1434" s="512">
        <v>1586955</v>
      </c>
      <c r="P1434" s="571">
        <v>0</v>
      </c>
      <c r="Q1434" s="479">
        <v>0</v>
      </c>
      <c r="R1434" s="571">
        <v>0</v>
      </c>
      <c r="S1434" s="479">
        <v>0</v>
      </c>
      <c r="T1434" s="476">
        <v>0</v>
      </c>
      <c r="U1434" s="517">
        <v>0</v>
      </c>
      <c r="V1434" s="282"/>
      <c r="W1434" s="282">
        <f>O1434/N1434</f>
        <v>3227.4862721171448</v>
      </c>
      <c r="X1434" s="282"/>
    </row>
    <row r="1435" spans="1:24" s="60" customFormat="1">
      <c r="A1435" s="470"/>
      <c r="B1435" s="511"/>
      <c r="C1435" s="512"/>
      <c r="D1435" s="512"/>
      <c r="E1435" s="512"/>
      <c r="F1435" s="512"/>
      <c r="G1435" s="512"/>
      <c r="H1435" s="512"/>
      <c r="I1435" s="512"/>
      <c r="J1435" s="512"/>
      <c r="K1435" s="479"/>
      <c r="L1435" s="476"/>
      <c r="M1435" s="479"/>
      <c r="N1435" s="472"/>
      <c r="O1435" s="512"/>
      <c r="P1435" s="571"/>
      <c r="Q1435" s="479"/>
      <c r="R1435" s="571"/>
      <c r="S1435" s="479"/>
      <c r="T1435" s="476"/>
      <c r="U1435" s="517"/>
      <c r="V1435" s="282"/>
      <c r="W1435" s="282"/>
      <c r="X1435" s="282"/>
    </row>
    <row r="1436" spans="1:24" s="60" customFormat="1">
      <c r="A1436" s="470"/>
      <c r="B1436" s="511"/>
      <c r="C1436" s="512"/>
      <c r="D1436" s="512"/>
      <c r="E1436" s="512"/>
      <c r="F1436" s="512"/>
      <c r="G1436" s="512"/>
      <c r="H1436" s="512"/>
      <c r="I1436" s="512"/>
      <c r="J1436" s="512"/>
      <c r="K1436" s="479"/>
      <c r="L1436" s="476"/>
      <c r="M1436" s="479"/>
      <c r="N1436" s="472"/>
      <c r="O1436" s="512"/>
      <c r="P1436" s="571"/>
      <c r="Q1436" s="479"/>
      <c r="R1436" s="571"/>
      <c r="S1436" s="479"/>
      <c r="T1436" s="476"/>
      <c r="U1436" s="517"/>
      <c r="V1436" s="282"/>
      <c r="W1436" s="282"/>
      <c r="X1436" s="282"/>
    </row>
    <row r="1437" spans="1:24" s="60" customFormat="1">
      <c r="A1437" s="470"/>
      <c r="B1437" s="511"/>
      <c r="C1437" s="512"/>
      <c r="D1437" s="512"/>
      <c r="E1437" s="512"/>
      <c r="F1437" s="512"/>
      <c r="G1437" s="512"/>
      <c r="H1437" s="512"/>
      <c r="I1437" s="512"/>
      <c r="J1437" s="512"/>
      <c r="K1437" s="479"/>
      <c r="L1437" s="476"/>
      <c r="M1437" s="479"/>
      <c r="N1437" s="472"/>
      <c r="O1437" s="512"/>
      <c r="P1437" s="571"/>
      <c r="Q1437" s="479"/>
      <c r="R1437" s="479"/>
      <c r="S1437" s="479"/>
      <c r="T1437" s="476"/>
      <c r="U1437" s="517"/>
      <c r="V1437" s="282"/>
      <c r="W1437" s="282"/>
      <c r="X1437" s="282"/>
    </row>
    <row r="1438" spans="1:24">
      <c r="A1438" s="198"/>
      <c r="B1438" s="216" t="s">
        <v>54</v>
      </c>
      <c r="C1438" s="211">
        <v>2222747</v>
      </c>
      <c r="D1438" s="211"/>
      <c r="E1438" s="211"/>
      <c r="F1438" s="211"/>
      <c r="G1438" s="211"/>
      <c r="H1438" s="211"/>
      <c r="I1438" s="211"/>
      <c r="J1438" s="211"/>
      <c r="K1438" s="211">
        <v>0</v>
      </c>
      <c r="L1438" s="212">
        <v>0</v>
      </c>
      <c r="M1438" s="211">
        <v>0</v>
      </c>
      <c r="N1438" s="211">
        <v>1115</v>
      </c>
      <c r="O1438" s="211">
        <v>2222747</v>
      </c>
      <c r="P1438" s="213">
        <v>0</v>
      </c>
      <c r="Q1438" s="211">
        <v>0</v>
      </c>
      <c r="R1438" s="213">
        <v>0</v>
      </c>
      <c r="S1438" s="211">
        <v>0</v>
      </c>
      <c r="T1438" s="212">
        <v>0</v>
      </c>
      <c r="U1438" s="290">
        <v>0</v>
      </c>
      <c r="V1438" s="282"/>
      <c r="W1438" s="282"/>
      <c r="X1438" s="282"/>
    </row>
    <row r="1439" spans="1:24" ht="30">
      <c r="A1439" s="198"/>
      <c r="B1439" s="214" t="s">
        <v>112</v>
      </c>
      <c r="C1439" s="211">
        <v>2222747</v>
      </c>
      <c r="D1439" s="211"/>
      <c r="E1439" s="211"/>
      <c r="F1439" s="211"/>
      <c r="G1439" s="211"/>
      <c r="H1439" s="211"/>
      <c r="I1439" s="211"/>
      <c r="J1439" s="211"/>
      <c r="K1439" s="211">
        <v>0</v>
      </c>
      <c r="L1439" s="212">
        <v>0</v>
      </c>
      <c r="M1439" s="211">
        <v>0</v>
      </c>
      <c r="N1439" s="211">
        <v>1115</v>
      </c>
      <c r="O1439" s="211">
        <v>2222747</v>
      </c>
      <c r="P1439" s="213">
        <v>0</v>
      </c>
      <c r="Q1439" s="211">
        <v>0</v>
      </c>
      <c r="R1439" s="213">
        <v>0</v>
      </c>
      <c r="S1439" s="211">
        <v>0</v>
      </c>
      <c r="T1439" s="212">
        <v>0</v>
      </c>
      <c r="U1439" s="290">
        <v>0</v>
      </c>
      <c r="V1439" s="282"/>
      <c r="W1439" s="282"/>
      <c r="X1439" s="282"/>
    </row>
    <row r="1440" spans="1:24">
      <c r="A1440" s="198">
        <v>346</v>
      </c>
      <c r="B1440" s="216" t="s">
        <v>422</v>
      </c>
      <c r="C1440" s="211">
        <v>1003542</v>
      </c>
      <c r="D1440" s="211"/>
      <c r="E1440" s="211"/>
      <c r="F1440" s="211"/>
      <c r="G1440" s="211"/>
      <c r="H1440" s="211"/>
      <c r="I1440" s="211"/>
      <c r="J1440" s="211"/>
      <c r="K1440" s="211">
        <v>0</v>
      </c>
      <c r="L1440" s="212">
        <v>0</v>
      </c>
      <c r="M1440" s="211">
        <v>0</v>
      </c>
      <c r="N1440" s="199">
        <v>510</v>
      </c>
      <c r="O1440" s="211">
        <v>1003542</v>
      </c>
      <c r="P1440" s="213">
        <v>0</v>
      </c>
      <c r="Q1440" s="211">
        <v>0</v>
      </c>
      <c r="R1440" s="213">
        <v>0</v>
      </c>
      <c r="S1440" s="211">
        <v>0</v>
      </c>
      <c r="T1440" s="212">
        <v>0</v>
      </c>
      <c r="U1440" s="290">
        <v>0</v>
      </c>
      <c r="V1440" s="282"/>
      <c r="W1440" s="282"/>
      <c r="X1440" s="282"/>
    </row>
    <row r="1441" spans="1:53">
      <c r="A1441" s="198">
        <v>347</v>
      </c>
      <c r="B1441" s="216" t="s">
        <v>421</v>
      </c>
      <c r="C1441" s="211">
        <v>740146</v>
      </c>
      <c r="D1441" s="211"/>
      <c r="E1441" s="211"/>
      <c r="F1441" s="211"/>
      <c r="G1441" s="211"/>
      <c r="H1441" s="211"/>
      <c r="I1441" s="211"/>
      <c r="J1441" s="211"/>
      <c r="K1441" s="211">
        <v>0</v>
      </c>
      <c r="L1441" s="212">
        <v>0</v>
      </c>
      <c r="M1441" s="211">
        <v>0</v>
      </c>
      <c r="N1441" s="199">
        <v>373</v>
      </c>
      <c r="O1441" s="211">
        <v>740146</v>
      </c>
      <c r="P1441" s="213">
        <v>0</v>
      </c>
      <c r="Q1441" s="211">
        <v>0</v>
      </c>
      <c r="R1441" s="213">
        <v>0</v>
      </c>
      <c r="S1441" s="211">
        <v>0</v>
      </c>
      <c r="T1441" s="212">
        <v>0</v>
      </c>
      <c r="U1441" s="290">
        <v>0</v>
      </c>
      <c r="V1441" s="282"/>
      <c r="W1441" s="282"/>
      <c r="X1441" s="282"/>
    </row>
    <row r="1442" spans="1:53">
      <c r="A1442" s="198">
        <v>348</v>
      </c>
      <c r="B1442" s="216" t="s">
        <v>423</v>
      </c>
      <c r="C1442" s="211">
        <v>479059</v>
      </c>
      <c r="D1442" s="211"/>
      <c r="E1442" s="211"/>
      <c r="F1442" s="211"/>
      <c r="G1442" s="211"/>
      <c r="H1442" s="211"/>
      <c r="I1442" s="211"/>
      <c r="J1442" s="211"/>
      <c r="K1442" s="211">
        <v>0</v>
      </c>
      <c r="L1442" s="212">
        <v>0</v>
      </c>
      <c r="M1442" s="211">
        <v>0</v>
      </c>
      <c r="N1442" s="211">
        <v>232</v>
      </c>
      <c r="O1442" s="211">
        <v>479059</v>
      </c>
      <c r="P1442" s="213">
        <v>0</v>
      </c>
      <c r="Q1442" s="211">
        <v>0</v>
      </c>
      <c r="R1442" s="213">
        <v>0</v>
      </c>
      <c r="S1442" s="211">
        <v>0</v>
      </c>
      <c r="T1442" s="212">
        <v>0</v>
      </c>
      <c r="U1442" s="290">
        <v>0</v>
      </c>
      <c r="V1442" s="282"/>
      <c r="W1442" s="282"/>
      <c r="X1442" s="282"/>
    </row>
    <row r="1443" spans="1:53">
      <c r="A1443" s="198"/>
      <c r="B1443" s="216" t="s">
        <v>55</v>
      </c>
      <c r="C1443" s="211">
        <f>C1444</f>
        <v>2451868</v>
      </c>
      <c r="D1443" s="211">
        <f t="shared" ref="D1443:U1444" si="250">D1444</f>
        <v>0</v>
      </c>
      <c r="E1443" s="211">
        <f t="shared" si="250"/>
        <v>0</v>
      </c>
      <c r="F1443" s="211">
        <f t="shared" si="250"/>
        <v>0</v>
      </c>
      <c r="G1443" s="211">
        <f t="shared" si="250"/>
        <v>0</v>
      </c>
      <c r="H1443" s="211">
        <f t="shared" si="250"/>
        <v>0</v>
      </c>
      <c r="I1443" s="211">
        <f t="shared" si="250"/>
        <v>0</v>
      </c>
      <c r="J1443" s="211">
        <f t="shared" si="250"/>
        <v>0</v>
      </c>
      <c r="K1443" s="211">
        <f t="shared" si="250"/>
        <v>0</v>
      </c>
      <c r="L1443" s="211">
        <f t="shared" si="250"/>
        <v>0</v>
      </c>
      <c r="M1443" s="211">
        <f t="shared" si="250"/>
        <v>0</v>
      </c>
      <c r="N1443" s="211">
        <f t="shared" si="250"/>
        <v>771</v>
      </c>
      <c r="O1443" s="211">
        <f t="shared" si="250"/>
        <v>2451868</v>
      </c>
      <c r="P1443" s="211">
        <f t="shared" si="250"/>
        <v>0</v>
      </c>
      <c r="Q1443" s="211">
        <f t="shared" si="250"/>
        <v>0</v>
      </c>
      <c r="R1443" s="211">
        <f t="shared" si="250"/>
        <v>0</v>
      </c>
      <c r="S1443" s="211">
        <f t="shared" si="250"/>
        <v>0</v>
      </c>
      <c r="T1443" s="211">
        <f t="shared" si="250"/>
        <v>0</v>
      </c>
      <c r="U1443" s="211">
        <f t="shared" si="250"/>
        <v>0</v>
      </c>
      <c r="V1443" s="282"/>
      <c r="W1443" s="282"/>
      <c r="X1443" s="282"/>
    </row>
    <row r="1444" spans="1:53" ht="30">
      <c r="A1444" s="198"/>
      <c r="B1444" s="214" t="s">
        <v>122</v>
      </c>
      <c r="C1444" s="211">
        <f>C1445</f>
        <v>2451868</v>
      </c>
      <c r="D1444" s="211">
        <f t="shared" si="250"/>
        <v>0</v>
      </c>
      <c r="E1444" s="211">
        <f t="shared" si="250"/>
        <v>0</v>
      </c>
      <c r="F1444" s="211">
        <f t="shared" si="250"/>
        <v>0</v>
      </c>
      <c r="G1444" s="211">
        <f t="shared" si="250"/>
        <v>0</v>
      </c>
      <c r="H1444" s="211">
        <f t="shared" si="250"/>
        <v>0</v>
      </c>
      <c r="I1444" s="211">
        <f t="shared" si="250"/>
        <v>0</v>
      </c>
      <c r="J1444" s="211">
        <f t="shared" si="250"/>
        <v>0</v>
      </c>
      <c r="K1444" s="211">
        <f t="shared" si="250"/>
        <v>0</v>
      </c>
      <c r="L1444" s="211">
        <f t="shared" si="250"/>
        <v>0</v>
      </c>
      <c r="M1444" s="211">
        <f t="shared" si="250"/>
        <v>0</v>
      </c>
      <c r="N1444" s="211">
        <f t="shared" si="250"/>
        <v>771</v>
      </c>
      <c r="O1444" s="211">
        <f t="shared" si="250"/>
        <v>2451868</v>
      </c>
      <c r="P1444" s="211">
        <f t="shared" si="250"/>
        <v>0</v>
      </c>
      <c r="Q1444" s="211">
        <f t="shared" si="250"/>
        <v>0</v>
      </c>
      <c r="R1444" s="211">
        <f t="shared" si="250"/>
        <v>0</v>
      </c>
      <c r="S1444" s="211">
        <f t="shared" si="250"/>
        <v>0</v>
      </c>
      <c r="T1444" s="211">
        <f t="shared" si="250"/>
        <v>0</v>
      </c>
      <c r="U1444" s="211">
        <f t="shared" si="250"/>
        <v>0</v>
      </c>
      <c r="V1444" s="211">
        <f t="shared" ref="V1444" si="251">V1445</f>
        <v>0</v>
      </c>
      <c r="W1444" s="282"/>
      <c r="X1444" s="282"/>
    </row>
    <row r="1445" spans="1:53" s="28" customFormat="1">
      <c r="A1445" s="470">
        <v>349</v>
      </c>
      <c r="B1445" s="480" t="s">
        <v>390</v>
      </c>
      <c r="C1445" s="558">
        <v>2451868</v>
      </c>
      <c r="D1445" s="558">
        <v>0</v>
      </c>
      <c r="E1445" s="558">
        <v>0</v>
      </c>
      <c r="F1445" s="558">
        <v>0</v>
      </c>
      <c r="G1445" s="558">
        <v>0</v>
      </c>
      <c r="H1445" s="558">
        <v>0</v>
      </c>
      <c r="I1445" s="558">
        <v>0</v>
      </c>
      <c r="J1445" s="558">
        <v>0</v>
      </c>
      <c r="K1445" s="512">
        <v>0</v>
      </c>
      <c r="L1445" s="515">
        <v>0</v>
      </c>
      <c r="M1445" s="479">
        <v>0</v>
      </c>
      <c r="N1445" s="472">
        <v>771</v>
      </c>
      <c r="O1445" s="512">
        <v>2451868</v>
      </c>
      <c r="P1445" s="516">
        <v>0</v>
      </c>
      <c r="Q1445" s="479">
        <v>0</v>
      </c>
      <c r="R1445" s="479">
        <v>0</v>
      </c>
      <c r="S1445" s="479">
        <v>0</v>
      </c>
      <c r="T1445" s="515">
        <v>0</v>
      </c>
      <c r="U1445" s="517">
        <v>0</v>
      </c>
      <c r="V1445" s="282"/>
      <c r="W1445" s="282">
        <f>O1445/N1445</f>
        <v>3180.1141374837871</v>
      </c>
      <c r="X1445" s="282"/>
    </row>
    <row r="1446" spans="1:53">
      <c r="A1446" s="470"/>
      <c r="B1446" s="480"/>
      <c r="C1446" s="512"/>
      <c r="D1446" s="512"/>
      <c r="E1446" s="512"/>
      <c r="F1446" s="512"/>
      <c r="G1446" s="512"/>
      <c r="H1446" s="512"/>
      <c r="I1446" s="512"/>
      <c r="J1446" s="512"/>
      <c r="K1446" s="512"/>
      <c r="L1446" s="515"/>
      <c r="M1446" s="479"/>
      <c r="N1446" s="479"/>
      <c r="O1446" s="479"/>
      <c r="P1446" s="516"/>
      <c r="Q1446" s="479"/>
      <c r="R1446" s="516"/>
      <c r="S1446" s="479"/>
      <c r="T1446" s="515"/>
      <c r="U1446" s="517"/>
      <c r="V1446" s="282"/>
      <c r="W1446" s="282"/>
      <c r="X1446" s="282"/>
    </row>
    <row r="1447" spans="1:53">
      <c r="A1447" s="470"/>
      <c r="B1447" s="480"/>
      <c r="C1447" s="512"/>
      <c r="D1447" s="512"/>
      <c r="E1447" s="512"/>
      <c r="F1447" s="512"/>
      <c r="G1447" s="512"/>
      <c r="H1447" s="512"/>
      <c r="I1447" s="512"/>
      <c r="J1447" s="512"/>
      <c r="K1447" s="512"/>
      <c r="L1447" s="515"/>
      <c r="M1447" s="479"/>
      <c r="N1447" s="472"/>
      <c r="O1447" s="512"/>
      <c r="P1447" s="516"/>
      <c r="Q1447" s="479"/>
      <c r="R1447" s="479"/>
      <c r="S1447" s="479"/>
      <c r="T1447" s="515"/>
      <c r="U1447" s="517"/>
      <c r="V1447" s="282"/>
      <c r="W1447" s="282"/>
      <c r="X1447" s="282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</row>
    <row r="1448" spans="1:53">
      <c r="A1448" s="198"/>
      <c r="B1448" s="216" t="s">
        <v>56</v>
      </c>
      <c r="C1448" s="211">
        <v>13352826.959999999</v>
      </c>
      <c r="D1448" s="211"/>
      <c r="E1448" s="211"/>
      <c r="F1448" s="211"/>
      <c r="G1448" s="211"/>
      <c r="H1448" s="211"/>
      <c r="I1448" s="211"/>
      <c r="J1448" s="211"/>
      <c r="K1448" s="211">
        <v>8292103.96</v>
      </c>
      <c r="L1448" s="212">
        <v>0</v>
      </c>
      <c r="M1448" s="211">
        <v>0</v>
      </c>
      <c r="N1448" s="211">
        <v>2564.5</v>
      </c>
      <c r="O1448" s="211">
        <v>5060723</v>
      </c>
      <c r="P1448" s="213">
        <v>0</v>
      </c>
      <c r="Q1448" s="211">
        <v>0</v>
      </c>
      <c r="R1448" s="213">
        <v>0</v>
      </c>
      <c r="S1448" s="211">
        <v>0</v>
      </c>
      <c r="T1448" s="212">
        <v>0</v>
      </c>
      <c r="U1448" s="290">
        <v>0</v>
      </c>
      <c r="V1448" s="282"/>
      <c r="W1448" s="282"/>
      <c r="X1448" s="282"/>
    </row>
    <row r="1449" spans="1:53" ht="30">
      <c r="A1449" s="470"/>
      <c r="B1449" s="480" t="s">
        <v>424</v>
      </c>
      <c r="C1449" s="479">
        <f>C1450+C1451+C1452+C1453+C1454</f>
        <v>9225003</v>
      </c>
      <c r="D1449" s="479">
        <f t="shared" ref="D1449:V1449" si="252">D1450+D1451+D1452+D1453+D1454</f>
        <v>2325223</v>
      </c>
      <c r="E1449" s="479">
        <f t="shared" si="252"/>
        <v>702811</v>
      </c>
      <c r="F1449" s="479">
        <f t="shared" si="252"/>
        <v>696395</v>
      </c>
      <c r="G1449" s="479">
        <f t="shared" si="252"/>
        <v>578792</v>
      </c>
      <c r="H1449" s="479">
        <f t="shared" si="252"/>
        <v>212717</v>
      </c>
      <c r="I1449" s="479">
        <f t="shared" si="252"/>
        <v>0</v>
      </c>
      <c r="J1449" s="479">
        <f t="shared" si="252"/>
        <v>134508</v>
      </c>
      <c r="K1449" s="479">
        <f t="shared" si="252"/>
        <v>0</v>
      </c>
      <c r="L1449" s="479">
        <f t="shared" si="252"/>
        <v>0</v>
      </c>
      <c r="M1449" s="479">
        <f t="shared" si="252"/>
        <v>0</v>
      </c>
      <c r="N1449" s="479">
        <f t="shared" si="252"/>
        <v>2418.7800000000002</v>
      </c>
      <c r="O1449" s="479">
        <f t="shared" si="252"/>
        <v>6899780</v>
      </c>
      <c r="P1449" s="479">
        <f t="shared" si="252"/>
        <v>0</v>
      </c>
      <c r="Q1449" s="479">
        <f t="shared" si="252"/>
        <v>0</v>
      </c>
      <c r="R1449" s="479">
        <f t="shared" si="252"/>
        <v>0</v>
      </c>
      <c r="S1449" s="479">
        <f t="shared" si="252"/>
        <v>0</v>
      </c>
      <c r="T1449" s="479">
        <f t="shared" si="252"/>
        <v>0</v>
      </c>
      <c r="U1449" s="479">
        <f t="shared" si="252"/>
        <v>0</v>
      </c>
      <c r="V1449" s="211">
        <f t="shared" si="252"/>
        <v>0</v>
      </c>
      <c r="W1449" s="282"/>
      <c r="X1449" s="282"/>
    </row>
    <row r="1450" spans="1:53" ht="28.15" customHeight="1">
      <c r="A1450" s="470">
        <v>352</v>
      </c>
      <c r="B1450" s="755" t="s">
        <v>715</v>
      </c>
      <c r="C1450" s="479">
        <f>'часть 1'!L1478</f>
        <v>3119960</v>
      </c>
      <c r="D1450" s="479">
        <f>E1450+F1450+G1450+H1450+I1450+J1450+K1450</f>
        <v>1646313</v>
      </c>
      <c r="E1450" s="479">
        <v>519900</v>
      </c>
      <c r="F1450" s="479">
        <v>696395</v>
      </c>
      <c r="G1450" s="479">
        <v>430018</v>
      </c>
      <c r="H1450" s="479">
        <v>0</v>
      </c>
      <c r="I1450" s="479">
        <v>0</v>
      </c>
      <c r="J1450" s="479">
        <v>0</v>
      </c>
      <c r="K1450" s="479">
        <v>0</v>
      </c>
      <c r="L1450" s="515">
        <v>0</v>
      </c>
      <c r="M1450" s="479">
        <v>0</v>
      </c>
      <c r="N1450" s="479">
        <v>591</v>
      </c>
      <c r="O1450" s="479">
        <v>1473647</v>
      </c>
      <c r="P1450" s="516">
        <v>0</v>
      </c>
      <c r="Q1450" s="479">
        <v>0</v>
      </c>
      <c r="R1450" s="516">
        <v>0</v>
      </c>
      <c r="S1450" s="479">
        <v>0</v>
      </c>
      <c r="T1450" s="515">
        <v>0</v>
      </c>
      <c r="U1450" s="517">
        <v>0</v>
      </c>
      <c r="V1450" s="282"/>
      <c r="W1450" s="282">
        <f>O1450/N1450</f>
        <v>2493.4805414551606</v>
      </c>
      <c r="X1450" s="282"/>
      <c r="Y1450" s="23">
        <f>E1450/'часть 1'!I1478</f>
        <v>757.20943780949608</v>
      </c>
      <c r="Z1450" s="1">
        <f>G1450/'часть 1'!I1478</f>
        <v>626.30061170987472</v>
      </c>
      <c r="AA1450" s="1">
        <f>F1450/'часть 1'!I1478</f>
        <v>1014.2659481503058</v>
      </c>
    </row>
    <row r="1451" spans="1:53" ht="24" customHeight="1">
      <c r="A1451" s="470">
        <v>353</v>
      </c>
      <c r="B1451" s="756" t="s">
        <v>716</v>
      </c>
      <c r="C1451" s="479">
        <f>'часть 1'!L1479</f>
        <v>2408975</v>
      </c>
      <c r="D1451" s="479">
        <f t="shared" ref="D1451:D1454" si="253">E1451+F1451+G1451+H1451+I1451+J1451+K1451</f>
        <v>0</v>
      </c>
      <c r="E1451" s="479">
        <v>0</v>
      </c>
      <c r="F1451" s="479">
        <v>0</v>
      </c>
      <c r="G1451" s="479">
        <v>0</v>
      </c>
      <c r="H1451" s="479">
        <v>0</v>
      </c>
      <c r="I1451" s="479">
        <v>0</v>
      </c>
      <c r="J1451" s="479">
        <v>0</v>
      </c>
      <c r="K1451" s="479">
        <v>0</v>
      </c>
      <c r="L1451" s="515">
        <v>0</v>
      </c>
      <c r="M1451" s="479">
        <v>0</v>
      </c>
      <c r="N1451" s="479">
        <v>757.82</v>
      </c>
      <c r="O1451" s="479">
        <v>2408975</v>
      </c>
      <c r="P1451" s="516">
        <v>0</v>
      </c>
      <c r="Q1451" s="479">
        <v>0</v>
      </c>
      <c r="R1451" s="516">
        <v>0</v>
      </c>
      <c r="S1451" s="479">
        <v>0</v>
      </c>
      <c r="T1451" s="515">
        <v>0</v>
      </c>
      <c r="U1451" s="517">
        <v>0</v>
      </c>
      <c r="V1451" s="282"/>
      <c r="W1451" s="282">
        <f>O1451/N1451</f>
        <v>3178.8221477395687</v>
      </c>
      <c r="X1451" s="282"/>
    </row>
    <row r="1452" spans="1:53" ht="22.9" customHeight="1">
      <c r="A1452" s="470">
        <v>354</v>
      </c>
      <c r="B1452" s="755" t="s">
        <v>717</v>
      </c>
      <c r="C1452" s="479">
        <f>'часть 1'!L1480</f>
        <v>678910</v>
      </c>
      <c r="D1452" s="479">
        <f t="shared" si="253"/>
        <v>678910</v>
      </c>
      <c r="E1452" s="479">
        <v>182911</v>
      </c>
      <c r="F1452" s="479">
        <v>0</v>
      </c>
      <c r="G1452" s="479">
        <v>148774</v>
      </c>
      <c r="H1452" s="479">
        <v>212717</v>
      </c>
      <c r="I1452" s="479">
        <v>0</v>
      </c>
      <c r="J1452" s="479">
        <v>134508</v>
      </c>
      <c r="K1452" s="479">
        <v>0</v>
      </c>
      <c r="L1452" s="515">
        <v>0</v>
      </c>
      <c r="M1452" s="479">
        <v>0</v>
      </c>
      <c r="N1452" s="479">
        <v>0</v>
      </c>
      <c r="O1452" s="479">
        <v>0</v>
      </c>
      <c r="P1452" s="516">
        <v>0</v>
      </c>
      <c r="Q1452" s="479">
        <v>0</v>
      </c>
      <c r="R1452" s="516">
        <v>0</v>
      </c>
      <c r="S1452" s="479">
        <v>0</v>
      </c>
      <c r="T1452" s="515">
        <v>0</v>
      </c>
      <c r="U1452" s="517">
        <v>0</v>
      </c>
      <c r="V1452" s="282"/>
      <c r="W1452" s="282"/>
      <c r="X1452" s="282"/>
      <c r="Y1452" s="1">
        <f>E1452/'часть 1'!I1480</f>
        <v>709.23226056611099</v>
      </c>
      <c r="Z1452" s="1">
        <f>G1452/'часть 1'!I1480</f>
        <v>576.86700271423035</v>
      </c>
      <c r="AB1452" s="1">
        <f>H1452/'часть 1'!I1480</f>
        <v>824.80418766963942</v>
      </c>
      <c r="AD1452" s="1">
        <f>J1452/'часть 1'!I1480</f>
        <v>521.55098875533156</v>
      </c>
    </row>
    <row r="1453" spans="1:53" ht="19.899999999999999" customHeight="1">
      <c r="A1453" s="470">
        <v>355</v>
      </c>
      <c r="B1453" s="757" t="s">
        <v>718</v>
      </c>
      <c r="C1453" s="479">
        <f>'часть 1'!L1481</f>
        <v>1603279</v>
      </c>
      <c r="D1453" s="479">
        <f t="shared" si="253"/>
        <v>0</v>
      </c>
      <c r="E1453" s="479">
        <v>0</v>
      </c>
      <c r="F1453" s="479">
        <v>0</v>
      </c>
      <c r="G1453" s="479">
        <v>0</v>
      </c>
      <c r="H1453" s="479">
        <v>0</v>
      </c>
      <c r="I1453" s="479">
        <v>0</v>
      </c>
      <c r="J1453" s="479">
        <v>0</v>
      </c>
      <c r="K1453" s="479">
        <v>0</v>
      </c>
      <c r="L1453" s="515">
        <v>0</v>
      </c>
      <c r="M1453" s="479">
        <v>0</v>
      </c>
      <c r="N1453" s="479">
        <v>503.16</v>
      </c>
      <c r="O1453" s="479">
        <v>1603279</v>
      </c>
      <c r="P1453" s="516">
        <v>0</v>
      </c>
      <c r="Q1453" s="479">
        <v>0</v>
      </c>
      <c r="R1453" s="516">
        <v>0</v>
      </c>
      <c r="S1453" s="479">
        <v>0</v>
      </c>
      <c r="T1453" s="515">
        <v>0</v>
      </c>
      <c r="U1453" s="517">
        <v>0</v>
      </c>
      <c r="V1453" s="282"/>
      <c r="W1453" s="282">
        <f>O1453/N1453</f>
        <v>3186.4198266952858</v>
      </c>
      <c r="X1453" s="282"/>
    </row>
    <row r="1454" spans="1:53" ht="17.45" customHeight="1">
      <c r="A1454" s="470">
        <v>356</v>
      </c>
      <c r="B1454" s="755" t="s">
        <v>719</v>
      </c>
      <c r="C1454" s="479">
        <f>'часть 1'!L1482</f>
        <v>1413879</v>
      </c>
      <c r="D1454" s="479">
        <f t="shared" si="253"/>
        <v>0</v>
      </c>
      <c r="E1454" s="479">
        <v>0</v>
      </c>
      <c r="F1454" s="479">
        <v>0</v>
      </c>
      <c r="G1454" s="479">
        <v>0</v>
      </c>
      <c r="H1454" s="479">
        <v>0</v>
      </c>
      <c r="I1454" s="479">
        <v>0</v>
      </c>
      <c r="J1454" s="479">
        <v>0</v>
      </c>
      <c r="K1454" s="479">
        <v>0</v>
      </c>
      <c r="L1454" s="515">
        <v>0</v>
      </c>
      <c r="M1454" s="479">
        <v>0</v>
      </c>
      <c r="N1454" s="479">
        <v>566.79999999999995</v>
      </c>
      <c r="O1454" s="479">
        <v>1413879</v>
      </c>
      <c r="P1454" s="516">
        <v>0</v>
      </c>
      <c r="Q1454" s="479">
        <v>0</v>
      </c>
      <c r="R1454" s="516">
        <v>0</v>
      </c>
      <c r="S1454" s="479">
        <v>0</v>
      </c>
      <c r="T1454" s="515">
        <v>0</v>
      </c>
      <c r="U1454" s="517">
        <v>0</v>
      </c>
      <c r="V1454" s="282"/>
      <c r="W1454" s="282">
        <f>O1454/N1454</f>
        <v>2494.4936485532817</v>
      </c>
      <c r="X1454" s="282"/>
    </row>
    <row r="1455" spans="1:53" ht="30">
      <c r="A1455" s="198"/>
      <c r="B1455" s="214" t="s">
        <v>121</v>
      </c>
      <c r="C1455" s="211">
        <f>C1456</f>
        <v>2068781</v>
      </c>
      <c r="D1455" s="211">
        <f t="shared" ref="D1455:U1455" si="254">D1456</f>
        <v>0</v>
      </c>
      <c r="E1455" s="211">
        <f t="shared" si="254"/>
        <v>0</v>
      </c>
      <c r="F1455" s="211">
        <f t="shared" si="254"/>
        <v>0</v>
      </c>
      <c r="G1455" s="211">
        <f t="shared" si="254"/>
        <v>0</v>
      </c>
      <c r="H1455" s="211">
        <f t="shared" si="254"/>
        <v>0</v>
      </c>
      <c r="I1455" s="211">
        <f t="shared" si="254"/>
        <v>0</v>
      </c>
      <c r="J1455" s="211">
        <f t="shared" si="254"/>
        <v>0</v>
      </c>
      <c r="K1455" s="211">
        <f t="shared" si="254"/>
        <v>0</v>
      </c>
      <c r="L1455" s="211">
        <f t="shared" si="254"/>
        <v>0</v>
      </c>
      <c r="M1455" s="211">
        <f t="shared" si="254"/>
        <v>0</v>
      </c>
      <c r="N1455" s="211">
        <f t="shared" si="254"/>
        <v>0</v>
      </c>
      <c r="O1455" s="211">
        <f t="shared" si="254"/>
        <v>2068781</v>
      </c>
      <c r="P1455" s="211">
        <f t="shared" si="254"/>
        <v>0</v>
      </c>
      <c r="Q1455" s="211">
        <f t="shared" si="254"/>
        <v>0</v>
      </c>
      <c r="R1455" s="211">
        <f t="shared" si="254"/>
        <v>0</v>
      </c>
      <c r="S1455" s="211">
        <f t="shared" si="254"/>
        <v>0</v>
      </c>
      <c r="T1455" s="211">
        <f t="shared" si="254"/>
        <v>0</v>
      </c>
      <c r="U1455" s="211">
        <f t="shared" si="254"/>
        <v>0</v>
      </c>
      <c r="V1455" s="282"/>
      <c r="W1455" s="282"/>
      <c r="X1455" s="282"/>
    </row>
    <row r="1456" spans="1:53" ht="22.9" customHeight="1">
      <c r="A1456" s="198">
        <v>362</v>
      </c>
      <c r="B1456" s="214" t="s">
        <v>993</v>
      </c>
      <c r="C1456" s="211">
        <f>'часть 1'!L1484</f>
        <v>2068781</v>
      </c>
      <c r="D1456" s="211">
        <v>0</v>
      </c>
      <c r="E1456" s="211">
        <v>0</v>
      </c>
      <c r="F1456" s="211">
        <v>0</v>
      </c>
      <c r="G1456" s="211">
        <v>0</v>
      </c>
      <c r="H1456" s="211">
        <v>0</v>
      </c>
      <c r="I1456" s="211">
        <v>0</v>
      </c>
      <c r="J1456" s="211">
        <v>0</v>
      </c>
      <c r="K1456" s="211">
        <v>0</v>
      </c>
      <c r="L1456" s="212">
        <v>0</v>
      </c>
      <c r="M1456" s="211">
        <v>0</v>
      </c>
      <c r="N1456" s="939"/>
      <c r="O1456" s="211">
        <v>2068781</v>
      </c>
      <c r="P1456" s="213">
        <v>0</v>
      </c>
      <c r="Q1456" s="211">
        <v>0</v>
      </c>
      <c r="R1456" s="213">
        <v>0</v>
      </c>
      <c r="S1456" s="211">
        <v>0</v>
      </c>
      <c r="T1456" s="212">
        <v>0</v>
      </c>
      <c r="U1456" s="290">
        <v>0</v>
      </c>
      <c r="V1456" s="282"/>
      <c r="W1456" s="282" t="e">
        <f>O1456/N1456</f>
        <v>#DIV/0!</v>
      </c>
      <c r="X1456" s="282"/>
    </row>
    <row r="1457" spans="1:28" s="18" customFormat="1" ht="30">
      <c r="A1457" s="198"/>
      <c r="B1457" s="214" t="s">
        <v>807</v>
      </c>
      <c r="C1457" s="211">
        <f>C1458</f>
        <v>588419</v>
      </c>
      <c r="D1457" s="211">
        <f t="shared" ref="D1457:U1457" si="255">D1458</f>
        <v>588419</v>
      </c>
      <c r="E1457" s="211">
        <f t="shared" si="255"/>
        <v>0</v>
      </c>
      <c r="F1457" s="211">
        <f t="shared" si="255"/>
        <v>0</v>
      </c>
      <c r="G1457" s="211">
        <f t="shared" si="255"/>
        <v>0</v>
      </c>
      <c r="H1457" s="211">
        <f t="shared" si="255"/>
        <v>588419</v>
      </c>
      <c r="I1457" s="211">
        <f t="shared" si="255"/>
        <v>0</v>
      </c>
      <c r="J1457" s="211">
        <f t="shared" si="255"/>
        <v>0</v>
      </c>
      <c r="K1457" s="211">
        <f t="shared" si="255"/>
        <v>0</v>
      </c>
      <c r="L1457" s="211">
        <f t="shared" si="255"/>
        <v>0</v>
      </c>
      <c r="M1457" s="211">
        <f t="shared" si="255"/>
        <v>0</v>
      </c>
      <c r="N1457" s="211">
        <f t="shared" si="255"/>
        <v>0</v>
      </c>
      <c r="O1457" s="211">
        <f t="shared" si="255"/>
        <v>0</v>
      </c>
      <c r="P1457" s="211">
        <f t="shared" si="255"/>
        <v>0</v>
      </c>
      <c r="Q1457" s="211">
        <f t="shared" si="255"/>
        <v>0</v>
      </c>
      <c r="R1457" s="211">
        <f t="shared" si="255"/>
        <v>0</v>
      </c>
      <c r="S1457" s="211">
        <f t="shared" si="255"/>
        <v>0</v>
      </c>
      <c r="T1457" s="211">
        <f t="shared" si="255"/>
        <v>0</v>
      </c>
      <c r="U1457" s="211">
        <f t="shared" si="255"/>
        <v>0</v>
      </c>
      <c r="V1457" s="282"/>
      <c r="W1457" s="282"/>
      <c r="X1457" s="282"/>
    </row>
    <row r="1458" spans="1:28">
      <c r="A1458" s="198">
        <v>363</v>
      </c>
      <c r="B1458" s="216" t="s">
        <v>809</v>
      </c>
      <c r="C1458" s="211">
        <f>'часть 1'!L1486</f>
        <v>588419</v>
      </c>
      <c r="D1458" s="211">
        <f>E1458+F1458+G1458+H1458+I1458+J1458+K1458</f>
        <v>588419</v>
      </c>
      <c r="E1458" s="211">
        <v>0</v>
      </c>
      <c r="F1458" s="211">
        <v>0</v>
      </c>
      <c r="G1458" s="211">
        <v>0</v>
      </c>
      <c r="H1458" s="211">
        <v>588419</v>
      </c>
      <c r="I1458" s="211">
        <v>0</v>
      </c>
      <c r="J1458" s="211">
        <v>0</v>
      </c>
      <c r="K1458" s="211">
        <v>0</v>
      </c>
      <c r="L1458" s="212">
        <v>0</v>
      </c>
      <c r="M1458" s="211">
        <v>0</v>
      </c>
      <c r="N1458" s="211">
        <v>0</v>
      </c>
      <c r="O1458" s="211">
        <v>0</v>
      </c>
      <c r="P1458" s="213">
        <v>0</v>
      </c>
      <c r="Q1458" s="211">
        <v>0</v>
      </c>
      <c r="R1458" s="213">
        <v>0</v>
      </c>
      <c r="S1458" s="211">
        <v>0</v>
      </c>
      <c r="T1458" s="212">
        <v>0</v>
      </c>
      <c r="U1458" s="290">
        <v>0</v>
      </c>
      <c r="V1458" s="282"/>
      <c r="W1458" s="282"/>
      <c r="X1458" s="282"/>
      <c r="AB1458" s="1">
        <f>H1458/'часть 1'!I1486</f>
        <v>899.4481809844084</v>
      </c>
    </row>
    <row r="1459" spans="1:28" ht="25.15" customHeight="1">
      <c r="A1459" s="198"/>
      <c r="B1459" s="216" t="s">
        <v>57</v>
      </c>
      <c r="C1459" s="211">
        <f>C1460</f>
        <v>1788296</v>
      </c>
      <c r="D1459" s="211">
        <f t="shared" ref="D1459:V1459" si="256">D1460</f>
        <v>0</v>
      </c>
      <c r="E1459" s="211">
        <f t="shared" si="256"/>
        <v>0</v>
      </c>
      <c r="F1459" s="211">
        <f t="shared" si="256"/>
        <v>0</v>
      </c>
      <c r="G1459" s="211">
        <f t="shared" si="256"/>
        <v>0</v>
      </c>
      <c r="H1459" s="211">
        <f t="shared" si="256"/>
        <v>0</v>
      </c>
      <c r="I1459" s="211">
        <f t="shared" si="256"/>
        <v>0</v>
      </c>
      <c r="J1459" s="211">
        <f t="shared" si="256"/>
        <v>0</v>
      </c>
      <c r="K1459" s="211">
        <f t="shared" si="256"/>
        <v>0</v>
      </c>
      <c r="L1459" s="211">
        <f t="shared" si="256"/>
        <v>0</v>
      </c>
      <c r="M1459" s="211">
        <f t="shared" si="256"/>
        <v>0</v>
      </c>
      <c r="N1459" s="211">
        <f t="shared" si="256"/>
        <v>560</v>
      </c>
      <c r="O1459" s="211">
        <f t="shared" si="256"/>
        <v>1788296</v>
      </c>
      <c r="P1459" s="211">
        <f t="shared" si="256"/>
        <v>0</v>
      </c>
      <c r="Q1459" s="211">
        <f t="shared" si="256"/>
        <v>0</v>
      </c>
      <c r="R1459" s="211">
        <f t="shared" si="256"/>
        <v>0</v>
      </c>
      <c r="S1459" s="211">
        <f t="shared" si="256"/>
        <v>0</v>
      </c>
      <c r="T1459" s="211">
        <f t="shared" si="256"/>
        <v>0</v>
      </c>
      <c r="U1459" s="211">
        <f t="shared" si="256"/>
        <v>0</v>
      </c>
      <c r="V1459" s="211">
        <f t="shared" si="256"/>
        <v>0</v>
      </c>
      <c r="W1459" s="282"/>
      <c r="X1459" s="282"/>
    </row>
    <row r="1460" spans="1:28" ht="36" customHeight="1">
      <c r="A1460" s="198"/>
      <c r="B1460" s="214" t="s">
        <v>119</v>
      </c>
      <c r="C1460" s="211">
        <f>C1461</f>
        <v>1788296</v>
      </c>
      <c r="D1460" s="211">
        <f t="shared" ref="D1460:U1460" si="257">D1461</f>
        <v>0</v>
      </c>
      <c r="E1460" s="211">
        <f t="shared" si="257"/>
        <v>0</v>
      </c>
      <c r="F1460" s="211">
        <f t="shared" si="257"/>
        <v>0</v>
      </c>
      <c r="G1460" s="211">
        <f t="shared" si="257"/>
        <v>0</v>
      </c>
      <c r="H1460" s="211">
        <f t="shared" si="257"/>
        <v>0</v>
      </c>
      <c r="I1460" s="211">
        <f t="shared" si="257"/>
        <v>0</v>
      </c>
      <c r="J1460" s="211">
        <f t="shared" si="257"/>
        <v>0</v>
      </c>
      <c r="K1460" s="211">
        <f t="shared" si="257"/>
        <v>0</v>
      </c>
      <c r="L1460" s="211">
        <f t="shared" si="257"/>
        <v>0</v>
      </c>
      <c r="M1460" s="211">
        <f t="shared" si="257"/>
        <v>0</v>
      </c>
      <c r="N1460" s="211">
        <f t="shared" si="257"/>
        <v>560</v>
      </c>
      <c r="O1460" s="211">
        <f t="shared" si="257"/>
        <v>1788296</v>
      </c>
      <c r="P1460" s="211">
        <f t="shared" si="257"/>
        <v>0</v>
      </c>
      <c r="Q1460" s="211">
        <f t="shared" si="257"/>
        <v>0</v>
      </c>
      <c r="R1460" s="211">
        <f t="shared" si="257"/>
        <v>0</v>
      </c>
      <c r="S1460" s="211">
        <f t="shared" si="257"/>
        <v>0</v>
      </c>
      <c r="T1460" s="211">
        <f t="shared" si="257"/>
        <v>0</v>
      </c>
      <c r="U1460" s="211">
        <f t="shared" si="257"/>
        <v>0</v>
      </c>
      <c r="V1460" s="282"/>
      <c r="W1460" s="282"/>
      <c r="X1460" s="282"/>
    </row>
    <row r="1461" spans="1:28" ht="27.6" customHeight="1">
      <c r="A1461" s="198">
        <v>364</v>
      </c>
      <c r="B1461" s="909" t="s">
        <v>984</v>
      </c>
      <c r="C1461" s="211">
        <f>'часть 1'!L1489</f>
        <v>1788296</v>
      </c>
      <c r="D1461" s="211">
        <v>0</v>
      </c>
      <c r="E1461" s="211">
        <v>0</v>
      </c>
      <c r="F1461" s="211">
        <v>0</v>
      </c>
      <c r="G1461" s="211">
        <v>0</v>
      </c>
      <c r="H1461" s="211">
        <v>0</v>
      </c>
      <c r="I1461" s="211">
        <v>0</v>
      </c>
      <c r="J1461" s="211">
        <v>0</v>
      </c>
      <c r="K1461" s="211">
        <v>0</v>
      </c>
      <c r="L1461" s="212">
        <v>0</v>
      </c>
      <c r="M1461" s="211">
        <v>0</v>
      </c>
      <c r="N1461" s="211">
        <v>560</v>
      </c>
      <c r="O1461" s="211">
        <v>1788296</v>
      </c>
      <c r="P1461" s="213">
        <v>0</v>
      </c>
      <c r="Q1461" s="211">
        <v>0</v>
      </c>
      <c r="R1461" s="213">
        <v>0</v>
      </c>
      <c r="S1461" s="211">
        <v>0</v>
      </c>
      <c r="T1461" s="212">
        <v>0</v>
      </c>
      <c r="U1461" s="290">
        <v>0</v>
      </c>
      <c r="V1461" s="282"/>
      <c r="W1461" s="282">
        <f>O1461/N1461</f>
        <v>3193.3857142857141</v>
      </c>
      <c r="X1461" s="282"/>
    </row>
    <row r="1462" spans="1:28">
      <c r="A1462" s="198"/>
      <c r="B1462" s="216" t="s">
        <v>58</v>
      </c>
      <c r="C1462" s="211">
        <v>12228909</v>
      </c>
      <c r="D1462" s="211"/>
      <c r="E1462" s="211"/>
      <c r="F1462" s="211"/>
      <c r="G1462" s="211"/>
      <c r="H1462" s="211"/>
      <c r="I1462" s="211"/>
      <c r="J1462" s="211"/>
      <c r="K1462" s="211">
        <v>215709</v>
      </c>
      <c r="L1462" s="212">
        <v>0</v>
      </c>
      <c r="M1462" s="211">
        <v>0</v>
      </c>
      <c r="N1462" s="211">
        <v>6001.34</v>
      </c>
      <c r="O1462" s="211">
        <v>12013200</v>
      </c>
      <c r="P1462" s="213">
        <v>0</v>
      </c>
      <c r="Q1462" s="211">
        <v>0</v>
      </c>
      <c r="R1462" s="213">
        <v>0</v>
      </c>
      <c r="S1462" s="211">
        <v>0</v>
      </c>
      <c r="T1462" s="212">
        <v>0</v>
      </c>
      <c r="U1462" s="290">
        <v>0</v>
      </c>
      <c r="V1462" s="282"/>
      <c r="W1462" s="282"/>
      <c r="X1462" s="282"/>
    </row>
    <row r="1463" spans="1:28" ht="30">
      <c r="A1463" s="198"/>
      <c r="B1463" s="214" t="s">
        <v>87</v>
      </c>
      <c r="C1463" s="211">
        <v>12228909</v>
      </c>
      <c r="D1463" s="211"/>
      <c r="E1463" s="211"/>
      <c r="F1463" s="211"/>
      <c r="G1463" s="211"/>
      <c r="H1463" s="211"/>
      <c r="I1463" s="211"/>
      <c r="J1463" s="211"/>
      <c r="K1463" s="211">
        <v>215709</v>
      </c>
      <c r="L1463" s="212">
        <v>0</v>
      </c>
      <c r="M1463" s="211">
        <v>0</v>
      </c>
      <c r="N1463" s="211">
        <v>6001.34</v>
      </c>
      <c r="O1463" s="211">
        <v>12013200</v>
      </c>
      <c r="P1463" s="213">
        <v>0</v>
      </c>
      <c r="Q1463" s="211">
        <v>0</v>
      </c>
      <c r="R1463" s="213">
        <v>0</v>
      </c>
      <c r="S1463" s="211">
        <v>0</v>
      </c>
      <c r="T1463" s="212">
        <v>0</v>
      </c>
      <c r="U1463" s="290">
        <v>0</v>
      </c>
      <c r="V1463" s="282"/>
      <c r="W1463" s="282"/>
      <c r="X1463" s="282"/>
    </row>
    <row r="1464" spans="1:28" s="29" customFormat="1">
      <c r="A1464" s="198">
        <v>366</v>
      </c>
      <c r="B1464" s="238" t="s">
        <v>84</v>
      </c>
      <c r="C1464" s="232">
        <v>1668544</v>
      </c>
      <c r="D1464" s="232"/>
      <c r="E1464" s="232"/>
      <c r="F1464" s="232"/>
      <c r="G1464" s="232"/>
      <c r="H1464" s="232"/>
      <c r="I1464" s="232"/>
      <c r="J1464" s="232"/>
      <c r="K1464" s="196">
        <v>0</v>
      </c>
      <c r="L1464" s="204">
        <v>0</v>
      </c>
      <c r="M1464" s="209">
        <v>0</v>
      </c>
      <c r="N1464" s="199">
        <v>840</v>
      </c>
      <c r="O1464" s="237">
        <v>1668544</v>
      </c>
      <c r="P1464" s="200">
        <v>0</v>
      </c>
      <c r="Q1464" s="199">
        <v>0</v>
      </c>
      <c r="R1464" s="200">
        <v>0</v>
      </c>
      <c r="S1464" s="199">
        <v>0</v>
      </c>
      <c r="T1464" s="208">
        <v>0</v>
      </c>
      <c r="U1464" s="294">
        <v>0</v>
      </c>
      <c r="V1464" s="282"/>
      <c r="W1464" s="282"/>
      <c r="X1464" s="282"/>
    </row>
    <row r="1465" spans="1:28" s="29" customFormat="1">
      <c r="A1465" s="198">
        <v>367</v>
      </c>
      <c r="B1465" s="238" t="s">
        <v>425</v>
      </c>
      <c r="C1465" s="211">
        <v>2239107</v>
      </c>
      <c r="D1465" s="211"/>
      <c r="E1465" s="211"/>
      <c r="F1465" s="211"/>
      <c r="G1465" s="211"/>
      <c r="H1465" s="211"/>
      <c r="I1465" s="211"/>
      <c r="J1465" s="211"/>
      <c r="K1465" s="196">
        <v>0</v>
      </c>
      <c r="L1465" s="204">
        <v>0</v>
      </c>
      <c r="M1465" s="209">
        <v>0</v>
      </c>
      <c r="N1465" s="199">
        <v>1101</v>
      </c>
      <c r="O1465" s="237">
        <v>2239107</v>
      </c>
      <c r="P1465" s="200">
        <v>0</v>
      </c>
      <c r="Q1465" s="199">
        <v>0</v>
      </c>
      <c r="R1465" s="200">
        <v>0</v>
      </c>
      <c r="S1465" s="199">
        <v>0</v>
      </c>
      <c r="T1465" s="208">
        <v>0</v>
      </c>
      <c r="U1465" s="294">
        <v>0</v>
      </c>
      <c r="V1465" s="282"/>
      <c r="W1465" s="282"/>
      <c r="X1465" s="282"/>
    </row>
    <row r="1466" spans="1:28" s="29" customFormat="1">
      <c r="A1466" s="198">
        <v>368</v>
      </c>
      <c r="B1466" s="238" t="s">
        <v>433</v>
      </c>
      <c r="C1466" s="232">
        <v>215709</v>
      </c>
      <c r="D1466" s="232"/>
      <c r="E1466" s="232"/>
      <c r="F1466" s="232"/>
      <c r="G1466" s="232"/>
      <c r="H1466" s="232"/>
      <c r="I1466" s="232"/>
      <c r="J1466" s="232"/>
      <c r="K1466" s="196">
        <v>215709</v>
      </c>
      <c r="L1466" s="204">
        <v>0</v>
      </c>
      <c r="M1466" s="209">
        <v>0</v>
      </c>
      <c r="N1466" s="199">
        <v>0</v>
      </c>
      <c r="O1466" s="237">
        <v>0</v>
      </c>
      <c r="P1466" s="200">
        <v>0</v>
      </c>
      <c r="Q1466" s="199">
        <v>0</v>
      </c>
      <c r="R1466" s="200">
        <v>0</v>
      </c>
      <c r="S1466" s="199">
        <v>0</v>
      </c>
      <c r="T1466" s="208">
        <v>0</v>
      </c>
      <c r="U1466" s="294">
        <v>0</v>
      </c>
      <c r="V1466" s="282"/>
      <c r="W1466" s="282"/>
      <c r="X1466" s="282"/>
    </row>
    <row r="1467" spans="1:28" s="29" customFormat="1">
      <c r="A1467" s="198">
        <v>369</v>
      </c>
      <c r="B1467" s="238" t="s">
        <v>79</v>
      </c>
      <c r="C1467" s="211">
        <v>706234</v>
      </c>
      <c r="D1467" s="211"/>
      <c r="E1467" s="211"/>
      <c r="F1467" s="211"/>
      <c r="G1467" s="211"/>
      <c r="H1467" s="211"/>
      <c r="I1467" s="211"/>
      <c r="J1467" s="211"/>
      <c r="K1467" s="196">
        <v>0</v>
      </c>
      <c r="L1467" s="204">
        <v>0</v>
      </c>
      <c r="M1467" s="209">
        <v>0</v>
      </c>
      <c r="N1467" s="199">
        <v>348</v>
      </c>
      <c r="O1467" s="237">
        <v>706234</v>
      </c>
      <c r="P1467" s="200">
        <v>0</v>
      </c>
      <c r="Q1467" s="199">
        <v>0</v>
      </c>
      <c r="R1467" s="200">
        <v>0</v>
      </c>
      <c r="S1467" s="199">
        <v>0</v>
      </c>
      <c r="T1467" s="208">
        <v>0</v>
      </c>
      <c r="U1467" s="294">
        <v>0</v>
      </c>
      <c r="V1467" s="282"/>
      <c r="W1467" s="282"/>
      <c r="X1467" s="282"/>
    </row>
    <row r="1468" spans="1:28" s="29" customFormat="1">
      <c r="A1468" s="198">
        <v>370</v>
      </c>
      <c r="B1468" s="238" t="s">
        <v>78</v>
      </c>
      <c r="C1468" s="211">
        <v>651603</v>
      </c>
      <c r="D1468" s="211"/>
      <c r="E1468" s="211"/>
      <c r="F1468" s="211"/>
      <c r="G1468" s="211"/>
      <c r="H1468" s="211"/>
      <c r="I1468" s="211"/>
      <c r="J1468" s="211"/>
      <c r="K1468" s="196">
        <v>0</v>
      </c>
      <c r="L1468" s="204">
        <v>0</v>
      </c>
      <c r="M1468" s="209">
        <v>0</v>
      </c>
      <c r="N1468" s="199">
        <v>320</v>
      </c>
      <c r="O1468" s="237">
        <v>651603</v>
      </c>
      <c r="P1468" s="200">
        <v>0</v>
      </c>
      <c r="Q1468" s="199">
        <v>0</v>
      </c>
      <c r="R1468" s="200">
        <v>0</v>
      </c>
      <c r="S1468" s="199">
        <v>0</v>
      </c>
      <c r="T1468" s="208">
        <v>0</v>
      </c>
      <c r="U1468" s="294">
        <v>0</v>
      </c>
      <c r="V1468" s="282"/>
      <c r="W1468" s="282"/>
      <c r="X1468" s="282"/>
    </row>
    <row r="1469" spans="1:28" s="29" customFormat="1">
      <c r="A1469" s="198">
        <v>371</v>
      </c>
      <c r="B1469" s="238" t="s">
        <v>426</v>
      </c>
      <c r="C1469" s="232">
        <v>698701</v>
      </c>
      <c r="D1469" s="232"/>
      <c r="E1469" s="232"/>
      <c r="F1469" s="232"/>
      <c r="G1469" s="232"/>
      <c r="H1469" s="232"/>
      <c r="I1469" s="232"/>
      <c r="J1469" s="232"/>
      <c r="K1469" s="196">
        <v>0</v>
      </c>
      <c r="L1469" s="204">
        <v>0</v>
      </c>
      <c r="M1469" s="209">
        <v>0</v>
      </c>
      <c r="N1469" s="199">
        <v>352</v>
      </c>
      <c r="O1469" s="237">
        <v>698701</v>
      </c>
      <c r="P1469" s="200">
        <v>0</v>
      </c>
      <c r="Q1469" s="199">
        <v>0</v>
      </c>
      <c r="R1469" s="200">
        <v>0</v>
      </c>
      <c r="S1469" s="199">
        <v>0</v>
      </c>
      <c r="T1469" s="208">
        <v>0</v>
      </c>
      <c r="U1469" s="294">
        <v>0</v>
      </c>
      <c r="V1469" s="282"/>
      <c r="W1469" s="282"/>
      <c r="X1469" s="282"/>
    </row>
    <row r="1470" spans="1:28" s="29" customFormat="1">
      <c r="A1470" s="198">
        <v>372</v>
      </c>
      <c r="B1470" s="238" t="s">
        <v>80</v>
      </c>
      <c r="C1470" s="232">
        <v>1512903</v>
      </c>
      <c r="D1470" s="232"/>
      <c r="E1470" s="232"/>
      <c r="F1470" s="232"/>
      <c r="G1470" s="232"/>
      <c r="H1470" s="232"/>
      <c r="I1470" s="232"/>
      <c r="J1470" s="232"/>
      <c r="K1470" s="196">
        <v>0</v>
      </c>
      <c r="L1470" s="204">
        <v>0</v>
      </c>
      <c r="M1470" s="209">
        <v>0</v>
      </c>
      <c r="N1470" s="199">
        <v>762</v>
      </c>
      <c r="O1470" s="237">
        <v>1512903</v>
      </c>
      <c r="P1470" s="200">
        <v>0</v>
      </c>
      <c r="Q1470" s="199">
        <v>0</v>
      </c>
      <c r="R1470" s="200">
        <v>0</v>
      </c>
      <c r="S1470" s="199">
        <v>0</v>
      </c>
      <c r="T1470" s="208">
        <v>0</v>
      </c>
      <c r="U1470" s="294">
        <v>0</v>
      </c>
      <c r="V1470" s="282"/>
      <c r="W1470" s="282"/>
      <c r="X1470" s="282"/>
    </row>
    <row r="1471" spans="1:28" s="29" customFormat="1">
      <c r="A1471" s="198">
        <v>373</v>
      </c>
      <c r="B1471" s="238" t="s">
        <v>81</v>
      </c>
      <c r="C1471" s="232">
        <v>2294873</v>
      </c>
      <c r="D1471" s="232"/>
      <c r="E1471" s="232"/>
      <c r="F1471" s="232"/>
      <c r="G1471" s="232"/>
      <c r="H1471" s="232"/>
      <c r="I1471" s="232"/>
      <c r="J1471" s="232"/>
      <c r="K1471" s="196">
        <v>0</v>
      </c>
      <c r="L1471" s="204">
        <v>0</v>
      </c>
      <c r="M1471" s="209">
        <v>0</v>
      </c>
      <c r="N1471" s="199">
        <v>1162</v>
      </c>
      <c r="O1471" s="237">
        <v>2294873</v>
      </c>
      <c r="P1471" s="200">
        <v>0</v>
      </c>
      <c r="Q1471" s="199">
        <v>0</v>
      </c>
      <c r="R1471" s="230">
        <v>0</v>
      </c>
      <c r="S1471" s="237">
        <v>0</v>
      </c>
      <c r="T1471" s="208">
        <v>0</v>
      </c>
      <c r="U1471" s="294">
        <v>0</v>
      </c>
      <c r="V1471" s="282"/>
      <c r="W1471" s="282"/>
      <c r="X1471" s="282"/>
    </row>
    <row r="1472" spans="1:28" s="29" customFormat="1">
      <c r="A1472" s="198">
        <v>374</v>
      </c>
      <c r="B1472" s="238" t="s">
        <v>82</v>
      </c>
      <c r="C1472" s="232">
        <v>879987</v>
      </c>
      <c r="D1472" s="232"/>
      <c r="E1472" s="232"/>
      <c r="F1472" s="232"/>
      <c r="G1472" s="232"/>
      <c r="H1472" s="232"/>
      <c r="I1472" s="232"/>
      <c r="J1472" s="232"/>
      <c r="K1472" s="196">
        <v>0</v>
      </c>
      <c r="L1472" s="204">
        <v>0</v>
      </c>
      <c r="M1472" s="209">
        <v>0</v>
      </c>
      <c r="N1472" s="199">
        <v>436.34</v>
      </c>
      <c r="O1472" s="237">
        <v>879987</v>
      </c>
      <c r="P1472" s="200">
        <v>0</v>
      </c>
      <c r="Q1472" s="199">
        <v>0</v>
      </c>
      <c r="R1472" s="200">
        <v>0</v>
      </c>
      <c r="S1472" s="237">
        <v>0</v>
      </c>
      <c r="T1472" s="208">
        <v>0</v>
      </c>
      <c r="U1472" s="294">
        <v>0</v>
      </c>
      <c r="V1472" s="282"/>
      <c r="W1472" s="282"/>
      <c r="X1472" s="282"/>
    </row>
    <row r="1473" spans="1:26" s="29" customFormat="1">
      <c r="A1473" s="198">
        <v>375</v>
      </c>
      <c r="B1473" s="238" t="s">
        <v>83</v>
      </c>
      <c r="C1473" s="232">
        <v>1361248</v>
      </c>
      <c r="D1473" s="232"/>
      <c r="E1473" s="232"/>
      <c r="F1473" s="232"/>
      <c r="G1473" s="232"/>
      <c r="H1473" s="232"/>
      <c r="I1473" s="232"/>
      <c r="J1473" s="232"/>
      <c r="K1473" s="196">
        <v>0</v>
      </c>
      <c r="L1473" s="204">
        <v>0</v>
      </c>
      <c r="M1473" s="209">
        <v>0</v>
      </c>
      <c r="N1473" s="199">
        <v>680</v>
      </c>
      <c r="O1473" s="237">
        <v>1361248</v>
      </c>
      <c r="P1473" s="200">
        <v>0</v>
      </c>
      <c r="Q1473" s="199">
        <v>0</v>
      </c>
      <c r="R1473" s="230">
        <v>0</v>
      </c>
      <c r="S1473" s="237">
        <v>0</v>
      </c>
      <c r="T1473" s="208">
        <v>0</v>
      </c>
      <c r="U1473" s="294">
        <v>0</v>
      </c>
      <c r="V1473" s="282"/>
      <c r="W1473" s="282"/>
      <c r="X1473" s="282"/>
    </row>
    <row r="1474" spans="1:26" ht="35.450000000000003" customHeight="1">
      <c r="A1474" s="470"/>
      <c r="B1474" s="524" t="s">
        <v>59</v>
      </c>
      <c r="C1474" s="479">
        <f>C1475+C1476</f>
        <v>0</v>
      </c>
      <c r="D1474" s="479">
        <f t="shared" ref="D1474:V1474" si="258">D1475+D1476</f>
        <v>0</v>
      </c>
      <c r="E1474" s="479">
        <f t="shared" si="258"/>
        <v>0</v>
      </c>
      <c r="F1474" s="479">
        <f t="shared" si="258"/>
        <v>0</v>
      </c>
      <c r="G1474" s="479">
        <f t="shared" si="258"/>
        <v>0</v>
      </c>
      <c r="H1474" s="479">
        <f t="shared" si="258"/>
        <v>0</v>
      </c>
      <c r="I1474" s="479">
        <f t="shared" si="258"/>
        <v>0</v>
      </c>
      <c r="J1474" s="479">
        <f t="shared" si="258"/>
        <v>0</v>
      </c>
      <c r="K1474" s="479">
        <f t="shared" si="258"/>
        <v>0</v>
      </c>
      <c r="L1474" s="479">
        <f t="shared" si="258"/>
        <v>0</v>
      </c>
      <c r="M1474" s="479">
        <f t="shared" si="258"/>
        <v>0</v>
      </c>
      <c r="N1474" s="479">
        <f t="shared" si="258"/>
        <v>0</v>
      </c>
      <c r="O1474" s="479">
        <f t="shared" si="258"/>
        <v>0</v>
      </c>
      <c r="P1474" s="479">
        <f t="shared" si="258"/>
        <v>0</v>
      </c>
      <c r="Q1474" s="479">
        <f t="shared" si="258"/>
        <v>0</v>
      </c>
      <c r="R1474" s="479">
        <f t="shared" si="258"/>
        <v>0</v>
      </c>
      <c r="S1474" s="479">
        <f t="shared" si="258"/>
        <v>0</v>
      </c>
      <c r="T1474" s="479">
        <f t="shared" si="258"/>
        <v>0</v>
      </c>
      <c r="U1474" s="479">
        <f t="shared" si="258"/>
        <v>0</v>
      </c>
      <c r="V1474" s="211">
        <f t="shared" si="258"/>
        <v>0</v>
      </c>
      <c r="W1474" s="282"/>
      <c r="X1474" s="282"/>
    </row>
    <row r="1475" spans="1:26" ht="30">
      <c r="A1475" s="470"/>
      <c r="B1475" s="523" t="s">
        <v>86</v>
      </c>
      <c r="C1475" s="558">
        <v>0</v>
      </c>
      <c r="D1475" s="558">
        <v>0</v>
      </c>
      <c r="E1475" s="558">
        <v>0</v>
      </c>
      <c r="F1475" s="558">
        <v>0</v>
      </c>
      <c r="G1475" s="558">
        <v>0</v>
      </c>
      <c r="H1475" s="558">
        <v>0</v>
      </c>
      <c r="I1475" s="558">
        <v>0</v>
      </c>
      <c r="J1475" s="558">
        <v>0</v>
      </c>
      <c r="K1475" s="558">
        <v>0</v>
      </c>
      <c r="L1475" s="930">
        <v>0</v>
      </c>
      <c r="M1475" s="558">
        <v>0</v>
      </c>
      <c r="N1475" s="558">
        <v>0</v>
      </c>
      <c r="O1475" s="558">
        <v>0</v>
      </c>
      <c r="P1475" s="931">
        <v>0</v>
      </c>
      <c r="Q1475" s="558">
        <v>0</v>
      </c>
      <c r="R1475" s="558">
        <v>0</v>
      </c>
      <c r="S1475" s="558">
        <v>0</v>
      </c>
      <c r="T1475" s="930">
        <v>0</v>
      </c>
      <c r="U1475" s="932">
        <v>0</v>
      </c>
      <c r="V1475" s="282"/>
      <c r="W1475" s="282"/>
      <c r="X1475" s="282"/>
      <c r="Y1475" s="30"/>
      <c r="Z1475" s="30"/>
    </row>
    <row r="1476" spans="1:26" ht="30">
      <c r="A1476" s="470"/>
      <c r="B1476" s="523" t="s">
        <v>85</v>
      </c>
      <c r="C1476" s="558">
        <v>0</v>
      </c>
      <c r="D1476" s="558">
        <v>0</v>
      </c>
      <c r="E1476" s="558">
        <v>0</v>
      </c>
      <c r="F1476" s="558">
        <v>0</v>
      </c>
      <c r="G1476" s="558">
        <v>0</v>
      </c>
      <c r="H1476" s="558">
        <v>0</v>
      </c>
      <c r="I1476" s="558">
        <v>0</v>
      </c>
      <c r="J1476" s="558">
        <v>0</v>
      </c>
      <c r="K1476" s="558">
        <v>0</v>
      </c>
      <c r="L1476" s="930">
        <v>0</v>
      </c>
      <c r="M1476" s="558">
        <v>0</v>
      </c>
      <c r="N1476" s="558">
        <v>0</v>
      </c>
      <c r="O1476" s="558">
        <v>0</v>
      </c>
      <c r="P1476" s="931">
        <v>0</v>
      </c>
      <c r="Q1476" s="558">
        <v>0</v>
      </c>
      <c r="R1476" s="931">
        <v>0</v>
      </c>
      <c r="S1476" s="558">
        <v>0</v>
      </c>
      <c r="T1476" s="933">
        <v>0</v>
      </c>
      <c r="U1476" s="932">
        <v>0</v>
      </c>
      <c r="V1476" s="282"/>
      <c r="W1476" s="282"/>
      <c r="X1476" s="282"/>
      <c r="Y1476" s="92"/>
      <c r="Z1476" s="92"/>
    </row>
    <row r="1477" spans="1:26">
      <c r="A1477" s="198"/>
      <c r="B1477" s="216" t="s">
        <v>60</v>
      </c>
      <c r="C1477" s="211">
        <v>9462538</v>
      </c>
      <c r="D1477" s="211"/>
      <c r="E1477" s="211"/>
      <c r="F1477" s="211"/>
      <c r="G1477" s="211"/>
      <c r="H1477" s="211"/>
      <c r="I1477" s="211"/>
      <c r="J1477" s="211"/>
      <c r="K1477" s="211">
        <v>0</v>
      </c>
      <c r="L1477" s="212">
        <v>0</v>
      </c>
      <c r="M1477" s="211">
        <v>0</v>
      </c>
      <c r="N1477" s="211">
        <v>1596</v>
      </c>
      <c r="O1477" s="211">
        <v>3173810</v>
      </c>
      <c r="P1477" s="213">
        <v>0</v>
      </c>
      <c r="Q1477" s="211">
        <v>0</v>
      </c>
      <c r="R1477" s="211">
        <v>4347</v>
      </c>
      <c r="S1477" s="211">
        <v>6288728</v>
      </c>
      <c r="T1477" s="212">
        <v>0</v>
      </c>
      <c r="U1477" s="290">
        <v>0</v>
      </c>
      <c r="V1477" s="282"/>
      <c r="W1477" s="282"/>
      <c r="X1477" s="282"/>
    </row>
    <row r="1478" spans="1:26" ht="30">
      <c r="A1478" s="198"/>
      <c r="B1478" s="214" t="s">
        <v>113</v>
      </c>
      <c r="C1478" s="211">
        <v>9462538</v>
      </c>
      <c r="D1478" s="211"/>
      <c r="E1478" s="211"/>
      <c r="F1478" s="211"/>
      <c r="G1478" s="211"/>
      <c r="H1478" s="211"/>
      <c r="I1478" s="211"/>
      <c r="J1478" s="211"/>
      <c r="K1478" s="211">
        <v>0</v>
      </c>
      <c r="L1478" s="212">
        <v>0</v>
      </c>
      <c r="M1478" s="211">
        <v>0</v>
      </c>
      <c r="N1478" s="211">
        <v>1596</v>
      </c>
      <c r="O1478" s="211">
        <v>3173810</v>
      </c>
      <c r="P1478" s="213">
        <v>0</v>
      </c>
      <c r="Q1478" s="211">
        <v>0</v>
      </c>
      <c r="R1478" s="211">
        <v>4347</v>
      </c>
      <c r="S1478" s="211">
        <v>6288728</v>
      </c>
      <c r="T1478" s="212">
        <v>0</v>
      </c>
      <c r="U1478" s="290">
        <v>0</v>
      </c>
      <c r="V1478" s="282"/>
      <c r="W1478" s="282"/>
      <c r="X1478" s="282"/>
      <c r="Y1478" s="10"/>
      <c r="Z1478" s="10"/>
    </row>
    <row r="1479" spans="1:26" s="32" customFormat="1">
      <c r="A1479" s="198">
        <v>435</v>
      </c>
      <c r="B1479" s="206" t="s">
        <v>76</v>
      </c>
      <c r="C1479" s="232">
        <v>3626543</v>
      </c>
      <c r="D1479" s="232"/>
      <c r="E1479" s="232"/>
      <c r="F1479" s="232"/>
      <c r="G1479" s="232"/>
      <c r="H1479" s="232"/>
      <c r="I1479" s="232"/>
      <c r="J1479" s="232"/>
      <c r="K1479" s="211">
        <v>0</v>
      </c>
      <c r="L1479" s="212">
        <v>0</v>
      </c>
      <c r="M1479" s="211">
        <v>0</v>
      </c>
      <c r="N1479" s="211">
        <v>0</v>
      </c>
      <c r="O1479" s="211">
        <v>0</v>
      </c>
      <c r="P1479" s="213">
        <v>0</v>
      </c>
      <c r="Q1479" s="211">
        <v>0</v>
      </c>
      <c r="R1479" s="232">
        <v>2511</v>
      </c>
      <c r="S1479" s="232">
        <v>3626543</v>
      </c>
      <c r="T1479" s="212">
        <v>0</v>
      </c>
      <c r="U1479" s="290">
        <v>0</v>
      </c>
      <c r="V1479" s="282"/>
      <c r="W1479" s="282"/>
      <c r="X1479" s="282"/>
      <c r="Y1479" s="31"/>
      <c r="Z1479" s="31"/>
    </row>
    <row r="1480" spans="1:26" s="32" customFormat="1">
      <c r="A1480" s="198">
        <v>436</v>
      </c>
      <c r="B1480" s="206" t="s">
        <v>75</v>
      </c>
      <c r="C1480" s="232">
        <v>2160246</v>
      </c>
      <c r="D1480" s="232"/>
      <c r="E1480" s="232"/>
      <c r="F1480" s="232"/>
      <c r="G1480" s="232"/>
      <c r="H1480" s="232"/>
      <c r="I1480" s="232"/>
      <c r="J1480" s="232"/>
      <c r="K1480" s="211">
        <v>0</v>
      </c>
      <c r="L1480" s="212">
        <v>0</v>
      </c>
      <c r="M1480" s="211">
        <v>0</v>
      </c>
      <c r="N1480" s="232">
        <v>1092</v>
      </c>
      <c r="O1480" s="232">
        <v>2160246</v>
      </c>
      <c r="P1480" s="213">
        <v>0</v>
      </c>
      <c r="Q1480" s="211">
        <v>0</v>
      </c>
      <c r="R1480" s="213">
        <v>0</v>
      </c>
      <c r="S1480" s="211">
        <v>0</v>
      </c>
      <c r="T1480" s="212">
        <v>0</v>
      </c>
      <c r="U1480" s="290">
        <v>0</v>
      </c>
      <c r="V1480" s="282"/>
      <c r="W1480" s="282"/>
      <c r="X1480" s="282"/>
      <c r="Y1480" s="31"/>
      <c r="Z1480" s="31"/>
    </row>
    <row r="1481" spans="1:26" s="32" customFormat="1">
      <c r="A1481" s="198">
        <v>437</v>
      </c>
      <c r="B1481" s="206" t="s">
        <v>77</v>
      </c>
      <c r="C1481" s="232">
        <v>1013564</v>
      </c>
      <c r="D1481" s="232"/>
      <c r="E1481" s="232"/>
      <c r="F1481" s="232"/>
      <c r="G1481" s="232"/>
      <c r="H1481" s="232"/>
      <c r="I1481" s="232"/>
      <c r="J1481" s="232"/>
      <c r="K1481" s="211">
        <v>0</v>
      </c>
      <c r="L1481" s="212">
        <v>0</v>
      </c>
      <c r="M1481" s="211">
        <v>0</v>
      </c>
      <c r="N1481" s="232">
        <v>504</v>
      </c>
      <c r="O1481" s="232">
        <v>1013564</v>
      </c>
      <c r="P1481" s="213">
        <v>0</v>
      </c>
      <c r="Q1481" s="211">
        <v>0</v>
      </c>
      <c r="R1481" s="213">
        <v>0</v>
      </c>
      <c r="S1481" s="211">
        <v>0</v>
      </c>
      <c r="T1481" s="212">
        <v>0</v>
      </c>
      <c r="U1481" s="290">
        <v>0</v>
      </c>
      <c r="V1481" s="282"/>
      <c r="W1481" s="282"/>
      <c r="X1481" s="282"/>
      <c r="Y1481" s="31"/>
      <c r="Z1481" s="31"/>
    </row>
    <row r="1482" spans="1:26" s="32" customFormat="1">
      <c r="A1482" s="198">
        <v>438</v>
      </c>
      <c r="B1482" s="206" t="s">
        <v>427</v>
      </c>
      <c r="C1482" s="232">
        <v>2662185</v>
      </c>
      <c r="D1482" s="232"/>
      <c r="E1482" s="232"/>
      <c r="F1482" s="232"/>
      <c r="G1482" s="232"/>
      <c r="H1482" s="232"/>
      <c r="I1482" s="232"/>
      <c r="J1482" s="232"/>
      <c r="K1482" s="211">
        <v>0</v>
      </c>
      <c r="L1482" s="212">
        <v>0</v>
      </c>
      <c r="M1482" s="211">
        <v>0</v>
      </c>
      <c r="N1482" s="211">
        <v>0</v>
      </c>
      <c r="O1482" s="211">
        <v>0</v>
      </c>
      <c r="P1482" s="213">
        <v>0</v>
      </c>
      <c r="Q1482" s="211">
        <v>0</v>
      </c>
      <c r="R1482" s="232">
        <v>1836</v>
      </c>
      <c r="S1482" s="232">
        <v>2662185</v>
      </c>
      <c r="T1482" s="212">
        <v>0</v>
      </c>
      <c r="U1482" s="290">
        <v>0</v>
      </c>
      <c r="V1482" s="282"/>
      <c r="W1482" s="282"/>
      <c r="X1482" s="282"/>
      <c r="Y1482" s="31"/>
      <c r="Z1482" s="31"/>
    </row>
    <row r="1483" spans="1:26" s="32" customFormat="1">
      <c r="A1483" s="198"/>
      <c r="B1483" s="206" t="s">
        <v>208</v>
      </c>
      <c r="C1483" s="232">
        <v>562350</v>
      </c>
      <c r="D1483" s="232"/>
      <c r="E1483" s="232"/>
      <c r="F1483" s="232"/>
      <c r="G1483" s="232"/>
      <c r="H1483" s="232"/>
      <c r="I1483" s="232"/>
      <c r="J1483" s="232"/>
      <c r="K1483" s="232">
        <v>0</v>
      </c>
      <c r="L1483" s="239">
        <v>0</v>
      </c>
      <c r="M1483" s="232">
        <v>0</v>
      </c>
      <c r="N1483" s="232">
        <v>275</v>
      </c>
      <c r="O1483" s="232">
        <v>562350</v>
      </c>
      <c r="P1483" s="230">
        <v>0</v>
      </c>
      <c r="Q1483" s="232">
        <v>0</v>
      </c>
      <c r="R1483" s="230">
        <v>0</v>
      </c>
      <c r="S1483" s="232">
        <v>0</v>
      </c>
      <c r="T1483" s="230">
        <v>0</v>
      </c>
      <c r="U1483" s="295">
        <v>0</v>
      </c>
      <c r="V1483" s="282"/>
      <c r="W1483" s="282"/>
      <c r="X1483" s="282"/>
      <c r="Y1483" s="31"/>
      <c r="Z1483" s="31"/>
    </row>
    <row r="1484" spans="1:26" s="32" customFormat="1" ht="30">
      <c r="A1484" s="198"/>
      <c r="B1484" s="214" t="s">
        <v>209</v>
      </c>
      <c r="C1484" s="232">
        <f>C1485</f>
        <v>512860</v>
      </c>
      <c r="D1484" s="232">
        <f t="shared" ref="D1484:U1484" si="259">D1485</f>
        <v>0</v>
      </c>
      <c r="E1484" s="232">
        <f t="shared" si="259"/>
        <v>0</v>
      </c>
      <c r="F1484" s="232">
        <f t="shared" si="259"/>
        <v>0</v>
      </c>
      <c r="G1484" s="232">
        <f t="shared" si="259"/>
        <v>0</v>
      </c>
      <c r="H1484" s="232">
        <f t="shared" si="259"/>
        <v>0</v>
      </c>
      <c r="I1484" s="232">
        <f t="shared" si="259"/>
        <v>0</v>
      </c>
      <c r="J1484" s="232">
        <f t="shared" si="259"/>
        <v>0</v>
      </c>
      <c r="K1484" s="232">
        <f t="shared" si="259"/>
        <v>0</v>
      </c>
      <c r="L1484" s="232">
        <f t="shared" si="259"/>
        <v>0</v>
      </c>
      <c r="M1484" s="232">
        <f t="shared" si="259"/>
        <v>0</v>
      </c>
      <c r="N1484" s="232">
        <f t="shared" si="259"/>
        <v>0</v>
      </c>
      <c r="O1484" s="232">
        <f t="shared" si="259"/>
        <v>0</v>
      </c>
      <c r="P1484" s="232">
        <f t="shared" si="259"/>
        <v>0</v>
      </c>
      <c r="Q1484" s="232">
        <f t="shared" si="259"/>
        <v>0</v>
      </c>
      <c r="R1484" s="232">
        <f t="shared" si="259"/>
        <v>331.56</v>
      </c>
      <c r="S1484" s="232">
        <f t="shared" si="259"/>
        <v>512860</v>
      </c>
      <c r="T1484" s="232">
        <f t="shared" si="259"/>
        <v>0</v>
      </c>
      <c r="U1484" s="232">
        <f t="shared" si="259"/>
        <v>0</v>
      </c>
      <c r="V1484" s="282"/>
      <c r="W1484" s="282"/>
      <c r="X1484" s="282"/>
      <c r="Y1484" s="31"/>
      <c r="Z1484" s="31"/>
    </row>
    <row r="1485" spans="1:26" s="32" customFormat="1">
      <c r="A1485" s="470">
        <v>439</v>
      </c>
      <c r="B1485" s="520" t="s">
        <v>480</v>
      </c>
      <c r="C1485" s="521">
        <v>512860</v>
      </c>
      <c r="D1485" s="521">
        <v>0</v>
      </c>
      <c r="E1485" s="521">
        <v>0</v>
      </c>
      <c r="F1485" s="521">
        <v>0</v>
      </c>
      <c r="G1485" s="521">
        <v>0</v>
      </c>
      <c r="H1485" s="521">
        <v>0</v>
      </c>
      <c r="I1485" s="521">
        <v>0</v>
      </c>
      <c r="J1485" s="521">
        <v>0</v>
      </c>
      <c r="K1485" s="479">
        <v>0</v>
      </c>
      <c r="L1485" s="515">
        <v>0</v>
      </c>
      <c r="M1485" s="479">
        <v>0</v>
      </c>
      <c r="N1485" s="479">
        <v>0</v>
      </c>
      <c r="O1485" s="479">
        <v>0</v>
      </c>
      <c r="P1485" s="516">
        <v>0</v>
      </c>
      <c r="Q1485" s="479">
        <v>0</v>
      </c>
      <c r="R1485" s="522">
        <v>331.56</v>
      </c>
      <c r="S1485" s="521">
        <v>512860</v>
      </c>
      <c r="T1485" s="515">
        <v>0</v>
      </c>
      <c r="U1485" s="517">
        <v>0</v>
      </c>
      <c r="V1485" s="282"/>
      <c r="W1485" s="282"/>
      <c r="X1485" s="282">
        <f>S1485/R1485</f>
        <v>1546.8090240077211</v>
      </c>
      <c r="Y1485" s="31"/>
      <c r="Z1485" s="31"/>
    </row>
    <row r="1486" spans="1:26">
      <c r="A1486" s="198"/>
      <c r="B1486" s="216" t="s">
        <v>61</v>
      </c>
      <c r="C1486" s="211">
        <v>1267050</v>
      </c>
      <c r="D1486" s="211"/>
      <c r="E1486" s="211"/>
      <c r="F1486" s="211"/>
      <c r="G1486" s="211"/>
      <c r="H1486" s="211"/>
      <c r="I1486" s="211"/>
      <c r="J1486" s="211"/>
      <c r="K1486" s="211">
        <v>0</v>
      </c>
      <c r="L1486" s="212">
        <v>0</v>
      </c>
      <c r="M1486" s="211">
        <v>0</v>
      </c>
      <c r="N1486" s="211">
        <v>643</v>
      </c>
      <c r="O1486" s="211">
        <v>1267050</v>
      </c>
      <c r="P1486" s="213">
        <v>0</v>
      </c>
      <c r="Q1486" s="211">
        <v>0</v>
      </c>
      <c r="R1486" s="213">
        <v>0</v>
      </c>
      <c r="S1486" s="211">
        <v>0</v>
      </c>
      <c r="T1486" s="212">
        <v>0</v>
      </c>
      <c r="U1486" s="290">
        <v>0</v>
      </c>
      <c r="V1486" s="282"/>
      <c r="W1486" s="282"/>
      <c r="X1486" s="282"/>
    </row>
    <row r="1487" spans="1:26" ht="30">
      <c r="A1487" s="198"/>
      <c r="B1487" s="214" t="s">
        <v>118</v>
      </c>
      <c r="C1487" s="211">
        <f t="shared" ref="C1487:V1487" si="260">C1488+C1489+C1490+C1491</f>
        <v>4336309</v>
      </c>
      <c r="D1487" s="211">
        <f t="shared" si="260"/>
        <v>353672</v>
      </c>
      <c r="E1487" s="211">
        <f t="shared" si="260"/>
        <v>353672</v>
      </c>
      <c r="F1487" s="211">
        <f t="shared" si="260"/>
        <v>0</v>
      </c>
      <c r="G1487" s="211">
        <f t="shared" si="260"/>
        <v>0</v>
      </c>
      <c r="H1487" s="211">
        <f t="shared" si="260"/>
        <v>0</v>
      </c>
      <c r="I1487" s="211">
        <f t="shared" si="260"/>
        <v>0</v>
      </c>
      <c r="J1487" s="211">
        <f t="shared" si="260"/>
        <v>0</v>
      </c>
      <c r="K1487" s="211">
        <f t="shared" si="260"/>
        <v>0</v>
      </c>
      <c r="L1487" s="211">
        <f t="shared" si="260"/>
        <v>0</v>
      </c>
      <c r="M1487" s="211">
        <f t="shared" si="260"/>
        <v>0</v>
      </c>
      <c r="N1487" s="211">
        <f t="shared" si="260"/>
        <v>1355.99</v>
      </c>
      <c r="O1487" s="211">
        <f t="shared" si="260"/>
        <v>3982637</v>
      </c>
      <c r="P1487" s="211">
        <f t="shared" si="260"/>
        <v>0</v>
      </c>
      <c r="Q1487" s="211">
        <f t="shared" si="260"/>
        <v>0</v>
      </c>
      <c r="R1487" s="211">
        <f t="shared" si="260"/>
        <v>0</v>
      </c>
      <c r="S1487" s="211">
        <f t="shared" si="260"/>
        <v>0</v>
      </c>
      <c r="T1487" s="211">
        <f t="shared" si="260"/>
        <v>0</v>
      </c>
      <c r="U1487" s="211">
        <f t="shared" si="260"/>
        <v>0</v>
      </c>
      <c r="V1487" s="211">
        <f t="shared" si="260"/>
        <v>0</v>
      </c>
      <c r="W1487" s="282"/>
      <c r="X1487" s="282"/>
    </row>
    <row r="1488" spans="1:26">
      <c r="A1488" s="470"/>
      <c r="B1488" s="480" t="s">
        <v>489</v>
      </c>
      <c r="C1488" s="479">
        <v>1231974</v>
      </c>
      <c r="D1488" s="479">
        <f>E1488+F1488+G1488+H1488+I1488+J1488+K1488</f>
        <v>0</v>
      </c>
      <c r="E1488" s="479">
        <v>0</v>
      </c>
      <c r="F1488" s="479">
        <v>0</v>
      </c>
      <c r="G1488" s="479">
        <v>0</v>
      </c>
      <c r="H1488" s="479">
        <v>0</v>
      </c>
      <c r="I1488" s="479">
        <v>0</v>
      </c>
      <c r="J1488" s="479">
        <v>0</v>
      </c>
      <c r="K1488" s="479">
        <v>0</v>
      </c>
      <c r="L1488" s="479">
        <v>0</v>
      </c>
      <c r="M1488" s="479">
        <v>0</v>
      </c>
      <c r="N1488" s="479">
        <v>384</v>
      </c>
      <c r="O1488" s="479">
        <v>1231974</v>
      </c>
      <c r="P1488" s="479">
        <v>0</v>
      </c>
      <c r="Q1488" s="479">
        <v>0</v>
      </c>
      <c r="R1488" s="479">
        <v>0</v>
      </c>
      <c r="S1488" s="479">
        <v>0</v>
      </c>
      <c r="T1488" s="479">
        <v>0</v>
      </c>
      <c r="U1488" s="479">
        <v>0</v>
      </c>
      <c r="V1488" s="552"/>
      <c r="W1488" s="282">
        <f>O1488/N1488</f>
        <v>3208.265625</v>
      </c>
      <c r="X1488" s="282"/>
    </row>
    <row r="1489" spans="1:31">
      <c r="A1489" s="470"/>
      <c r="B1489" s="480" t="s">
        <v>225</v>
      </c>
      <c r="C1489" s="479">
        <v>1299802</v>
      </c>
      <c r="D1489" s="479">
        <f t="shared" ref="D1489:D1491" si="261">E1489+F1489+G1489+H1489+I1489+J1489+K1489</f>
        <v>0</v>
      </c>
      <c r="E1489" s="479">
        <v>0</v>
      </c>
      <c r="F1489" s="479">
        <v>0</v>
      </c>
      <c r="G1489" s="479">
        <v>0</v>
      </c>
      <c r="H1489" s="479">
        <v>0</v>
      </c>
      <c r="I1489" s="479">
        <v>0</v>
      </c>
      <c r="J1489" s="479">
        <v>0</v>
      </c>
      <c r="K1489" s="479">
        <v>0</v>
      </c>
      <c r="L1489" s="479">
        <v>0</v>
      </c>
      <c r="M1489" s="479">
        <v>0</v>
      </c>
      <c r="N1489" s="479">
        <v>518.87</v>
      </c>
      <c r="O1489" s="479">
        <v>1299802</v>
      </c>
      <c r="P1489" s="479">
        <v>0</v>
      </c>
      <c r="Q1489" s="479">
        <v>0</v>
      </c>
      <c r="R1489" s="479">
        <v>0</v>
      </c>
      <c r="S1489" s="479">
        <v>0</v>
      </c>
      <c r="T1489" s="479">
        <v>0</v>
      </c>
      <c r="U1489" s="479">
        <v>0</v>
      </c>
      <c r="V1489" s="552"/>
      <c r="W1489" s="282">
        <f t="shared" ref="W1489:W1490" si="262">O1489/N1489</f>
        <v>2505.0629252028448</v>
      </c>
      <c r="X1489" s="282"/>
    </row>
    <row r="1490" spans="1:31">
      <c r="A1490" s="470">
        <v>440</v>
      </c>
      <c r="B1490" s="480" t="s">
        <v>490</v>
      </c>
      <c r="C1490" s="479">
        <v>1450861</v>
      </c>
      <c r="D1490" s="479">
        <f t="shared" si="261"/>
        <v>0</v>
      </c>
      <c r="E1490" s="479">
        <v>0</v>
      </c>
      <c r="F1490" s="479">
        <v>0</v>
      </c>
      <c r="G1490" s="479">
        <v>0</v>
      </c>
      <c r="H1490" s="479">
        <v>0</v>
      </c>
      <c r="I1490" s="479">
        <v>0</v>
      </c>
      <c r="J1490" s="479">
        <v>0</v>
      </c>
      <c r="K1490" s="479">
        <v>0</v>
      </c>
      <c r="L1490" s="515">
        <v>0</v>
      </c>
      <c r="M1490" s="479">
        <v>0</v>
      </c>
      <c r="N1490" s="479">
        <v>453.12</v>
      </c>
      <c r="O1490" s="479">
        <v>1450861</v>
      </c>
      <c r="P1490" s="516">
        <v>0</v>
      </c>
      <c r="Q1490" s="479">
        <v>0</v>
      </c>
      <c r="R1490" s="516">
        <v>0</v>
      </c>
      <c r="S1490" s="479">
        <v>0</v>
      </c>
      <c r="T1490" s="515">
        <v>0</v>
      </c>
      <c r="U1490" s="517">
        <v>0</v>
      </c>
      <c r="V1490" s="282"/>
      <c r="W1490" s="282">
        <f t="shared" si="262"/>
        <v>3201.9354696327682</v>
      </c>
      <c r="X1490" s="282"/>
    </row>
    <row r="1491" spans="1:31">
      <c r="A1491" s="470"/>
      <c r="B1491" s="480" t="s">
        <v>491</v>
      </c>
      <c r="C1491" s="479">
        <v>353672</v>
      </c>
      <c r="D1491" s="479">
        <f t="shared" si="261"/>
        <v>353672</v>
      </c>
      <c r="E1491" s="479">
        <v>353672</v>
      </c>
      <c r="F1491" s="479">
        <v>0</v>
      </c>
      <c r="G1491" s="479">
        <v>0</v>
      </c>
      <c r="H1491" s="479">
        <v>0</v>
      </c>
      <c r="I1491" s="479">
        <v>0</v>
      </c>
      <c r="J1491" s="479">
        <v>0</v>
      </c>
      <c r="K1491" s="479">
        <v>0</v>
      </c>
      <c r="L1491" s="515">
        <v>0</v>
      </c>
      <c r="M1491" s="479">
        <v>0</v>
      </c>
      <c r="N1491" s="479">
        <v>0</v>
      </c>
      <c r="O1491" s="479">
        <v>0</v>
      </c>
      <c r="P1491" s="516">
        <v>0</v>
      </c>
      <c r="Q1491" s="479">
        <v>0</v>
      </c>
      <c r="R1491" s="516">
        <v>0</v>
      </c>
      <c r="S1491" s="479">
        <v>0</v>
      </c>
      <c r="T1491" s="515">
        <v>0</v>
      </c>
      <c r="U1491" s="517">
        <v>0</v>
      </c>
      <c r="V1491" s="282"/>
      <c r="W1491" s="282"/>
      <c r="X1491" s="282"/>
      <c r="Y1491" s="1">
        <f>E1491/'часть 1'!I1515</f>
        <v>722.36928104575156</v>
      </c>
    </row>
    <row r="1492" spans="1:31" ht="21.6" customHeight="1">
      <c r="A1492" s="194"/>
      <c r="B1492" s="214" t="s">
        <v>649</v>
      </c>
      <c r="C1492" s="211">
        <f>C1493</f>
        <v>1490380</v>
      </c>
      <c r="D1492" s="211">
        <f t="shared" ref="D1492:V1492" si="263">D1493</f>
        <v>0</v>
      </c>
      <c r="E1492" s="211">
        <f t="shared" si="263"/>
        <v>0</v>
      </c>
      <c r="F1492" s="211">
        <f t="shared" si="263"/>
        <v>0</v>
      </c>
      <c r="G1492" s="211">
        <f t="shared" si="263"/>
        <v>0</v>
      </c>
      <c r="H1492" s="211">
        <f t="shared" si="263"/>
        <v>0</v>
      </c>
      <c r="I1492" s="211">
        <f t="shared" si="263"/>
        <v>0</v>
      </c>
      <c r="J1492" s="211">
        <f t="shared" si="263"/>
        <v>0</v>
      </c>
      <c r="K1492" s="211">
        <f t="shared" si="263"/>
        <v>0</v>
      </c>
      <c r="L1492" s="211">
        <f t="shared" si="263"/>
        <v>0</v>
      </c>
      <c r="M1492" s="211">
        <f t="shared" si="263"/>
        <v>0</v>
      </c>
      <c r="N1492" s="211">
        <f t="shared" si="263"/>
        <v>597.5</v>
      </c>
      <c r="O1492" s="211">
        <f t="shared" si="263"/>
        <v>1490380</v>
      </c>
      <c r="P1492" s="211">
        <f t="shared" si="263"/>
        <v>0</v>
      </c>
      <c r="Q1492" s="211">
        <f t="shared" si="263"/>
        <v>0</v>
      </c>
      <c r="R1492" s="211">
        <f t="shared" si="263"/>
        <v>0</v>
      </c>
      <c r="S1492" s="211">
        <f t="shared" si="263"/>
        <v>0</v>
      </c>
      <c r="T1492" s="211">
        <f t="shared" si="263"/>
        <v>0</v>
      </c>
      <c r="U1492" s="211">
        <f t="shared" si="263"/>
        <v>0</v>
      </c>
      <c r="V1492" s="211">
        <f t="shared" si="263"/>
        <v>0</v>
      </c>
      <c r="W1492" s="282"/>
      <c r="X1492" s="282"/>
    </row>
    <row r="1493" spans="1:31" ht="30">
      <c r="A1493" s="194"/>
      <c r="B1493" s="214" t="s">
        <v>655</v>
      </c>
      <c r="C1493" s="211">
        <f>C1494</f>
        <v>1490380</v>
      </c>
      <c r="D1493" s="211">
        <f t="shared" ref="D1493:V1493" si="264">D1494</f>
        <v>0</v>
      </c>
      <c r="E1493" s="211">
        <f t="shared" si="264"/>
        <v>0</v>
      </c>
      <c r="F1493" s="211">
        <f t="shared" si="264"/>
        <v>0</v>
      </c>
      <c r="G1493" s="211">
        <f t="shared" si="264"/>
        <v>0</v>
      </c>
      <c r="H1493" s="211">
        <f t="shared" si="264"/>
        <v>0</v>
      </c>
      <c r="I1493" s="211">
        <f t="shared" si="264"/>
        <v>0</v>
      </c>
      <c r="J1493" s="211">
        <f t="shared" si="264"/>
        <v>0</v>
      </c>
      <c r="K1493" s="211">
        <f t="shared" si="264"/>
        <v>0</v>
      </c>
      <c r="L1493" s="211">
        <f t="shared" si="264"/>
        <v>0</v>
      </c>
      <c r="M1493" s="211">
        <f t="shared" si="264"/>
        <v>0</v>
      </c>
      <c r="N1493" s="211">
        <f t="shared" si="264"/>
        <v>597.5</v>
      </c>
      <c r="O1493" s="211">
        <f t="shared" si="264"/>
        <v>1490380</v>
      </c>
      <c r="P1493" s="211">
        <f t="shared" si="264"/>
        <v>0</v>
      </c>
      <c r="Q1493" s="211">
        <f t="shared" si="264"/>
        <v>0</v>
      </c>
      <c r="R1493" s="211">
        <f t="shared" si="264"/>
        <v>0</v>
      </c>
      <c r="S1493" s="211">
        <f t="shared" si="264"/>
        <v>0</v>
      </c>
      <c r="T1493" s="211">
        <f t="shared" si="264"/>
        <v>0</v>
      </c>
      <c r="U1493" s="211">
        <f t="shared" si="264"/>
        <v>0</v>
      </c>
      <c r="V1493" s="211">
        <f t="shared" si="264"/>
        <v>0</v>
      </c>
      <c r="W1493" s="282"/>
      <c r="X1493" s="282"/>
    </row>
    <row r="1494" spans="1:31" ht="30">
      <c r="A1494" s="194"/>
      <c r="B1494" s="214" t="s">
        <v>656</v>
      </c>
      <c r="C1494" s="211">
        <v>1490380</v>
      </c>
      <c r="D1494" s="211">
        <v>0</v>
      </c>
      <c r="E1494" s="211">
        <v>0</v>
      </c>
      <c r="F1494" s="211">
        <v>0</v>
      </c>
      <c r="G1494" s="211">
        <v>0</v>
      </c>
      <c r="H1494" s="211">
        <v>0</v>
      </c>
      <c r="I1494" s="211">
        <v>0</v>
      </c>
      <c r="J1494" s="211">
        <v>0</v>
      </c>
      <c r="K1494" s="211">
        <v>0</v>
      </c>
      <c r="L1494" s="212">
        <v>0</v>
      </c>
      <c r="M1494" s="211">
        <v>0</v>
      </c>
      <c r="N1494" s="211">
        <v>597.5</v>
      </c>
      <c r="O1494" s="211">
        <v>1490380</v>
      </c>
      <c r="P1494" s="213">
        <v>0</v>
      </c>
      <c r="Q1494" s="211">
        <v>0</v>
      </c>
      <c r="R1494" s="213">
        <v>0</v>
      </c>
      <c r="S1494" s="211">
        <v>0</v>
      </c>
      <c r="T1494" s="212">
        <v>0</v>
      </c>
      <c r="U1494" s="290">
        <v>0</v>
      </c>
      <c r="V1494" s="282"/>
      <c r="W1494" s="282">
        <f>O1494/N1494</f>
        <v>2494.3598326359834</v>
      </c>
      <c r="X1494" s="282"/>
    </row>
    <row r="1495" spans="1:31">
      <c r="A1495" s="198"/>
      <c r="B1495" s="216" t="s">
        <v>62</v>
      </c>
      <c r="C1495" s="211">
        <v>974618</v>
      </c>
      <c r="D1495" s="211"/>
      <c r="E1495" s="211"/>
      <c r="F1495" s="211"/>
      <c r="G1495" s="211"/>
      <c r="H1495" s="211"/>
      <c r="I1495" s="211"/>
      <c r="J1495" s="211"/>
      <c r="K1495" s="211">
        <v>0</v>
      </c>
      <c r="L1495" s="212">
        <v>0</v>
      </c>
      <c r="M1495" s="211">
        <v>0</v>
      </c>
      <c r="N1495" s="211">
        <v>484</v>
      </c>
      <c r="O1495" s="211">
        <v>974618</v>
      </c>
      <c r="P1495" s="213">
        <v>0</v>
      </c>
      <c r="Q1495" s="211">
        <v>0</v>
      </c>
      <c r="R1495" s="213">
        <v>0</v>
      </c>
      <c r="S1495" s="211">
        <v>0</v>
      </c>
      <c r="T1495" s="212">
        <v>0</v>
      </c>
      <c r="U1495" s="290">
        <v>0</v>
      </c>
      <c r="V1495" s="282"/>
      <c r="W1495" s="282"/>
      <c r="X1495" s="282"/>
    </row>
    <row r="1496" spans="1:31" ht="30">
      <c r="A1496" s="198"/>
      <c r="B1496" s="238" t="s">
        <v>117</v>
      </c>
      <c r="C1496" s="211">
        <f>C1497</f>
        <v>1175875</v>
      </c>
      <c r="D1496" s="211">
        <f t="shared" ref="D1496:V1496" si="265">D1497</f>
        <v>0</v>
      </c>
      <c r="E1496" s="211">
        <f t="shared" si="265"/>
        <v>0</v>
      </c>
      <c r="F1496" s="211">
        <f t="shared" si="265"/>
        <v>0</v>
      </c>
      <c r="G1496" s="211">
        <f t="shared" si="265"/>
        <v>0</v>
      </c>
      <c r="H1496" s="211">
        <f t="shared" si="265"/>
        <v>0</v>
      </c>
      <c r="I1496" s="211">
        <f t="shared" si="265"/>
        <v>0</v>
      </c>
      <c r="J1496" s="211">
        <f t="shared" si="265"/>
        <v>0</v>
      </c>
      <c r="K1496" s="211">
        <f t="shared" si="265"/>
        <v>0</v>
      </c>
      <c r="L1496" s="211">
        <f t="shared" si="265"/>
        <v>0</v>
      </c>
      <c r="M1496" s="211">
        <f t="shared" si="265"/>
        <v>0</v>
      </c>
      <c r="N1496" s="211">
        <f t="shared" si="265"/>
        <v>366</v>
      </c>
      <c r="O1496" s="211">
        <f t="shared" si="265"/>
        <v>1175875</v>
      </c>
      <c r="P1496" s="211">
        <f t="shared" si="265"/>
        <v>0</v>
      </c>
      <c r="Q1496" s="211">
        <f t="shared" si="265"/>
        <v>0</v>
      </c>
      <c r="R1496" s="211">
        <f t="shared" si="265"/>
        <v>0</v>
      </c>
      <c r="S1496" s="211">
        <f t="shared" si="265"/>
        <v>0</v>
      </c>
      <c r="T1496" s="211">
        <f t="shared" si="265"/>
        <v>0</v>
      </c>
      <c r="U1496" s="211">
        <f t="shared" si="265"/>
        <v>0</v>
      </c>
      <c r="V1496" s="211">
        <f t="shared" si="265"/>
        <v>0</v>
      </c>
      <c r="W1496" s="211"/>
      <c r="X1496" s="211"/>
      <c r="Y1496" s="211"/>
      <c r="Z1496" s="211"/>
      <c r="AA1496" s="211"/>
      <c r="AB1496" s="211"/>
      <c r="AC1496" s="211"/>
      <c r="AD1496" s="211"/>
      <c r="AE1496" s="211"/>
    </row>
    <row r="1497" spans="1:31">
      <c r="A1497" s="470">
        <v>441</v>
      </c>
      <c r="B1497" s="480" t="s">
        <v>488</v>
      </c>
      <c r="C1497" s="479">
        <v>1175875</v>
      </c>
      <c r="D1497" s="479">
        <v>0</v>
      </c>
      <c r="E1497" s="479">
        <v>0</v>
      </c>
      <c r="F1497" s="479">
        <v>0</v>
      </c>
      <c r="G1497" s="479">
        <v>0</v>
      </c>
      <c r="H1497" s="479">
        <v>0</v>
      </c>
      <c r="I1497" s="479">
        <v>0</v>
      </c>
      <c r="J1497" s="479">
        <v>0</v>
      </c>
      <c r="K1497" s="479">
        <v>0</v>
      </c>
      <c r="L1497" s="515">
        <v>0</v>
      </c>
      <c r="M1497" s="479">
        <v>0</v>
      </c>
      <c r="N1497" s="479">
        <v>366</v>
      </c>
      <c r="O1497" s="479">
        <v>1175875</v>
      </c>
      <c r="P1497" s="516">
        <v>0</v>
      </c>
      <c r="Q1497" s="479">
        <v>0</v>
      </c>
      <c r="R1497" s="516">
        <v>0</v>
      </c>
      <c r="S1497" s="479">
        <v>0</v>
      </c>
      <c r="T1497" s="515">
        <v>0</v>
      </c>
      <c r="U1497" s="517">
        <v>0</v>
      </c>
      <c r="V1497" s="282"/>
      <c r="W1497" s="282">
        <f>O1497/N1497</f>
        <v>3212.7732240437158</v>
      </c>
      <c r="X1497" s="282"/>
    </row>
    <row r="1498" spans="1:31" ht="18.600000000000001" customHeight="1">
      <c r="A1498" s="470"/>
      <c r="B1498" s="524" t="s">
        <v>63</v>
      </c>
      <c r="C1498" s="479">
        <f>C1499</f>
        <v>1608623</v>
      </c>
      <c r="D1498" s="479">
        <f t="shared" ref="D1498:U1499" si="266">D1499</f>
        <v>0</v>
      </c>
      <c r="E1498" s="479">
        <f t="shared" si="266"/>
        <v>0</v>
      </c>
      <c r="F1498" s="479">
        <f t="shared" si="266"/>
        <v>0</v>
      </c>
      <c r="G1498" s="479">
        <f t="shared" si="266"/>
        <v>0</v>
      </c>
      <c r="H1498" s="479">
        <f t="shared" si="266"/>
        <v>0</v>
      </c>
      <c r="I1498" s="479">
        <f t="shared" si="266"/>
        <v>0</v>
      </c>
      <c r="J1498" s="479">
        <f t="shared" si="266"/>
        <v>0</v>
      </c>
      <c r="K1498" s="479">
        <f t="shared" si="266"/>
        <v>0</v>
      </c>
      <c r="L1498" s="479">
        <f t="shared" si="266"/>
        <v>0</v>
      </c>
      <c r="M1498" s="479">
        <f t="shared" si="266"/>
        <v>0</v>
      </c>
      <c r="N1498" s="479">
        <f t="shared" si="266"/>
        <v>503.8</v>
      </c>
      <c r="O1498" s="479">
        <f t="shared" si="266"/>
        <v>1608623</v>
      </c>
      <c r="P1498" s="479">
        <f t="shared" si="266"/>
        <v>0</v>
      </c>
      <c r="Q1498" s="479">
        <f t="shared" si="266"/>
        <v>0</v>
      </c>
      <c r="R1498" s="479">
        <f t="shared" si="266"/>
        <v>0</v>
      </c>
      <c r="S1498" s="479">
        <f t="shared" si="266"/>
        <v>0</v>
      </c>
      <c r="T1498" s="479">
        <f t="shared" si="266"/>
        <v>0</v>
      </c>
      <c r="U1498" s="479">
        <f t="shared" si="266"/>
        <v>0</v>
      </c>
      <c r="V1498" s="282"/>
      <c r="W1498" s="282"/>
      <c r="X1498" s="282"/>
    </row>
    <row r="1499" spans="1:31" ht="30">
      <c r="A1499" s="470"/>
      <c r="B1499" s="480" t="s">
        <v>116</v>
      </c>
      <c r="C1499" s="479">
        <f>C1500</f>
        <v>1608623</v>
      </c>
      <c r="D1499" s="479">
        <f t="shared" si="266"/>
        <v>0</v>
      </c>
      <c r="E1499" s="479">
        <f t="shared" si="266"/>
        <v>0</v>
      </c>
      <c r="F1499" s="479">
        <f t="shared" si="266"/>
        <v>0</v>
      </c>
      <c r="G1499" s="479">
        <f t="shared" si="266"/>
        <v>0</v>
      </c>
      <c r="H1499" s="479">
        <f t="shared" si="266"/>
        <v>0</v>
      </c>
      <c r="I1499" s="479">
        <f t="shared" si="266"/>
        <v>0</v>
      </c>
      <c r="J1499" s="479">
        <f t="shared" si="266"/>
        <v>0</v>
      </c>
      <c r="K1499" s="479">
        <f t="shared" si="266"/>
        <v>0</v>
      </c>
      <c r="L1499" s="479">
        <f t="shared" si="266"/>
        <v>0</v>
      </c>
      <c r="M1499" s="479">
        <f t="shared" si="266"/>
        <v>0</v>
      </c>
      <c r="N1499" s="479">
        <f t="shared" si="266"/>
        <v>503.8</v>
      </c>
      <c r="O1499" s="479">
        <f t="shared" si="266"/>
        <v>1608623</v>
      </c>
      <c r="P1499" s="479">
        <f t="shared" si="266"/>
        <v>0</v>
      </c>
      <c r="Q1499" s="479">
        <f t="shared" si="266"/>
        <v>0</v>
      </c>
      <c r="R1499" s="479">
        <f t="shared" si="266"/>
        <v>0</v>
      </c>
      <c r="S1499" s="479">
        <f t="shared" si="266"/>
        <v>0</v>
      </c>
      <c r="T1499" s="479">
        <f t="shared" si="266"/>
        <v>0</v>
      </c>
      <c r="U1499" s="479">
        <f t="shared" si="266"/>
        <v>0</v>
      </c>
      <c r="V1499" s="282"/>
      <c r="W1499" s="282"/>
      <c r="X1499" s="282"/>
    </row>
    <row r="1500" spans="1:31">
      <c r="A1500" s="470">
        <v>443</v>
      </c>
      <c r="B1500" s="480" t="s">
        <v>679</v>
      </c>
      <c r="C1500" s="479">
        <f>'часть 1'!L1524</f>
        <v>1608623</v>
      </c>
      <c r="D1500" s="479">
        <v>0</v>
      </c>
      <c r="E1500" s="479">
        <v>0</v>
      </c>
      <c r="F1500" s="479">
        <v>0</v>
      </c>
      <c r="G1500" s="479">
        <v>0</v>
      </c>
      <c r="H1500" s="479">
        <v>0</v>
      </c>
      <c r="I1500" s="479">
        <v>0</v>
      </c>
      <c r="J1500" s="479">
        <v>0</v>
      </c>
      <c r="K1500" s="479">
        <v>0</v>
      </c>
      <c r="L1500" s="515">
        <v>0</v>
      </c>
      <c r="M1500" s="479">
        <v>0</v>
      </c>
      <c r="N1500" s="512">
        <v>503.8</v>
      </c>
      <c r="O1500" s="479">
        <v>1608623</v>
      </c>
      <c r="P1500" s="516">
        <v>0</v>
      </c>
      <c r="Q1500" s="479">
        <v>0</v>
      </c>
      <c r="R1500" s="516">
        <v>0</v>
      </c>
      <c r="S1500" s="479">
        <v>0</v>
      </c>
      <c r="T1500" s="515">
        <v>0</v>
      </c>
      <c r="U1500" s="517">
        <v>0</v>
      </c>
      <c r="V1500" s="282"/>
      <c r="W1500" s="282">
        <f>O1500/N1500</f>
        <v>3192.9793568876539</v>
      </c>
      <c r="X1500" s="282"/>
    </row>
    <row r="1501" spans="1:31" ht="17.45" customHeight="1">
      <c r="A1501" s="470"/>
      <c r="B1501" s="480" t="s">
        <v>663</v>
      </c>
      <c r="C1501" s="479">
        <f>C1502</f>
        <v>1457324</v>
      </c>
      <c r="D1501" s="479">
        <f t="shared" ref="D1501:U1501" si="267">D1502</f>
        <v>0</v>
      </c>
      <c r="E1501" s="479">
        <f t="shared" si="267"/>
        <v>0</v>
      </c>
      <c r="F1501" s="479">
        <f t="shared" si="267"/>
        <v>0</v>
      </c>
      <c r="G1501" s="479">
        <f t="shared" si="267"/>
        <v>0</v>
      </c>
      <c r="H1501" s="479">
        <f t="shared" si="267"/>
        <v>0</v>
      </c>
      <c r="I1501" s="479">
        <f t="shared" si="267"/>
        <v>0</v>
      </c>
      <c r="J1501" s="479">
        <f t="shared" si="267"/>
        <v>0</v>
      </c>
      <c r="K1501" s="479">
        <f t="shared" si="267"/>
        <v>0</v>
      </c>
      <c r="L1501" s="479">
        <f t="shared" si="267"/>
        <v>0</v>
      </c>
      <c r="M1501" s="479">
        <f t="shared" si="267"/>
        <v>0</v>
      </c>
      <c r="N1501" s="479">
        <f t="shared" si="267"/>
        <v>584.37</v>
      </c>
      <c r="O1501" s="479">
        <f t="shared" si="267"/>
        <v>1457324</v>
      </c>
      <c r="P1501" s="479">
        <f t="shared" si="267"/>
        <v>0</v>
      </c>
      <c r="Q1501" s="479">
        <f t="shared" si="267"/>
        <v>0</v>
      </c>
      <c r="R1501" s="479">
        <f t="shared" si="267"/>
        <v>0</v>
      </c>
      <c r="S1501" s="479">
        <f t="shared" si="267"/>
        <v>0</v>
      </c>
      <c r="T1501" s="479">
        <f t="shared" si="267"/>
        <v>0</v>
      </c>
      <c r="U1501" s="479">
        <f t="shared" si="267"/>
        <v>0</v>
      </c>
      <c r="V1501" s="282"/>
      <c r="W1501" s="282"/>
      <c r="X1501" s="282"/>
    </row>
    <row r="1502" spans="1:31" ht="30">
      <c r="A1502" s="470"/>
      <c r="B1502" s="480" t="s">
        <v>666</v>
      </c>
      <c r="C1502" s="479">
        <v>1457324</v>
      </c>
      <c r="D1502" s="479">
        <v>0</v>
      </c>
      <c r="E1502" s="479">
        <v>0</v>
      </c>
      <c r="F1502" s="479">
        <v>0</v>
      </c>
      <c r="G1502" s="479">
        <v>0</v>
      </c>
      <c r="H1502" s="479">
        <v>0</v>
      </c>
      <c r="I1502" s="479">
        <v>0</v>
      </c>
      <c r="J1502" s="479">
        <v>0</v>
      </c>
      <c r="K1502" s="479">
        <v>0</v>
      </c>
      <c r="L1502" s="515">
        <v>0</v>
      </c>
      <c r="M1502" s="479">
        <v>0</v>
      </c>
      <c r="N1502" s="512">
        <v>584.37</v>
      </c>
      <c r="O1502" s="479">
        <v>1457324</v>
      </c>
      <c r="P1502" s="516">
        <v>0</v>
      </c>
      <c r="Q1502" s="479">
        <v>0</v>
      </c>
      <c r="R1502" s="516">
        <v>0</v>
      </c>
      <c r="S1502" s="479">
        <v>0</v>
      </c>
      <c r="T1502" s="515">
        <v>0</v>
      </c>
      <c r="U1502" s="517">
        <v>0</v>
      </c>
      <c r="V1502" s="282"/>
      <c r="W1502" s="282">
        <f>O1502/N1502</f>
        <v>2493.8378082379313</v>
      </c>
      <c r="X1502" s="282"/>
    </row>
    <row r="1503" spans="1:31">
      <c r="A1503" s="198"/>
      <c r="B1503" s="216" t="s">
        <v>64</v>
      </c>
      <c r="C1503" s="211">
        <v>6928539</v>
      </c>
      <c r="D1503" s="211"/>
      <c r="E1503" s="211"/>
      <c r="F1503" s="211"/>
      <c r="G1503" s="211"/>
      <c r="H1503" s="211"/>
      <c r="I1503" s="211"/>
      <c r="J1503" s="211"/>
      <c r="K1503" s="211">
        <v>0</v>
      </c>
      <c r="L1503" s="212">
        <v>0</v>
      </c>
      <c r="M1503" s="211">
        <v>0</v>
      </c>
      <c r="N1503" s="211">
        <v>3103</v>
      </c>
      <c r="O1503" s="211">
        <v>6183896</v>
      </c>
      <c r="P1503" s="213">
        <v>0</v>
      </c>
      <c r="Q1503" s="211">
        <v>0</v>
      </c>
      <c r="R1503" s="211">
        <v>512.4</v>
      </c>
      <c r="S1503" s="211">
        <v>744643</v>
      </c>
      <c r="T1503" s="212">
        <v>0</v>
      </c>
      <c r="U1503" s="290">
        <v>0</v>
      </c>
      <c r="V1503" s="282"/>
      <c r="W1503" s="282"/>
      <c r="X1503" s="282"/>
    </row>
    <row r="1504" spans="1:31" ht="30">
      <c r="A1504" s="470"/>
      <c r="B1504" s="480" t="s">
        <v>115</v>
      </c>
      <c r="C1504" s="479">
        <f>C1505+C1506</f>
        <v>5448472</v>
      </c>
      <c r="D1504" s="479">
        <f t="shared" ref="D1504:U1504" si="268">D1505+D1506</f>
        <v>0</v>
      </c>
      <c r="E1504" s="479">
        <f t="shared" si="268"/>
        <v>0</v>
      </c>
      <c r="F1504" s="479">
        <f t="shared" si="268"/>
        <v>0</v>
      </c>
      <c r="G1504" s="479">
        <f t="shared" si="268"/>
        <v>0</v>
      </c>
      <c r="H1504" s="479">
        <f t="shared" si="268"/>
        <v>0</v>
      </c>
      <c r="I1504" s="479">
        <f t="shared" si="268"/>
        <v>0</v>
      </c>
      <c r="J1504" s="479">
        <f t="shared" si="268"/>
        <v>0</v>
      </c>
      <c r="K1504" s="479">
        <f t="shared" si="268"/>
        <v>0</v>
      </c>
      <c r="L1504" s="479">
        <f t="shared" si="268"/>
        <v>0</v>
      </c>
      <c r="M1504" s="479">
        <f t="shared" si="268"/>
        <v>0</v>
      </c>
      <c r="N1504" s="479">
        <f t="shared" si="268"/>
        <v>2020</v>
      </c>
      <c r="O1504" s="479">
        <f t="shared" si="268"/>
        <v>5448472</v>
      </c>
      <c r="P1504" s="479">
        <f t="shared" si="268"/>
        <v>0</v>
      </c>
      <c r="Q1504" s="479">
        <f t="shared" si="268"/>
        <v>0</v>
      </c>
      <c r="R1504" s="479">
        <f t="shared" si="268"/>
        <v>0</v>
      </c>
      <c r="S1504" s="479">
        <f t="shared" si="268"/>
        <v>0</v>
      </c>
      <c r="T1504" s="479">
        <f t="shared" si="268"/>
        <v>0</v>
      </c>
      <c r="U1504" s="479">
        <f t="shared" si="268"/>
        <v>0</v>
      </c>
      <c r="V1504" s="282"/>
      <c r="W1504" s="282"/>
      <c r="X1504" s="282"/>
      <c r="Y1504" s="25"/>
      <c r="Z1504" s="25"/>
    </row>
    <row r="1505" spans="1:30">
      <c r="A1505" s="470">
        <v>444</v>
      </c>
      <c r="B1505" s="480" t="s">
        <v>618</v>
      </c>
      <c r="C1505" s="479">
        <v>1902273</v>
      </c>
      <c r="D1505" s="479">
        <v>0</v>
      </c>
      <c r="E1505" s="479">
        <v>0</v>
      </c>
      <c r="F1505" s="479">
        <v>0</v>
      </c>
      <c r="G1505" s="479">
        <v>0</v>
      </c>
      <c r="H1505" s="479">
        <v>0</v>
      </c>
      <c r="I1505" s="479">
        <v>0</v>
      </c>
      <c r="J1505" s="479">
        <v>0</v>
      </c>
      <c r="K1505" s="479">
        <v>0</v>
      </c>
      <c r="L1505" s="515">
        <v>0</v>
      </c>
      <c r="M1505" s="479">
        <v>0</v>
      </c>
      <c r="N1505" s="479">
        <v>596</v>
      </c>
      <c r="O1505" s="479">
        <v>1902273</v>
      </c>
      <c r="P1505" s="516">
        <v>0</v>
      </c>
      <c r="Q1505" s="479">
        <v>0</v>
      </c>
      <c r="R1505" s="516">
        <v>0</v>
      </c>
      <c r="S1505" s="479">
        <v>0</v>
      </c>
      <c r="T1505" s="515">
        <v>0</v>
      </c>
      <c r="U1505" s="517">
        <v>0</v>
      </c>
      <c r="V1505" s="282"/>
      <c r="W1505" s="282">
        <f>O1505/N1505</f>
        <v>3191.7332214765102</v>
      </c>
      <c r="X1505" s="282"/>
    </row>
    <row r="1506" spans="1:30">
      <c r="A1506" s="470">
        <v>445</v>
      </c>
      <c r="B1506" s="480" t="s">
        <v>617</v>
      </c>
      <c r="C1506" s="479">
        <v>3546199</v>
      </c>
      <c r="D1506" s="479">
        <v>0</v>
      </c>
      <c r="E1506" s="479">
        <v>0</v>
      </c>
      <c r="F1506" s="479">
        <v>0</v>
      </c>
      <c r="G1506" s="479">
        <v>0</v>
      </c>
      <c r="H1506" s="479">
        <v>0</v>
      </c>
      <c r="I1506" s="479">
        <v>0</v>
      </c>
      <c r="J1506" s="479">
        <v>0</v>
      </c>
      <c r="K1506" s="479">
        <v>0</v>
      </c>
      <c r="L1506" s="515">
        <v>0</v>
      </c>
      <c r="M1506" s="479">
        <v>0</v>
      </c>
      <c r="N1506" s="479">
        <v>1424</v>
      </c>
      <c r="O1506" s="479">
        <v>3546199</v>
      </c>
      <c r="P1506" s="516">
        <v>0</v>
      </c>
      <c r="Q1506" s="479">
        <v>0</v>
      </c>
      <c r="R1506" s="516">
        <v>0</v>
      </c>
      <c r="S1506" s="479">
        <v>0</v>
      </c>
      <c r="T1506" s="515">
        <v>0</v>
      </c>
      <c r="U1506" s="517">
        <v>0</v>
      </c>
      <c r="V1506" s="282"/>
      <c r="W1506" s="282">
        <f>O1506/N1506</f>
        <v>2490.308286516854</v>
      </c>
      <c r="X1506" s="282"/>
    </row>
    <row r="1507" spans="1:30">
      <c r="A1507" s="470"/>
      <c r="B1507" s="480"/>
      <c r="C1507" s="479"/>
      <c r="D1507" s="479"/>
      <c r="E1507" s="479"/>
      <c r="F1507" s="479"/>
      <c r="G1507" s="479"/>
      <c r="H1507" s="479"/>
      <c r="I1507" s="479"/>
      <c r="J1507" s="479"/>
      <c r="K1507" s="479"/>
      <c r="L1507" s="515"/>
      <c r="M1507" s="479"/>
      <c r="N1507" s="479"/>
      <c r="O1507" s="479"/>
      <c r="P1507" s="516"/>
      <c r="Q1507" s="479"/>
      <c r="R1507" s="479"/>
      <c r="S1507" s="479"/>
      <c r="T1507" s="515"/>
      <c r="U1507" s="517"/>
      <c r="V1507" s="282"/>
      <c r="W1507" s="282"/>
      <c r="X1507" s="282"/>
      <c r="Y1507" s="25"/>
      <c r="Z1507" s="25"/>
    </row>
    <row r="1508" spans="1:30">
      <c r="A1508" s="470"/>
      <c r="B1508" s="480"/>
      <c r="C1508" s="479"/>
      <c r="D1508" s="479"/>
      <c r="E1508" s="479"/>
      <c r="F1508" s="479"/>
      <c r="G1508" s="479"/>
      <c r="H1508" s="479"/>
      <c r="I1508" s="479"/>
      <c r="J1508" s="479"/>
      <c r="K1508" s="479"/>
      <c r="L1508" s="515"/>
      <c r="M1508" s="479"/>
      <c r="N1508" s="479"/>
      <c r="O1508" s="479"/>
      <c r="P1508" s="516"/>
      <c r="Q1508" s="479"/>
      <c r="R1508" s="516"/>
      <c r="S1508" s="479"/>
      <c r="T1508" s="515"/>
      <c r="U1508" s="517"/>
      <c r="V1508" s="282"/>
      <c r="W1508" s="282"/>
      <c r="X1508" s="282"/>
    </row>
    <row r="1509" spans="1:30">
      <c r="A1509" s="198"/>
      <c r="B1509" s="216" t="s">
        <v>65</v>
      </c>
      <c r="C1509" s="211">
        <f>C1510+C1512</f>
        <v>3398521</v>
      </c>
      <c r="D1509" s="211">
        <f t="shared" ref="D1509:U1509" si="269">D1510+D1512</f>
        <v>0</v>
      </c>
      <c r="E1509" s="211">
        <f t="shared" si="269"/>
        <v>0</v>
      </c>
      <c r="F1509" s="211">
        <f t="shared" si="269"/>
        <v>0</v>
      </c>
      <c r="G1509" s="211">
        <f t="shared" si="269"/>
        <v>0</v>
      </c>
      <c r="H1509" s="211">
        <f t="shared" si="269"/>
        <v>0</v>
      </c>
      <c r="I1509" s="211">
        <f t="shared" si="269"/>
        <v>0</v>
      </c>
      <c r="J1509" s="211">
        <f t="shared" si="269"/>
        <v>0</v>
      </c>
      <c r="K1509" s="211">
        <f t="shared" si="269"/>
        <v>0</v>
      </c>
      <c r="L1509" s="211">
        <f t="shared" si="269"/>
        <v>0</v>
      </c>
      <c r="M1509" s="211">
        <f t="shared" si="269"/>
        <v>0</v>
      </c>
      <c r="N1509" s="211">
        <f t="shared" si="269"/>
        <v>1360</v>
      </c>
      <c r="O1509" s="211">
        <f t="shared" si="269"/>
        <v>3398521</v>
      </c>
      <c r="P1509" s="211">
        <f t="shared" si="269"/>
        <v>0</v>
      </c>
      <c r="Q1509" s="211">
        <f t="shared" si="269"/>
        <v>0</v>
      </c>
      <c r="R1509" s="211">
        <f t="shared" si="269"/>
        <v>0</v>
      </c>
      <c r="S1509" s="211">
        <f t="shared" si="269"/>
        <v>0</v>
      </c>
      <c r="T1509" s="211">
        <f t="shared" si="269"/>
        <v>0</v>
      </c>
      <c r="U1509" s="211">
        <f t="shared" si="269"/>
        <v>0</v>
      </c>
      <c r="V1509" s="282"/>
      <c r="W1509" s="282"/>
      <c r="X1509" s="282"/>
    </row>
    <row r="1510" spans="1:30" ht="30">
      <c r="A1510" s="198"/>
      <c r="B1510" s="214" t="s">
        <v>637</v>
      </c>
      <c r="C1510" s="211">
        <f>C1511</f>
        <v>1889892</v>
      </c>
      <c r="D1510" s="211">
        <f t="shared" ref="D1510:V1510" si="270">D1511</f>
        <v>0</v>
      </c>
      <c r="E1510" s="211">
        <f t="shared" si="270"/>
        <v>0</v>
      </c>
      <c r="F1510" s="211">
        <f t="shared" si="270"/>
        <v>0</v>
      </c>
      <c r="G1510" s="211">
        <f t="shared" si="270"/>
        <v>0</v>
      </c>
      <c r="H1510" s="211">
        <f t="shared" si="270"/>
        <v>0</v>
      </c>
      <c r="I1510" s="211">
        <f t="shared" si="270"/>
        <v>0</v>
      </c>
      <c r="J1510" s="211">
        <f t="shared" si="270"/>
        <v>0</v>
      </c>
      <c r="K1510" s="211">
        <f t="shared" si="270"/>
        <v>0</v>
      </c>
      <c r="L1510" s="211">
        <f t="shared" si="270"/>
        <v>0</v>
      </c>
      <c r="M1510" s="211">
        <f t="shared" si="270"/>
        <v>0</v>
      </c>
      <c r="N1510" s="211">
        <f t="shared" si="270"/>
        <v>755</v>
      </c>
      <c r="O1510" s="211">
        <f t="shared" si="270"/>
        <v>1889892</v>
      </c>
      <c r="P1510" s="211">
        <f t="shared" si="270"/>
        <v>0</v>
      </c>
      <c r="Q1510" s="211">
        <f t="shared" si="270"/>
        <v>0</v>
      </c>
      <c r="R1510" s="211">
        <f t="shared" si="270"/>
        <v>0</v>
      </c>
      <c r="S1510" s="211">
        <f t="shared" si="270"/>
        <v>0</v>
      </c>
      <c r="T1510" s="211">
        <f t="shared" si="270"/>
        <v>0</v>
      </c>
      <c r="U1510" s="211">
        <f t="shared" si="270"/>
        <v>0</v>
      </c>
      <c r="V1510" s="211">
        <f t="shared" si="270"/>
        <v>0</v>
      </c>
      <c r="W1510" s="282"/>
      <c r="X1510" s="282"/>
    </row>
    <row r="1511" spans="1:30">
      <c r="A1511" s="198">
        <v>448</v>
      </c>
      <c r="B1511" s="214" t="s">
        <v>638</v>
      </c>
      <c r="C1511" s="211">
        <v>1889892</v>
      </c>
      <c r="D1511" s="211">
        <v>0</v>
      </c>
      <c r="E1511" s="211">
        <v>0</v>
      </c>
      <c r="F1511" s="211">
        <v>0</v>
      </c>
      <c r="G1511" s="211">
        <v>0</v>
      </c>
      <c r="H1511" s="211">
        <v>0</v>
      </c>
      <c r="I1511" s="211">
        <v>0</v>
      </c>
      <c r="J1511" s="211">
        <v>0</v>
      </c>
      <c r="K1511" s="211">
        <v>0</v>
      </c>
      <c r="L1511" s="212">
        <v>0</v>
      </c>
      <c r="M1511" s="211">
        <v>0</v>
      </c>
      <c r="N1511" s="211">
        <v>755</v>
      </c>
      <c r="O1511" s="211">
        <v>1889892</v>
      </c>
      <c r="P1511" s="213">
        <v>0</v>
      </c>
      <c r="Q1511" s="211">
        <v>0</v>
      </c>
      <c r="R1511" s="213">
        <v>0</v>
      </c>
      <c r="S1511" s="211">
        <v>0</v>
      </c>
      <c r="T1511" s="212">
        <v>0</v>
      </c>
      <c r="U1511" s="290">
        <v>0</v>
      </c>
      <c r="V1511" s="282"/>
      <c r="W1511" s="282">
        <f>O1511/N1511</f>
        <v>2503.1682119205298</v>
      </c>
      <c r="X1511" s="282"/>
    </row>
    <row r="1512" spans="1:30" ht="30">
      <c r="A1512" s="198"/>
      <c r="B1512" s="214" t="s">
        <v>639</v>
      </c>
      <c r="C1512" s="211">
        <f>C1513</f>
        <v>1508629</v>
      </c>
      <c r="D1512" s="211">
        <f t="shared" ref="D1512:V1512" si="271">D1513</f>
        <v>0</v>
      </c>
      <c r="E1512" s="211">
        <f t="shared" si="271"/>
        <v>0</v>
      </c>
      <c r="F1512" s="211">
        <f t="shared" si="271"/>
        <v>0</v>
      </c>
      <c r="G1512" s="211">
        <f t="shared" si="271"/>
        <v>0</v>
      </c>
      <c r="H1512" s="211">
        <f t="shared" si="271"/>
        <v>0</v>
      </c>
      <c r="I1512" s="211">
        <f t="shared" si="271"/>
        <v>0</v>
      </c>
      <c r="J1512" s="211">
        <f t="shared" si="271"/>
        <v>0</v>
      </c>
      <c r="K1512" s="211">
        <f t="shared" si="271"/>
        <v>0</v>
      </c>
      <c r="L1512" s="211">
        <f t="shared" si="271"/>
        <v>0</v>
      </c>
      <c r="M1512" s="211">
        <f t="shared" si="271"/>
        <v>0</v>
      </c>
      <c r="N1512" s="211">
        <f t="shared" si="271"/>
        <v>605</v>
      </c>
      <c r="O1512" s="211">
        <f t="shared" si="271"/>
        <v>1508629</v>
      </c>
      <c r="P1512" s="211">
        <f t="shared" si="271"/>
        <v>0</v>
      </c>
      <c r="Q1512" s="211">
        <f t="shared" si="271"/>
        <v>0</v>
      </c>
      <c r="R1512" s="211">
        <f t="shared" si="271"/>
        <v>0</v>
      </c>
      <c r="S1512" s="211">
        <f t="shared" si="271"/>
        <v>0</v>
      </c>
      <c r="T1512" s="211">
        <f t="shared" si="271"/>
        <v>0</v>
      </c>
      <c r="U1512" s="211">
        <f t="shared" si="271"/>
        <v>0</v>
      </c>
      <c r="V1512" s="211">
        <f t="shared" si="271"/>
        <v>0</v>
      </c>
      <c r="W1512" s="282"/>
      <c r="X1512" s="282"/>
    </row>
    <row r="1513" spans="1:30">
      <c r="A1513" s="198">
        <v>449</v>
      </c>
      <c r="B1513" s="214" t="s">
        <v>640</v>
      </c>
      <c r="C1513" s="211">
        <v>1508629</v>
      </c>
      <c r="D1513" s="211">
        <v>0</v>
      </c>
      <c r="E1513" s="211">
        <v>0</v>
      </c>
      <c r="F1513" s="211">
        <v>0</v>
      </c>
      <c r="G1513" s="211">
        <v>0</v>
      </c>
      <c r="H1513" s="211">
        <v>0</v>
      </c>
      <c r="I1513" s="211">
        <v>0</v>
      </c>
      <c r="J1513" s="211">
        <v>0</v>
      </c>
      <c r="K1513" s="211">
        <v>0</v>
      </c>
      <c r="L1513" s="212">
        <v>0</v>
      </c>
      <c r="M1513" s="211">
        <v>0</v>
      </c>
      <c r="N1513" s="211">
        <v>605</v>
      </c>
      <c r="O1513" s="211">
        <v>1508629</v>
      </c>
      <c r="P1513" s="213">
        <v>0</v>
      </c>
      <c r="Q1513" s="211">
        <v>0</v>
      </c>
      <c r="R1513" s="213">
        <v>0</v>
      </c>
      <c r="S1513" s="211">
        <v>0</v>
      </c>
      <c r="T1513" s="212">
        <v>0</v>
      </c>
      <c r="U1513" s="290">
        <v>0</v>
      </c>
      <c r="V1513" s="282"/>
      <c r="W1513" s="282">
        <f>O1513/N1513</f>
        <v>2493.601652892562</v>
      </c>
      <c r="X1513" s="282"/>
    </row>
    <row r="1514" spans="1:30">
      <c r="A1514" s="198"/>
      <c r="B1514" s="216" t="s">
        <v>66</v>
      </c>
      <c r="C1514" s="211">
        <f>C1517</f>
        <v>3745458</v>
      </c>
      <c r="D1514" s="211">
        <f t="shared" ref="D1514:U1514" si="272">D1517</f>
        <v>0</v>
      </c>
      <c r="E1514" s="211">
        <f t="shared" si="272"/>
        <v>0</v>
      </c>
      <c r="F1514" s="211">
        <f t="shared" si="272"/>
        <v>0</v>
      </c>
      <c r="G1514" s="211">
        <f t="shared" si="272"/>
        <v>0</v>
      </c>
      <c r="H1514" s="211">
        <f t="shared" si="272"/>
        <v>0</v>
      </c>
      <c r="I1514" s="211">
        <f t="shared" si="272"/>
        <v>0</v>
      </c>
      <c r="J1514" s="211">
        <f t="shared" si="272"/>
        <v>0</v>
      </c>
      <c r="K1514" s="211">
        <f t="shared" si="272"/>
        <v>0</v>
      </c>
      <c r="L1514" s="211">
        <f t="shared" si="272"/>
        <v>0</v>
      </c>
      <c r="M1514" s="211">
        <f t="shared" si="272"/>
        <v>0</v>
      </c>
      <c r="N1514" s="211">
        <f t="shared" si="272"/>
        <v>1175</v>
      </c>
      <c r="O1514" s="211">
        <f t="shared" si="272"/>
        <v>3745458</v>
      </c>
      <c r="P1514" s="211">
        <f t="shared" si="272"/>
        <v>0</v>
      </c>
      <c r="Q1514" s="211">
        <f t="shared" si="272"/>
        <v>0</v>
      </c>
      <c r="R1514" s="211">
        <f t="shared" si="272"/>
        <v>0</v>
      </c>
      <c r="S1514" s="211">
        <f t="shared" si="272"/>
        <v>0</v>
      </c>
      <c r="T1514" s="211">
        <f t="shared" si="272"/>
        <v>0</v>
      </c>
      <c r="U1514" s="211">
        <f t="shared" si="272"/>
        <v>0</v>
      </c>
      <c r="V1514" s="282"/>
      <c r="W1514" s="282"/>
      <c r="X1514" s="282"/>
    </row>
    <row r="1515" spans="1:30" ht="30">
      <c r="A1515" s="470"/>
      <c r="B1515" s="480" t="s">
        <v>641</v>
      </c>
      <c r="C1515" s="479">
        <f>C1516</f>
        <v>357985</v>
      </c>
      <c r="D1515" s="479">
        <f t="shared" ref="D1515:U1515" si="273">D1516</f>
        <v>357985</v>
      </c>
      <c r="E1515" s="479">
        <f t="shared" si="273"/>
        <v>0</v>
      </c>
      <c r="F1515" s="479">
        <f t="shared" si="273"/>
        <v>0</v>
      </c>
      <c r="G1515" s="479">
        <f t="shared" si="273"/>
        <v>0</v>
      </c>
      <c r="H1515" s="479">
        <f t="shared" si="273"/>
        <v>0</v>
      </c>
      <c r="I1515" s="479">
        <f t="shared" si="273"/>
        <v>0</v>
      </c>
      <c r="J1515" s="479">
        <f t="shared" si="273"/>
        <v>357985</v>
      </c>
      <c r="K1515" s="479">
        <f t="shared" si="273"/>
        <v>0</v>
      </c>
      <c r="L1515" s="479">
        <f t="shared" si="273"/>
        <v>0</v>
      </c>
      <c r="M1515" s="479">
        <f t="shared" si="273"/>
        <v>0</v>
      </c>
      <c r="N1515" s="479">
        <f t="shared" si="273"/>
        <v>0</v>
      </c>
      <c r="O1515" s="479">
        <f t="shared" si="273"/>
        <v>0</v>
      </c>
      <c r="P1515" s="479">
        <f t="shared" si="273"/>
        <v>0</v>
      </c>
      <c r="Q1515" s="479">
        <f t="shared" si="273"/>
        <v>0</v>
      </c>
      <c r="R1515" s="479">
        <f t="shared" si="273"/>
        <v>0</v>
      </c>
      <c r="S1515" s="479">
        <f t="shared" si="273"/>
        <v>0</v>
      </c>
      <c r="T1515" s="479">
        <f t="shared" si="273"/>
        <v>0</v>
      </c>
      <c r="U1515" s="479">
        <f t="shared" si="273"/>
        <v>0</v>
      </c>
      <c r="V1515" s="282"/>
      <c r="W1515" s="282"/>
      <c r="X1515" s="282"/>
    </row>
    <row r="1516" spans="1:30">
      <c r="A1516" s="470"/>
      <c r="B1516" s="524" t="s">
        <v>644</v>
      </c>
      <c r="C1516" s="479">
        <f>'часть 1'!L1540</f>
        <v>357985</v>
      </c>
      <c r="D1516" s="479">
        <f>E1516+F1516+G1516+H1516+I1516+J1516+K1516</f>
        <v>357985</v>
      </c>
      <c r="E1516" s="479">
        <v>0</v>
      </c>
      <c r="F1516" s="479">
        <v>0</v>
      </c>
      <c r="G1516" s="479">
        <v>0</v>
      </c>
      <c r="H1516" s="479">
        <v>0</v>
      </c>
      <c r="I1516" s="479">
        <v>0</v>
      </c>
      <c r="J1516" s="479">
        <v>357985</v>
      </c>
      <c r="K1516" s="479">
        <v>0</v>
      </c>
      <c r="L1516" s="479">
        <v>0</v>
      </c>
      <c r="M1516" s="479">
        <v>0</v>
      </c>
      <c r="N1516" s="479">
        <v>0</v>
      </c>
      <c r="O1516" s="479">
        <v>0</v>
      </c>
      <c r="P1516" s="479">
        <v>0</v>
      </c>
      <c r="Q1516" s="479">
        <v>0</v>
      </c>
      <c r="R1516" s="479">
        <v>0</v>
      </c>
      <c r="S1516" s="479">
        <v>0</v>
      </c>
      <c r="T1516" s="479">
        <v>0</v>
      </c>
      <c r="U1516" s="479">
        <v>0</v>
      </c>
      <c r="V1516" s="282"/>
      <c r="W1516" s="282"/>
      <c r="X1516" s="282"/>
      <c r="AD1516" s="1">
        <f>J1516/'часть 1'!I1540</f>
        <v>558.39182654812043</v>
      </c>
    </row>
    <row r="1517" spans="1:30" ht="30">
      <c r="A1517" s="198"/>
      <c r="B1517" s="214" t="s">
        <v>114</v>
      </c>
      <c r="C1517" s="211">
        <f>C1518+C1519</f>
        <v>3745458</v>
      </c>
      <c r="D1517" s="211">
        <f t="shared" ref="D1517:V1517" si="274">D1518+D1519</f>
        <v>0</v>
      </c>
      <c r="E1517" s="211">
        <f t="shared" si="274"/>
        <v>0</v>
      </c>
      <c r="F1517" s="211">
        <f t="shared" si="274"/>
        <v>0</v>
      </c>
      <c r="G1517" s="211">
        <f t="shared" si="274"/>
        <v>0</v>
      </c>
      <c r="H1517" s="211">
        <f t="shared" si="274"/>
        <v>0</v>
      </c>
      <c r="I1517" s="211">
        <f t="shared" si="274"/>
        <v>0</v>
      </c>
      <c r="J1517" s="211">
        <f t="shared" si="274"/>
        <v>0</v>
      </c>
      <c r="K1517" s="211">
        <f t="shared" si="274"/>
        <v>0</v>
      </c>
      <c r="L1517" s="211">
        <f t="shared" si="274"/>
        <v>0</v>
      </c>
      <c r="M1517" s="211">
        <f t="shared" si="274"/>
        <v>0</v>
      </c>
      <c r="N1517" s="211">
        <f t="shared" si="274"/>
        <v>1175</v>
      </c>
      <c r="O1517" s="211">
        <f t="shared" si="274"/>
        <v>3745458</v>
      </c>
      <c r="P1517" s="211">
        <f t="shared" si="274"/>
        <v>0</v>
      </c>
      <c r="Q1517" s="211">
        <f t="shared" si="274"/>
        <v>0</v>
      </c>
      <c r="R1517" s="211">
        <f t="shared" si="274"/>
        <v>0</v>
      </c>
      <c r="S1517" s="211">
        <f t="shared" si="274"/>
        <v>0</v>
      </c>
      <c r="T1517" s="211">
        <f t="shared" si="274"/>
        <v>0</v>
      </c>
      <c r="U1517" s="211">
        <f t="shared" si="274"/>
        <v>0</v>
      </c>
      <c r="V1517" s="211">
        <f t="shared" si="274"/>
        <v>0</v>
      </c>
      <c r="W1517" s="282"/>
      <c r="X1517" s="282"/>
    </row>
    <row r="1518" spans="1:30" ht="15.75">
      <c r="A1518" s="470">
        <v>450</v>
      </c>
      <c r="B1518" s="365" t="s">
        <v>595</v>
      </c>
      <c r="C1518" s="479">
        <v>2305927</v>
      </c>
      <c r="D1518" s="479">
        <v>0</v>
      </c>
      <c r="E1518" s="479">
        <v>0</v>
      </c>
      <c r="F1518" s="479">
        <v>0</v>
      </c>
      <c r="G1518" s="479">
        <v>0</v>
      </c>
      <c r="H1518" s="479">
        <v>0</v>
      </c>
      <c r="I1518" s="479">
        <v>0</v>
      </c>
      <c r="J1518" s="479">
        <v>0</v>
      </c>
      <c r="K1518" s="479">
        <v>0</v>
      </c>
      <c r="L1518" s="515">
        <v>0</v>
      </c>
      <c r="M1518" s="479">
        <v>0</v>
      </c>
      <c r="N1518" s="479">
        <v>725</v>
      </c>
      <c r="O1518" s="479">
        <v>2305927</v>
      </c>
      <c r="P1518" s="516">
        <v>0</v>
      </c>
      <c r="Q1518" s="479">
        <v>0</v>
      </c>
      <c r="R1518" s="516">
        <v>0</v>
      </c>
      <c r="S1518" s="479">
        <v>0</v>
      </c>
      <c r="T1518" s="515">
        <v>0</v>
      </c>
      <c r="U1518" s="517">
        <v>0</v>
      </c>
      <c r="V1518" s="282"/>
      <c r="W1518" s="282">
        <f>O1518/N1518</f>
        <v>3180.5889655172414</v>
      </c>
      <c r="X1518" s="282"/>
    </row>
    <row r="1519" spans="1:30" ht="15.75">
      <c r="A1519" s="470">
        <v>451</v>
      </c>
      <c r="B1519" s="365" t="s">
        <v>596</v>
      </c>
      <c r="C1519" s="479">
        <v>1439531</v>
      </c>
      <c r="D1519" s="479">
        <v>0</v>
      </c>
      <c r="E1519" s="479">
        <v>0</v>
      </c>
      <c r="F1519" s="479">
        <v>0</v>
      </c>
      <c r="G1519" s="479">
        <v>0</v>
      </c>
      <c r="H1519" s="479">
        <v>0</v>
      </c>
      <c r="I1519" s="479">
        <v>0</v>
      </c>
      <c r="J1519" s="479">
        <v>0</v>
      </c>
      <c r="K1519" s="479">
        <v>0</v>
      </c>
      <c r="L1519" s="515">
        <v>0</v>
      </c>
      <c r="M1519" s="479">
        <v>0</v>
      </c>
      <c r="N1519" s="479">
        <v>450</v>
      </c>
      <c r="O1519" s="479">
        <v>1439531</v>
      </c>
      <c r="P1519" s="516">
        <v>0</v>
      </c>
      <c r="Q1519" s="479">
        <v>0</v>
      </c>
      <c r="R1519" s="516">
        <v>0</v>
      </c>
      <c r="S1519" s="479">
        <v>0</v>
      </c>
      <c r="T1519" s="515">
        <v>0</v>
      </c>
      <c r="U1519" s="517">
        <v>0</v>
      </c>
      <c r="V1519" s="282"/>
      <c r="W1519" s="282">
        <f>O1519/N1519</f>
        <v>3198.9577777777777</v>
      </c>
      <c r="X1519" s="282"/>
    </row>
    <row r="1520" spans="1:30" ht="15.75">
      <c r="A1520" s="470"/>
      <c r="B1520" s="365"/>
      <c r="C1520" s="479"/>
      <c r="D1520" s="479"/>
      <c r="E1520" s="479"/>
      <c r="F1520" s="479"/>
      <c r="G1520" s="479"/>
      <c r="H1520" s="479"/>
      <c r="I1520" s="479"/>
      <c r="J1520" s="479"/>
      <c r="K1520" s="479"/>
      <c r="L1520" s="515"/>
      <c r="M1520" s="479"/>
      <c r="N1520" s="479"/>
      <c r="O1520" s="479"/>
      <c r="P1520" s="516"/>
      <c r="Q1520" s="479"/>
      <c r="R1520" s="516"/>
      <c r="S1520" s="479"/>
      <c r="T1520" s="515"/>
      <c r="U1520" s="517"/>
      <c r="V1520" s="282"/>
      <c r="W1520" s="282"/>
      <c r="X1520" s="282"/>
    </row>
    <row r="1521" spans="1:35">
      <c r="A1521" s="198"/>
      <c r="B1521" s="214" t="s">
        <v>207</v>
      </c>
      <c r="C1521" s="211">
        <f>C1522+C1523+C1524+C1525+C1526+C1527+C1528</f>
        <v>21360482</v>
      </c>
      <c r="D1521" s="211">
        <f t="shared" ref="D1521:V1521" si="275">D1522+D1523+D1524+D1525+D1526+D1527+D1528</f>
        <v>0</v>
      </c>
      <c r="E1521" s="211">
        <f t="shared" si="275"/>
        <v>0</v>
      </c>
      <c r="F1521" s="211">
        <f t="shared" si="275"/>
        <v>0</v>
      </c>
      <c r="G1521" s="211">
        <f t="shared" si="275"/>
        <v>0</v>
      </c>
      <c r="H1521" s="211">
        <f t="shared" si="275"/>
        <v>0</v>
      </c>
      <c r="I1521" s="211">
        <f t="shared" si="275"/>
        <v>0</v>
      </c>
      <c r="J1521" s="211">
        <f t="shared" si="275"/>
        <v>0</v>
      </c>
      <c r="K1521" s="211">
        <f t="shared" si="275"/>
        <v>0</v>
      </c>
      <c r="L1521" s="211">
        <f t="shared" si="275"/>
        <v>0</v>
      </c>
      <c r="M1521" s="211">
        <f t="shared" si="275"/>
        <v>0</v>
      </c>
      <c r="N1521" s="211">
        <f t="shared" si="275"/>
        <v>8495.4</v>
      </c>
      <c r="O1521" s="211">
        <f t="shared" si="275"/>
        <v>21360482</v>
      </c>
      <c r="P1521" s="211">
        <f t="shared" si="275"/>
        <v>0</v>
      </c>
      <c r="Q1521" s="211">
        <f t="shared" si="275"/>
        <v>0</v>
      </c>
      <c r="R1521" s="211">
        <f t="shared" si="275"/>
        <v>0</v>
      </c>
      <c r="S1521" s="211">
        <f t="shared" si="275"/>
        <v>0</v>
      </c>
      <c r="T1521" s="211">
        <f t="shared" si="275"/>
        <v>0</v>
      </c>
      <c r="U1521" s="211">
        <f t="shared" si="275"/>
        <v>0</v>
      </c>
      <c r="V1521" s="211">
        <f t="shared" si="275"/>
        <v>0</v>
      </c>
      <c r="W1521" s="211"/>
      <c r="X1521" s="211"/>
      <c r="Y1521" s="211"/>
      <c r="Z1521" s="211"/>
      <c r="AA1521" s="211"/>
      <c r="AB1521" s="211"/>
      <c r="AC1521" s="211"/>
      <c r="AD1521" s="211"/>
      <c r="AE1521" s="211"/>
      <c r="AF1521" s="211"/>
      <c r="AG1521" s="211"/>
      <c r="AH1521" s="211"/>
      <c r="AI1521" s="211"/>
    </row>
    <row r="1522" spans="1:35">
      <c r="A1522" s="470">
        <v>453</v>
      </c>
      <c r="B1522" s="519" t="s">
        <v>506</v>
      </c>
      <c r="C1522" s="479">
        <v>1823609</v>
      </c>
      <c r="D1522" s="479">
        <v>0</v>
      </c>
      <c r="E1522" s="479">
        <v>0</v>
      </c>
      <c r="F1522" s="479">
        <v>0</v>
      </c>
      <c r="G1522" s="479">
        <v>0</v>
      </c>
      <c r="H1522" s="479">
        <v>0</v>
      </c>
      <c r="I1522" s="479">
        <v>0</v>
      </c>
      <c r="J1522" s="479">
        <v>0</v>
      </c>
      <c r="K1522" s="479">
        <v>0</v>
      </c>
      <c r="L1522" s="515">
        <v>0</v>
      </c>
      <c r="M1522" s="479">
        <v>0</v>
      </c>
      <c r="N1522" s="518">
        <v>719</v>
      </c>
      <c r="O1522" s="479">
        <v>1823609</v>
      </c>
      <c r="P1522" s="515">
        <v>0</v>
      </c>
      <c r="Q1522" s="479">
        <v>0</v>
      </c>
      <c r="R1522" s="516">
        <v>0</v>
      </c>
      <c r="S1522" s="479">
        <v>0</v>
      </c>
      <c r="T1522" s="515">
        <v>0</v>
      </c>
      <c r="U1522" s="517">
        <v>0</v>
      </c>
      <c r="V1522" s="282"/>
      <c r="W1522" s="282">
        <f>O1522/N1522</f>
        <v>2536.3129346314327</v>
      </c>
      <c r="X1522" s="282"/>
    </row>
    <row r="1523" spans="1:35">
      <c r="A1523" s="470">
        <v>454</v>
      </c>
      <c r="B1523" s="519" t="s">
        <v>507</v>
      </c>
      <c r="C1523" s="479">
        <v>5329850</v>
      </c>
      <c r="D1523" s="479">
        <v>0</v>
      </c>
      <c r="E1523" s="479">
        <v>0</v>
      </c>
      <c r="F1523" s="479">
        <v>0</v>
      </c>
      <c r="G1523" s="479">
        <v>0</v>
      </c>
      <c r="H1523" s="479">
        <v>0</v>
      </c>
      <c r="I1523" s="479">
        <v>0</v>
      </c>
      <c r="J1523" s="479">
        <v>0</v>
      </c>
      <c r="K1523" s="479">
        <v>0</v>
      </c>
      <c r="L1523" s="515">
        <v>0</v>
      </c>
      <c r="M1523" s="479">
        <v>0</v>
      </c>
      <c r="N1523" s="518">
        <v>2128</v>
      </c>
      <c r="O1523" s="479">
        <v>5329850</v>
      </c>
      <c r="P1523" s="515">
        <v>0</v>
      </c>
      <c r="Q1523" s="479">
        <v>0</v>
      </c>
      <c r="R1523" s="516">
        <v>0</v>
      </c>
      <c r="S1523" s="479">
        <v>0</v>
      </c>
      <c r="T1523" s="515">
        <v>0</v>
      </c>
      <c r="U1523" s="517">
        <v>0</v>
      </c>
      <c r="V1523" s="282"/>
      <c r="W1523" s="282">
        <f t="shared" ref="W1523:W1528" si="276">O1523/N1523</f>
        <v>2504.6287593984962</v>
      </c>
      <c r="X1523" s="282"/>
    </row>
    <row r="1524" spans="1:35">
      <c r="A1524" s="470">
        <v>455</v>
      </c>
      <c r="B1524" s="519" t="s">
        <v>508</v>
      </c>
      <c r="C1524" s="479">
        <v>1176993</v>
      </c>
      <c r="D1524" s="479">
        <v>0</v>
      </c>
      <c r="E1524" s="479">
        <v>0</v>
      </c>
      <c r="F1524" s="479">
        <v>0</v>
      </c>
      <c r="G1524" s="479">
        <v>0</v>
      </c>
      <c r="H1524" s="479">
        <v>0</v>
      </c>
      <c r="I1524" s="479">
        <v>0</v>
      </c>
      <c r="J1524" s="479">
        <v>0</v>
      </c>
      <c r="K1524" s="479">
        <v>0</v>
      </c>
      <c r="L1524" s="515">
        <v>0</v>
      </c>
      <c r="M1524" s="479">
        <v>0</v>
      </c>
      <c r="N1524" s="479">
        <v>459.4</v>
      </c>
      <c r="O1524" s="479">
        <v>1176993</v>
      </c>
      <c r="P1524" s="515">
        <v>0</v>
      </c>
      <c r="Q1524" s="479">
        <v>0</v>
      </c>
      <c r="R1524" s="516">
        <v>0</v>
      </c>
      <c r="S1524" s="479">
        <v>0</v>
      </c>
      <c r="T1524" s="515">
        <v>0</v>
      </c>
      <c r="U1524" s="517">
        <v>0</v>
      </c>
      <c r="V1524" s="282"/>
      <c r="W1524" s="282">
        <f t="shared" si="276"/>
        <v>2562.0222028733133</v>
      </c>
      <c r="X1524" s="282"/>
    </row>
    <row r="1525" spans="1:35">
      <c r="A1525" s="470">
        <v>456</v>
      </c>
      <c r="B1525" s="519" t="s">
        <v>509</v>
      </c>
      <c r="C1525" s="479">
        <v>2684544</v>
      </c>
      <c r="D1525" s="479">
        <v>0</v>
      </c>
      <c r="E1525" s="479">
        <v>0</v>
      </c>
      <c r="F1525" s="479">
        <v>0</v>
      </c>
      <c r="G1525" s="479">
        <v>0</v>
      </c>
      <c r="H1525" s="479">
        <v>0</v>
      </c>
      <c r="I1525" s="479">
        <v>0</v>
      </c>
      <c r="J1525" s="479">
        <v>0</v>
      </c>
      <c r="K1525" s="479">
        <v>0</v>
      </c>
      <c r="L1525" s="515">
        <v>0</v>
      </c>
      <c r="M1525" s="479">
        <v>0</v>
      </c>
      <c r="N1525" s="518">
        <v>1065</v>
      </c>
      <c r="O1525" s="479">
        <v>2684544</v>
      </c>
      <c r="P1525" s="515">
        <v>0</v>
      </c>
      <c r="Q1525" s="479">
        <v>0</v>
      </c>
      <c r="R1525" s="516">
        <v>0</v>
      </c>
      <c r="S1525" s="479">
        <v>0</v>
      </c>
      <c r="T1525" s="515">
        <v>0</v>
      </c>
      <c r="U1525" s="517">
        <v>0</v>
      </c>
      <c r="V1525" s="282"/>
      <c r="W1525" s="282">
        <f t="shared" si="276"/>
        <v>2520.698591549296</v>
      </c>
      <c r="X1525" s="282"/>
    </row>
    <row r="1526" spans="1:35">
      <c r="A1526" s="470">
        <v>457</v>
      </c>
      <c r="B1526" s="519" t="s">
        <v>510</v>
      </c>
      <c r="C1526" s="479">
        <v>6294002</v>
      </c>
      <c r="D1526" s="479">
        <v>0</v>
      </c>
      <c r="E1526" s="479">
        <v>0</v>
      </c>
      <c r="F1526" s="479">
        <v>0</v>
      </c>
      <c r="G1526" s="479">
        <v>0</v>
      </c>
      <c r="H1526" s="479">
        <v>0</v>
      </c>
      <c r="I1526" s="479">
        <v>0</v>
      </c>
      <c r="J1526" s="479">
        <v>0</v>
      </c>
      <c r="K1526" s="479">
        <v>0</v>
      </c>
      <c r="L1526" s="515">
        <v>0</v>
      </c>
      <c r="M1526" s="479">
        <v>0</v>
      </c>
      <c r="N1526" s="518">
        <v>2525</v>
      </c>
      <c r="O1526" s="479">
        <v>6294002</v>
      </c>
      <c r="P1526" s="515">
        <v>0</v>
      </c>
      <c r="Q1526" s="479">
        <v>0</v>
      </c>
      <c r="R1526" s="516">
        <v>0</v>
      </c>
      <c r="S1526" s="479">
        <v>0</v>
      </c>
      <c r="T1526" s="515">
        <v>0</v>
      </c>
      <c r="U1526" s="517">
        <v>0</v>
      </c>
      <c r="V1526" s="282"/>
      <c r="W1526" s="282">
        <f t="shared" si="276"/>
        <v>2492.6740594059406</v>
      </c>
      <c r="X1526" s="282"/>
    </row>
    <row r="1527" spans="1:35">
      <c r="A1527" s="470">
        <v>458</v>
      </c>
      <c r="B1527" s="519" t="s">
        <v>428</v>
      </c>
      <c r="C1527" s="479">
        <v>2199863</v>
      </c>
      <c r="D1527" s="479">
        <v>0</v>
      </c>
      <c r="E1527" s="479">
        <v>0</v>
      </c>
      <c r="F1527" s="479">
        <v>0</v>
      </c>
      <c r="G1527" s="479">
        <v>0</v>
      </c>
      <c r="H1527" s="479">
        <v>0</v>
      </c>
      <c r="I1527" s="479">
        <v>0</v>
      </c>
      <c r="J1527" s="479">
        <v>0</v>
      </c>
      <c r="K1527" s="479">
        <v>0</v>
      </c>
      <c r="L1527" s="515">
        <v>0</v>
      </c>
      <c r="M1527" s="479">
        <v>0</v>
      </c>
      <c r="N1527" s="518">
        <v>870</v>
      </c>
      <c r="O1527" s="479">
        <v>2199863</v>
      </c>
      <c r="P1527" s="515">
        <v>0</v>
      </c>
      <c r="Q1527" s="479">
        <v>0</v>
      </c>
      <c r="R1527" s="516">
        <v>0</v>
      </c>
      <c r="S1527" s="479">
        <v>0</v>
      </c>
      <c r="T1527" s="515">
        <v>0</v>
      </c>
      <c r="U1527" s="517">
        <v>0</v>
      </c>
      <c r="V1527" s="282"/>
      <c r="W1527" s="282">
        <f t="shared" si="276"/>
        <v>2528.5781609195401</v>
      </c>
      <c r="X1527" s="282"/>
    </row>
    <row r="1528" spans="1:35">
      <c r="A1528" s="470">
        <v>459</v>
      </c>
      <c r="B1528" s="519" t="s">
        <v>511</v>
      </c>
      <c r="C1528" s="479">
        <v>1851621</v>
      </c>
      <c r="D1528" s="479">
        <v>0</v>
      </c>
      <c r="E1528" s="479">
        <v>0</v>
      </c>
      <c r="F1528" s="479">
        <v>0</v>
      </c>
      <c r="G1528" s="479">
        <v>0</v>
      </c>
      <c r="H1528" s="479">
        <v>0</v>
      </c>
      <c r="I1528" s="479">
        <v>0</v>
      </c>
      <c r="J1528" s="479">
        <v>0</v>
      </c>
      <c r="K1528" s="479">
        <v>0</v>
      </c>
      <c r="L1528" s="515">
        <v>0</v>
      </c>
      <c r="M1528" s="479">
        <v>0</v>
      </c>
      <c r="N1528" s="518">
        <v>729</v>
      </c>
      <c r="O1528" s="479">
        <v>1851621</v>
      </c>
      <c r="P1528" s="515">
        <v>0</v>
      </c>
      <c r="Q1528" s="479">
        <v>0</v>
      </c>
      <c r="R1528" s="516">
        <v>0</v>
      </c>
      <c r="S1528" s="479">
        <v>0</v>
      </c>
      <c r="T1528" s="515">
        <v>0</v>
      </c>
      <c r="U1528" s="517">
        <v>0</v>
      </c>
      <c r="V1528" s="282"/>
      <c r="W1528" s="282">
        <f t="shared" si="276"/>
        <v>2539.9465020576131</v>
      </c>
      <c r="X1528" s="282"/>
    </row>
    <row r="1529" spans="1:35">
      <c r="A1529" s="470"/>
      <c r="B1529" s="519"/>
      <c r="C1529" s="479"/>
      <c r="D1529" s="479"/>
      <c r="E1529" s="479"/>
      <c r="F1529" s="479"/>
      <c r="G1529" s="479"/>
      <c r="H1529" s="479"/>
      <c r="I1529" s="479"/>
      <c r="J1529" s="479"/>
      <c r="K1529" s="479"/>
      <c r="L1529" s="515"/>
      <c r="M1529" s="479"/>
      <c r="N1529" s="518"/>
      <c r="O1529" s="479"/>
      <c r="P1529" s="515"/>
      <c r="Q1529" s="479"/>
      <c r="R1529" s="516"/>
      <c r="S1529" s="479"/>
      <c r="T1529" s="515"/>
      <c r="U1529" s="517"/>
      <c r="V1529" s="282"/>
      <c r="W1529" s="282"/>
      <c r="X1529" s="282"/>
    </row>
    <row r="1530" spans="1:35">
      <c r="A1530" s="470"/>
      <c r="B1530" s="519"/>
      <c r="C1530" s="479"/>
      <c r="D1530" s="479"/>
      <c r="E1530" s="479"/>
      <c r="F1530" s="479"/>
      <c r="G1530" s="479"/>
      <c r="H1530" s="479"/>
      <c r="I1530" s="479"/>
      <c r="J1530" s="479"/>
      <c r="K1530" s="479"/>
      <c r="L1530" s="515"/>
      <c r="M1530" s="479"/>
      <c r="N1530" s="518"/>
      <c r="O1530" s="479"/>
      <c r="P1530" s="515"/>
      <c r="Q1530" s="479"/>
      <c r="R1530" s="516"/>
      <c r="S1530" s="479"/>
      <c r="T1530" s="515"/>
      <c r="U1530" s="517"/>
      <c r="V1530" s="282"/>
      <c r="W1530" s="282"/>
      <c r="X1530" s="282"/>
    </row>
    <row r="1531" spans="1:35">
      <c r="A1531" s="470"/>
      <c r="B1531" s="519"/>
      <c r="C1531" s="479"/>
      <c r="D1531" s="479"/>
      <c r="E1531" s="479"/>
      <c r="F1531" s="479"/>
      <c r="G1531" s="479"/>
      <c r="H1531" s="479"/>
      <c r="I1531" s="479"/>
      <c r="J1531" s="479"/>
      <c r="K1531" s="479"/>
      <c r="L1531" s="515"/>
      <c r="M1531" s="479"/>
      <c r="N1531" s="518"/>
      <c r="O1531" s="479"/>
      <c r="P1531" s="515"/>
      <c r="Q1531" s="479"/>
      <c r="R1531" s="516"/>
      <c r="S1531" s="479"/>
      <c r="T1531" s="515"/>
      <c r="U1531" s="517"/>
      <c r="V1531" s="282"/>
      <c r="W1531" s="282"/>
      <c r="X1531" s="282"/>
    </row>
    <row r="1532" spans="1:35">
      <c r="A1532" s="470"/>
      <c r="B1532" s="519"/>
      <c r="C1532" s="479"/>
      <c r="D1532" s="479"/>
      <c r="E1532" s="479"/>
      <c r="F1532" s="479"/>
      <c r="G1532" s="479"/>
      <c r="H1532" s="479"/>
      <c r="I1532" s="479"/>
      <c r="J1532" s="479"/>
      <c r="K1532" s="479"/>
      <c r="L1532" s="515"/>
      <c r="M1532" s="479"/>
      <c r="N1532" s="518"/>
      <c r="O1532" s="479"/>
      <c r="P1532" s="515"/>
      <c r="Q1532" s="479"/>
      <c r="R1532" s="516"/>
      <c r="S1532" s="479"/>
      <c r="T1532" s="515"/>
      <c r="U1532" s="517"/>
      <c r="V1532" s="282"/>
      <c r="W1532" s="282"/>
      <c r="X1532" s="282"/>
    </row>
    <row r="1533" spans="1:35">
      <c r="A1533" s="198"/>
      <c r="B1533" s="216" t="s">
        <v>67</v>
      </c>
      <c r="C1533" s="211">
        <v>2507155.0699999998</v>
      </c>
      <c r="D1533" s="211"/>
      <c r="E1533" s="211"/>
      <c r="F1533" s="211"/>
      <c r="G1533" s="211"/>
      <c r="H1533" s="211"/>
      <c r="I1533" s="211"/>
      <c r="J1533" s="211"/>
      <c r="K1533" s="211">
        <v>0</v>
      </c>
      <c r="L1533" s="212">
        <v>0</v>
      </c>
      <c r="M1533" s="211">
        <v>0</v>
      </c>
      <c r="N1533" s="211">
        <v>1630.2</v>
      </c>
      <c r="O1533" s="211">
        <v>2507155.0699999998</v>
      </c>
      <c r="P1533" s="212">
        <v>0</v>
      </c>
      <c r="Q1533" s="211">
        <v>0</v>
      </c>
      <c r="R1533" s="213">
        <v>0</v>
      </c>
      <c r="S1533" s="211">
        <v>0</v>
      </c>
      <c r="T1533" s="212">
        <v>0</v>
      </c>
      <c r="U1533" s="290">
        <v>0</v>
      </c>
      <c r="V1533" s="282"/>
      <c r="W1533" s="282"/>
      <c r="X1533" s="282"/>
    </row>
    <row r="1534" spans="1:35" ht="30">
      <c r="A1534" s="198"/>
      <c r="B1534" s="214" t="s">
        <v>90</v>
      </c>
      <c r="C1534" s="211">
        <v>728197.07</v>
      </c>
      <c r="D1534" s="211"/>
      <c r="E1534" s="211"/>
      <c r="F1534" s="211"/>
      <c r="G1534" s="211"/>
      <c r="H1534" s="211"/>
      <c r="I1534" s="211"/>
      <c r="J1534" s="211"/>
      <c r="K1534" s="211">
        <v>0</v>
      </c>
      <c r="L1534" s="212">
        <v>0</v>
      </c>
      <c r="M1534" s="211">
        <v>0</v>
      </c>
      <c r="N1534" s="211">
        <v>731.2</v>
      </c>
      <c r="O1534" s="211">
        <v>728197.07</v>
      </c>
      <c r="P1534" s="212">
        <v>0</v>
      </c>
      <c r="Q1534" s="211">
        <v>0</v>
      </c>
      <c r="R1534" s="213">
        <v>0</v>
      </c>
      <c r="S1534" s="211">
        <v>0</v>
      </c>
      <c r="T1534" s="212">
        <v>0</v>
      </c>
      <c r="U1534" s="290">
        <v>0</v>
      </c>
      <c r="V1534" s="282"/>
      <c r="W1534" s="282"/>
      <c r="X1534" s="282"/>
    </row>
    <row r="1535" spans="1:35" s="23" customFormat="1">
      <c r="A1535" s="198">
        <v>464</v>
      </c>
      <c r="B1535" s="241" t="s">
        <v>429</v>
      </c>
      <c r="C1535" s="211">
        <v>728197.07</v>
      </c>
      <c r="D1535" s="211"/>
      <c r="E1535" s="211"/>
      <c r="F1535" s="211"/>
      <c r="G1535" s="211"/>
      <c r="H1535" s="211"/>
      <c r="I1535" s="211"/>
      <c r="J1535" s="211"/>
      <c r="K1535" s="211">
        <v>0</v>
      </c>
      <c r="L1535" s="212">
        <v>0</v>
      </c>
      <c r="M1535" s="211">
        <v>0</v>
      </c>
      <c r="N1535" s="211">
        <v>731.2</v>
      </c>
      <c r="O1535" s="211">
        <v>728197.07</v>
      </c>
      <c r="P1535" s="212">
        <v>0</v>
      </c>
      <c r="Q1535" s="211">
        <v>0</v>
      </c>
      <c r="R1535" s="213">
        <v>0</v>
      </c>
      <c r="S1535" s="211">
        <v>0</v>
      </c>
      <c r="T1535" s="212">
        <v>0</v>
      </c>
      <c r="U1535" s="290">
        <v>0</v>
      </c>
      <c r="V1535" s="282"/>
      <c r="W1535" s="282"/>
      <c r="X1535" s="282"/>
    </row>
    <row r="1536" spans="1:35" ht="30">
      <c r="A1536" s="470"/>
      <c r="B1536" s="480" t="s">
        <v>127</v>
      </c>
      <c r="C1536" s="479">
        <f>C1537</f>
        <v>2254298</v>
      </c>
      <c r="D1536" s="479">
        <f t="shared" ref="D1536:V1536" si="277">D1537</f>
        <v>0</v>
      </c>
      <c r="E1536" s="479">
        <f t="shared" si="277"/>
        <v>0</v>
      </c>
      <c r="F1536" s="479">
        <f t="shared" si="277"/>
        <v>0</v>
      </c>
      <c r="G1536" s="479">
        <f t="shared" si="277"/>
        <v>0</v>
      </c>
      <c r="H1536" s="479">
        <f t="shared" si="277"/>
        <v>0</v>
      </c>
      <c r="I1536" s="479">
        <f t="shared" si="277"/>
        <v>0</v>
      </c>
      <c r="J1536" s="479">
        <f t="shared" si="277"/>
        <v>0</v>
      </c>
      <c r="K1536" s="479">
        <f t="shared" si="277"/>
        <v>0</v>
      </c>
      <c r="L1536" s="479">
        <f t="shared" si="277"/>
        <v>0</v>
      </c>
      <c r="M1536" s="479">
        <f t="shared" si="277"/>
        <v>0</v>
      </c>
      <c r="N1536" s="479">
        <f t="shared" si="277"/>
        <v>1190</v>
      </c>
      <c r="O1536" s="479">
        <f t="shared" si="277"/>
        <v>2254298</v>
      </c>
      <c r="P1536" s="479">
        <f t="shared" si="277"/>
        <v>0</v>
      </c>
      <c r="Q1536" s="479">
        <f t="shared" si="277"/>
        <v>0</v>
      </c>
      <c r="R1536" s="479">
        <f t="shared" si="277"/>
        <v>0</v>
      </c>
      <c r="S1536" s="479">
        <f t="shared" si="277"/>
        <v>0</v>
      </c>
      <c r="T1536" s="479">
        <f t="shared" si="277"/>
        <v>0</v>
      </c>
      <c r="U1536" s="479">
        <f t="shared" si="277"/>
        <v>0</v>
      </c>
      <c r="V1536" s="211">
        <f t="shared" si="277"/>
        <v>0</v>
      </c>
      <c r="W1536" s="282"/>
      <c r="X1536" s="282"/>
    </row>
    <row r="1537" spans="1:24" ht="25.15" customHeight="1">
      <c r="A1537" s="470">
        <v>465</v>
      </c>
      <c r="B1537" s="480" t="s">
        <v>430</v>
      </c>
      <c r="C1537" s="479">
        <f>'часть 1'!L1561</f>
        <v>2254298</v>
      </c>
      <c r="D1537" s="479">
        <v>0</v>
      </c>
      <c r="E1537" s="479">
        <v>0</v>
      </c>
      <c r="F1537" s="479">
        <v>0</v>
      </c>
      <c r="G1537" s="479">
        <v>0</v>
      </c>
      <c r="H1537" s="479">
        <v>0</v>
      </c>
      <c r="I1537" s="479">
        <v>0</v>
      </c>
      <c r="J1537" s="479">
        <v>0</v>
      </c>
      <c r="K1537" s="479">
        <v>0</v>
      </c>
      <c r="L1537" s="515">
        <v>0</v>
      </c>
      <c r="M1537" s="479">
        <v>0</v>
      </c>
      <c r="N1537" s="479">
        <v>1190</v>
      </c>
      <c r="O1537" s="479">
        <v>2254298</v>
      </c>
      <c r="P1537" s="515">
        <v>0</v>
      </c>
      <c r="Q1537" s="479">
        <v>0</v>
      </c>
      <c r="R1537" s="516">
        <v>0</v>
      </c>
      <c r="S1537" s="479">
        <v>0</v>
      </c>
      <c r="T1537" s="515">
        <v>0</v>
      </c>
      <c r="U1537" s="517">
        <v>0</v>
      </c>
      <c r="V1537" s="282"/>
      <c r="W1537" s="282">
        <f>O1537/N1537</f>
        <v>1894.3680672268908</v>
      </c>
      <c r="X1537" s="282"/>
    </row>
  </sheetData>
  <autoFilter ref="A6:BA749" xr:uid="{00000000-0009-0000-0000-000001000000}"/>
  <sortState xmlns:xlrd2="http://schemas.microsoft.com/office/spreadsheetml/2017/richdata2" ref="B8:AD175">
    <sortCondition ref="B8:B175"/>
  </sortState>
  <customSheetViews>
    <customSheetView guid="{DC88C499-913F-4D15-846E-E5B9D5E047D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"/>
      <headerFooter>
        <oddHeader>&amp;C&amp;P</oddHeader>
      </headerFooter>
      <autoFilter ref="A6:BA749" xr:uid="{00000000-0000-0000-0000-000000000000}"/>
    </customSheetView>
    <customSheetView guid="{A6187BD3-0BA4-497C-8924-4FA3D77530F0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2"/>
      <headerFooter>
        <oddHeader>&amp;C&amp;P</oddHeader>
      </headerFooter>
      <autoFilter ref="A6:BA749" xr:uid="{00000000-0000-0000-0000-000000000000}"/>
    </customSheetView>
    <customSheetView guid="{7A75CCE7-0E84-47E6-A162-5AC0354F296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3"/>
      <headerFooter>
        <oddHeader>&amp;C&amp;P</oddHeader>
      </headerFooter>
      <autoFilter ref="A6:BA749" xr:uid="{00000000-0000-0000-0000-000000000000}"/>
    </customSheetView>
    <customSheetView guid="{144E5A37-1CF2-41F0-BEF8-CB5D4D392E2A}" scale="68" showPageBreaks="1" showAutoFilter="1" hiddenColumns="1" state="hidden" view="pageBreakPreview">
      <pane xSplit="1.7945205479452055" ySplit="5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4"/>
      <headerFooter>
        <oddHeader>&amp;C&amp;P</oddHeader>
      </headerFooter>
      <autoFilter ref="A6:BA749" xr:uid="{00000000-0000-0000-0000-000000000000}"/>
    </customSheetView>
    <customSheetView guid="{A28C0ADC-4E0C-4A0A-ACB1-DA409183476D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5"/>
      <headerFooter>
        <oddHeader>&amp;C&amp;P</oddHeader>
      </headerFooter>
      <autoFilter ref="A6:BA749" xr:uid="{00000000-0000-0000-0000-000000000000}"/>
    </customSheetView>
    <customSheetView guid="{B1841E62-04AF-4786-8B2B-B1F42C88E6D1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6"/>
      <headerFooter>
        <oddHeader>&amp;C&amp;P</oddHeader>
      </headerFooter>
      <autoFilter ref="A6:BA560" xr:uid="{00000000-0000-0000-0000-000000000000}"/>
    </customSheetView>
    <customSheetView guid="{570403C4-1D93-4175-B4D8-BD47D46CE99C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7"/>
      <headerFooter>
        <oddHeader>&amp;C&amp;P</oddHeader>
      </headerFooter>
      <autoFilter ref="A6:BA749" xr:uid="{00000000-0000-0000-0000-000000000000}"/>
    </customSheetView>
    <customSheetView guid="{4C44C113-DA02-468D-99C5-83FA6693F42F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8"/>
      <headerFooter>
        <oddHeader>&amp;C&amp;P</oddHeader>
      </headerFooter>
      <autoFilter ref="A6:BA749" xr:uid="{00000000-0000-0000-0000-000000000000}"/>
    </customSheetView>
    <customSheetView guid="{DFE5B545-478C-4B86-847C-1FEE882C6F69}" scale="68" showPageBreaks="1" showAutoFilter="1" hiddenColumns="1" state="hidden" view="pageBreakPreview">
      <pane xSplit="2" ySplit="5.7142857142857144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9"/>
      <headerFooter>
        <oddHeader>&amp;C&amp;P</oddHeader>
      </headerFooter>
      <autoFilter ref="A6:BA749" xr:uid="{00000000-0000-0000-0000-000000000000}"/>
    </customSheetView>
    <customSheetView guid="{971AA6D5-B469-4A54-816C-1252CCB6D265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0"/>
      <headerFooter>
        <oddHeader>&amp;C&amp;P</oddHeader>
      </headerFooter>
      <autoFilter ref="A6:BA749" xr:uid="{00000000-0000-0000-0000-000000000000}"/>
    </customSheetView>
  </customSheetViews>
  <mergeCells count="11">
    <mergeCell ref="T4:U4"/>
    <mergeCell ref="A1:U1"/>
    <mergeCell ref="A2:A5"/>
    <mergeCell ref="B2:B5"/>
    <mergeCell ref="C2:C4"/>
    <mergeCell ref="L4:M4"/>
    <mergeCell ref="N4:O4"/>
    <mergeCell ref="P4:Q4"/>
    <mergeCell ref="R4:S4"/>
    <mergeCell ref="D3:K3"/>
    <mergeCell ref="D2:U2"/>
  </mergeCells>
  <printOptions horizontalCentered="1"/>
  <pageMargins left="3.937007874015748E-2" right="3.937007874015748E-2" top="0.98425196850393704" bottom="0.39370078740157483" header="0.70866141732283472" footer="0.19685039370078741"/>
  <pageSetup paperSize="9" scale="64" firstPageNumber="20" orientation="landscape" useFirstPageNumber="1" horizontalDpi="4294967294" verticalDpi="4294967294" r:id="rId11"/>
  <headerFooter>
    <oddHeader>&amp;C&amp;P</oddHeader>
  </headerFooter>
  <colBreaks count="2" manualBreakCount="2">
    <brk id="13" max="1541" man="1"/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93"/>
  <sheetViews>
    <sheetView view="pageBreakPreview" zoomScale="72" zoomScaleSheetLayoutView="72" workbookViewId="0">
      <pane xSplit="2" ySplit="4" topLeftCell="C7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8.85546875" defaultRowHeight="15"/>
  <cols>
    <col min="1" max="1" width="5.7109375" style="20" customWidth="1"/>
    <col min="2" max="2" width="28.5703125" style="1" customWidth="1"/>
    <col min="3" max="3" width="12" style="54" customWidth="1"/>
    <col min="4" max="4" width="13.7109375" style="56" customWidth="1"/>
    <col min="5" max="9" width="9.7109375" style="22" customWidth="1"/>
    <col min="10" max="10" width="9.7109375" style="1" customWidth="1"/>
    <col min="11" max="11" width="10.42578125" style="1" customWidth="1"/>
    <col min="12" max="12" width="11.7109375" style="25" customWidth="1"/>
    <col min="13" max="13" width="13.5703125" style="1" customWidth="1"/>
    <col min="14" max="14" width="14.28515625" style="1" customWidth="1"/>
    <col min="15" max="15" width="12.42578125" style="1" customWidth="1"/>
    <col min="16" max="26" width="8.85546875" style="1"/>
    <col min="27" max="27" width="8.85546875" style="1" customWidth="1"/>
    <col min="28" max="16384" width="8.85546875" style="1"/>
  </cols>
  <sheetData>
    <row r="1" spans="1:16" ht="45" customHeight="1">
      <c r="A1" s="1421" t="s">
        <v>124</v>
      </c>
      <c r="B1" s="1421"/>
      <c r="C1" s="1421"/>
      <c r="D1" s="1421"/>
      <c r="E1" s="1421"/>
      <c r="F1" s="1421"/>
      <c r="G1" s="1421"/>
      <c r="H1" s="1421"/>
      <c r="I1" s="1421"/>
      <c r="J1" s="1421"/>
      <c r="K1" s="1421"/>
      <c r="L1" s="1421"/>
      <c r="M1" s="1421"/>
      <c r="N1" s="1421"/>
    </row>
    <row r="2" spans="1:16" ht="62.25" customHeight="1">
      <c r="A2" s="1417" t="s">
        <v>0</v>
      </c>
      <c r="B2" s="1417" t="s">
        <v>25</v>
      </c>
      <c r="C2" s="1422" t="s">
        <v>460</v>
      </c>
      <c r="D2" s="1423" t="s">
        <v>6</v>
      </c>
      <c r="E2" s="1424" t="s">
        <v>26</v>
      </c>
      <c r="F2" s="1424"/>
      <c r="G2" s="1424"/>
      <c r="H2" s="1424"/>
      <c r="I2" s="1424"/>
      <c r="J2" s="1417" t="s">
        <v>7</v>
      </c>
      <c r="K2" s="1417"/>
      <c r="L2" s="1417"/>
      <c r="M2" s="1417"/>
      <c r="N2" s="1417"/>
      <c r="O2" s="56"/>
    </row>
    <row r="3" spans="1:16" ht="48" customHeight="1">
      <c r="A3" s="1417"/>
      <c r="B3" s="1417"/>
      <c r="C3" s="1422"/>
      <c r="D3" s="1423"/>
      <c r="E3" s="188" t="s">
        <v>27</v>
      </c>
      <c r="F3" s="188" t="s">
        <v>28</v>
      </c>
      <c r="G3" s="188" t="s">
        <v>29</v>
      </c>
      <c r="H3" s="188" t="s">
        <v>30</v>
      </c>
      <c r="I3" s="188" t="s">
        <v>440</v>
      </c>
      <c r="J3" s="186" t="s">
        <v>27</v>
      </c>
      <c r="K3" s="186" t="s">
        <v>28</v>
      </c>
      <c r="L3" s="187" t="s">
        <v>29</v>
      </c>
      <c r="M3" s="186" t="s">
        <v>30</v>
      </c>
      <c r="N3" s="186" t="s">
        <v>440</v>
      </c>
    </row>
    <row r="4" spans="1:16">
      <c r="A4" s="1417"/>
      <c r="B4" s="1417"/>
      <c r="C4" s="242" t="s">
        <v>21</v>
      </c>
      <c r="D4" s="243" t="s">
        <v>16</v>
      </c>
      <c r="E4" s="190" t="s">
        <v>23</v>
      </c>
      <c r="F4" s="190" t="s">
        <v>23</v>
      </c>
      <c r="G4" s="190" t="s">
        <v>23</v>
      </c>
      <c r="H4" s="190" t="s">
        <v>23</v>
      </c>
      <c r="I4" s="190" t="s">
        <v>23</v>
      </c>
      <c r="J4" s="189" t="s">
        <v>17</v>
      </c>
      <c r="K4" s="189" t="s">
        <v>17</v>
      </c>
      <c r="L4" s="244" t="s">
        <v>17</v>
      </c>
      <c r="M4" s="189" t="s">
        <v>17</v>
      </c>
      <c r="N4" s="189" t="s">
        <v>17</v>
      </c>
    </row>
    <row r="5" spans="1:16" ht="12.75" customHeight="1">
      <c r="A5" s="245">
        <v>1</v>
      </c>
      <c r="B5" s="245">
        <v>2</v>
      </c>
      <c r="C5" s="246">
        <v>3</v>
      </c>
      <c r="D5" s="247">
        <v>4</v>
      </c>
      <c r="E5" s="246">
        <v>5</v>
      </c>
      <c r="F5" s="246">
        <v>6</v>
      </c>
      <c r="G5" s="246">
        <v>7</v>
      </c>
      <c r="H5" s="246">
        <v>8</v>
      </c>
      <c r="I5" s="246">
        <v>9</v>
      </c>
      <c r="J5" s="245">
        <v>10</v>
      </c>
      <c r="K5" s="245">
        <v>11</v>
      </c>
      <c r="L5" s="246">
        <v>12</v>
      </c>
      <c r="M5" s="245">
        <v>13</v>
      </c>
      <c r="N5" s="245">
        <v>14</v>
      </c>
    </row>
    <row r="6" spans="1:16" ht="28.5" customHeight="1">
      <c r="A6" s="189"/>
      <c r="B6" s="248" t="s">
        <v>42</v>
      </c>
      <c r="C6" s="249">
        <f>C7+C8+C9+C10+C11+C12+C14+C16+C18++C20+C23+C25+C33+C35+C37+C40+C46+C48+C51+C55+C64+C66+C68+C72+C74+C76+C79+C82+C84+C89+C92+C94+C96+C99+C101+C102</f>
        <v>468830.9499999999</v>
      </c>
      <c r="D6" s="250">
        <f>D7+D8+D9+D10+D11+D12+D14+D16+D18++D20+D23+D25+D33+D35+D37+D40+D46+D48+D51+D55+D64+D66+D68+D72+D74+D76+D79+D82+D84+D89+D92+D94+D96+D99+D101+D102</f>
        <v>15600</v>
      </c>
      <c r="E6" s="250">
        <f>E7+E8+E9+E10+E11+E12+E14+E16+E18+E20+E23+E25+E33+E35+E37+E40+E46+E48+E51+E55+E64+E66+E68+E72+E74+E76+E79+E82+E84+E89+E92+E94+E99+E101+E102</f>
        <v>0</v>
      </c>
      <c r="F6" s="250">
        <f>F7+F8+F9+F10+F11+F12+F14+F16+F18+F20+F23+F25+F33+F35+F37+F40+F46+F48+F51+F55+F64+F66+F68+F72+F74+F76+F79+F82+F84+F89+F92+F94+F99+F101+F102</f>
        <v>2</v>
      </c>
      <c r="G6" s="250">
        <f>G7+G8+G9+G10+G11+G12+G14+G16+G18+G20+G23+G25+G33+G35+G37+G40+G46+G48+G51+G55+G64+G66+G68+G72+G74+G76+G79+G82+G84+G89+G92+G94+G96+G99+G101+G102</f>
        <v>7</v>
      </c>
      <c r="H6" s="252" t="e">
        <f>H7+H8+H9+H10+H11+H12+H14+H16+H18+H20+H23+H25+H33+H35+H37+H40+H46+H48+H51+H55+H64+H66+H68+H72+H74+H76+H79+H82+H84+H89+H92+H94+H96+H99+H101+H102</f>
        <v>#REF!</v>
      </c>
      <c r="I6" s="252" t="e">
        <f>I7+I8+I9+I10+I11+I12+I14+I16+I18+I20+I23+I25+I33+I35+I37+I40+I46+I48+I51+I55+I64+I66+I68+I72+I74+I76+I79+I82+I84+I89+I92+I94+I96+I99+I101+I102</f>
        <v>#REF!</v>
      </c>
      <c r="J6" s="251">
        <f>J7+J8+J9+J10+J11+J12+J14+J16+J18+J20+J23+J25+J33+J35+J37+J40+J46+J48+J51+J55+J64+J66+J68+J72+J74+J76+J79+J82+J84+J89+J92+J94+J99+J101+J102</f>
        <v>0</v>
      </c>
      <c r="K6" s="251">
        <f>K7+K8+K9+K10+K11+K12+K14+K16+K18+K20+K23+K25+K33+K35+K37+K40+K46+K48+K51+K55+K64+K66+K68+K72+K74+K76+K79+K82+K84+K89+K92+K94+K99+K101+K102</f>
        <v>3666180</v>
      </c>
      <c r="L6" s="251">
        <f>L7+L8+L9+L10+L11+L12+L14+L16+L18+L20+L23+L25+L33+L35+L37+L40+L46+L48+L51+L55+L64+L66+L68+L72+L74+L76+L79+L82+L84+L89+L92+L94+L99+L101+L102</f>
        <v>7158350.0700000003</v>
      </c>
      <c r="M6" s="251">
        <f>M7+M8+M9+M10+M11+M12+M14+M16+M18+M20+M23+M25+M33+M35+M37+M40+M46+M48+M51+M55+M64+M66+M68+M72+M74+M76+M79+M82+M84+M89+M92+M94+M96+M99+M101+M102</f>
        <v>667981123.17999995</v>
      </c>
      <c r="N6" s="251">
        <f>N7+N8+N9+N10+N11+N12+N14+N16+N18+N20+N23+N25+N33+N35+N37+N40+N46+N48+N51+N55+N64+N66+N68+N72+N74+N76+N79+N82+N84+N89+N92+N94+N96+N99+N101+N102</f>
        <v>689255460.85000002</v>
      </c>
      <c r="O6" s="83"/>
    </row>
    <row r="7" spans="1:16" ht="15.75" customHeight="1">
      <c r="A7" s="449">
        <v>1</v>
      </c>
      <c r="B7" s="450" t="s">
        <v>89</v>
      </c>
      <c r="C7" s="451">
        <f>'часть 1'!H19</f>
        <v>0</v>
      </c>
      <c r="D7" s="452">
        <f>'часть 1'!K19</f>
        <v>0</v>
      </c>
      <c r="E7" s="453">
        <v>0</v>
      </c>
      <c r="F7" s="453">
        <v>0</v>
      </c>
      <c r="G7" s="453">
        <v>0</v>
      </c>
      <c r="H7" s="453">
        <v>168</v>
      </c>
      <c r="I7" s="453">
        <f>H7+G7</f>
        <v>168</v>
      </c>
      <c r="J7" s="454">
        <v>0</v>
      </c>
      <c r="K7" s="454">
        <v>0</v>
      </c>
      <c r="L7" s="454">
        <v>0</v>
      </c>
      <c r="M7" s="454">
        <f>'часть 1'!L19</f>
        <v>336230870.63</v>
      </c>
      <c r="N7" s="454">
        <f t="shared" ref="N7:N12" si="0">M7</f>
        <v>336230870.63</v>
      </c>
      <c r="O7" s="25"/>
      <c r="P7" s="25"/>
    </row>
    <row r="8" spans="1:16" ht="26.25" customHeight="1">
      <c r="A8" s="189">
        <v>2</v>
      </c>
      <c r="B8" s="248" t="s">
        <v>91</v>
      </c>
      <c r="C8" s="249">
        <f>'часть 1'!H188</f>
        <v>25162</v>
      </c>
      <c r="D8" s="250">
        <f>'часть 1'!K188</f>
        <v>816</v>
      </c>
      <c r="E8" s="252">
        <v>0</v>
      </c>
      <c r="F8" s="252">
        <v>0</v>
      </c>
      <c r="G8" s="252">
        <v>0</v>
      </c>
      <c r="H8" s="252">
        <v>16</v>
      </c>
      <c r="I8" s="252">
        <f t="shared" ref="I8:I77" si="1">H8+G8</f>
        <v>16</v>
      </c>
      <c r="J8" s="251">
        <v>0</v>
      </c>
      <c r="K8" s="251">
        <v>0</v>
      </c>
      <c r="L8" s="251">
        <v>0</v>
      </c>
      <c r="M8" s="251">
        <f>'часть 1'!L188</f>
        <v>31255395.629999999</v>
      </c>
      <c r="N8" s="251">
        <f t="shared" si="0"/>
        <v>31255395.629999999</v>
      </c>
      <c r="O8" s="25"/>
      <c r="P8" s="25"/>
    </row>
    <row r="9" spans="1:16" ht="15.75" customHeight="1">
      <c r="A9" s="449">
        <v>3</v>
      </c>
      <c r="B9" s="450" t="s">
        <v>92</v>
      </c>
      <c r="C9" s="451">
        <f>'часть 1'!H205</f>
        <v>432.8</v>
      </c>
      <c r="D9" s="452">
        <f>'часть 1'!K205</f>
        <v>27</v>
      </c>
      <c r="E9" s="453">
        <v>0</v>
      </c>
      <c r="F9" s="453">
        <v>0</v>
      </c>
      <c r="G9" s="453">
        <v>0</v>
      </c>
      <c r="H9" s="453">
        <v>1</v>
      </c>
      <c r="I9" s="453">
        <f t="shared" si="1"/>
        <v>1</v>
      </c>
      <c r="J9" s="454">
        <v>0</v>
      </c>
      <c r="K9" s="454">
        <v>0</v>
      </c>
      <c r="L9" s="454">
        <v>0</v>
      </c>
      <c r="M9" s="454">
        <f>'часть 1'!L205</f>
        <v>366350</v>
      </c>
      <c r="N9" s="454">
        <f t="shared" si="0"/>
        <v>366350</v>
      </c>
      <c r="P9" s="25"/>
    </row>
    <row r="10" spans="1:16" ht="15.75" customHeight="1">
      <c r="A10" s="449">
        <v>4</v>
      </c>
      <c r="B10" s="450" t="s">
        <v>93</v>
      </c>
      <c r="C10" s="451">
        <f>'часть 1'!H207</f>
        <v>19486.900000000001</v>
      </c>
      <c r="D10" s="452">
        <f>'часть 1'!K207</f>
        <v>669</v>
      </c>
      <c r="E10" s="453">
        <v>0</v>
      </c>
      <c r="F10" s="453">
        <v>0</v>
      </c>
      <c r="G10" s="453">
        <v>0</v>
      </c>
      <c r="H10" s="453">
        <v>12</v>
      </c>
      <c r="I10" s="453">
        <f t="shared" si="1"/>
        <v>12</v>
      </c>
      <c r="J10" s="454">
        <v>0</v>
      </c>
      <c r="K10" s="454">
        <v>0</v>
      </c>
      <c r="L10" s="454">
        <v>0</v>
      </c>
      <c r="M10" s="701">
        <f>'часть 1'!L207</f>
        <v>31146002</v>
      </c>
      <c r="N10" s="454">
        <f>M10</f>
        <v>31146002</v>
      </c>
      <c r="P10" s="25"/>
    </row>
    <row r="11" spans="1:16" ht="16.5" customHeight="1">
      <c r="A11" s="449">
        <v>5</v>
      </c>
      <c r="B11" s="456" t="s">
        <v>94</v>
      </c>
      <c r="C11" s="451">
        <f>'часть 1'!H231</f>
        <v>27680.9</v>
      </c>
      <c r="D11" s="452">
        <f>'часть 1'!K231</f>
        <v>984</v>
      </c>
      <c r="E11" s="453">
        <v>0</v>
      </c>
      <c r="F11" s="453">
        <v>0</v>
      </c>
      <c r="G11" s="453">
        <v>0</v>
      </c>
      <c r="H11" s="453">
        <v>9</v>
      </c>
      <c r="I11" s="453">
        <f t="shared" si="1"/>
        <v>9</v>
      </c>
      <c r="J11" s="454">
        <v>0</v>
      </c>
      <c r="K11" s="454">
        <v>0</v>
      </c>
      <c r="L11" s="454">
        <v>0</v>
      </c>
      <c r="M11" s="454">
        <f>'часть 1'!L231</f>
        <v>26467626</v>
      </c>
      <c r="N11" s="454">
        <f t="shared" si="0"/>
        <v>26467626</v>
      </c>
      <c r="O11" s="25"/>
      <c r="P11" s="25"/>
    </row>
    <row r="12" spans="1:16" s="3" customFormat="1">
      <c r="A12" s="449">
        <v>6</v>
      </c>
      <c r="B12" s="826" t="s">
        <v>123</v>
      </c>
      <c r="C12" s="827">
        <f>'часть 1'!H244</f>
        <v>34678.06</v>
      </c>
      <c r="D12" s="829">
        <f>'часть 1'!K244</f>
        <v>1002</v>
      </c>
      <c r="E12" s="880">
        <v>0</v>
      </c>
      <c r="F12" s="880">
        <v>0</v>
      </c>
      <c r="G12" s="880">
        <v>0</v>
      </c>
      <c r="H12" s="830">
        <v>5</v>
      </c>
      <c r="I12" s="453">
        <f t="shared" si="1"/>
        <v>5</v>
      </c>
      <c r="J12" s="828">
        <v>0</v>
      </c>
      <c r="K12" s="828">
        <v>0</v>
      </c>
      <c r="L12" s="828">
        <v>0</v>
      </c>
      <c r="M12" s="828">
        <f>'часть 1'!L244</f>
        <v>11767484</v>
      </c>
      <c r="N12" s="828">
        <f t="shared" si="0"/>
        <v>11767484</v>
      </c>
      <c r="P12" s="25"/>
    </row>
    <row r="13" spans="1:16" s="3" customFormat="1">
      <c r="A13" s="449"/>
      <c r="B13" s="826" t="s">
        <v>864</v>
      </c>
      <c r="C13" s="827">
        <f>'часть 1'!H257</f>
        <v>4284.7</v>
      </c>
      <c r="D13" s="829">
        <f>'часть 1'!K257</f>
        <v>97</v>
      </c>
      <c r="E13" s="880">
        <v>0</v>
      </c>
      <c r="F13" s="880">
        <v>1</v>
      </c>
      <c r="G13" s="880">
        <v>1</v>
      </c>
      <c r="H13" s="830">
        <v>0</v>
      </c>
      <c r="I13" s="453">
        <f>H13+G13+F13+E13</f>
        <v>2</v>
      </c>
      <c r="J13" s="828">
        <v>0</v>
      </c>
      <c r="K13" s="828">
        <v>898332</v>
      </c>
      <c r="L13" s="828">
        <v>1914360</v>
      </c>
      <c r="M13" s="828">
        <v>0</v>
      </c>
      <c r="N13" s="828">
        <f>M13+L13+K13+J13</f>
        <v>2812692</v>
      </c>
      <c r="P13" s="25"/>
    </row>
    <row r="14" spans="1:16" s="3" customFormat="1">
      <c r="A14" s="825"/>
      <c r="B14" s="826" t="s">
        <v>72</v>
      </c>
      <c r="C14" s="827">
        <f>C15</f>
        <v>3033.7</v>
      </c>
      <c r="D14" s="827">
        <f t="shared" ref="D14:N14" si="2">D15</f>
        <v>100</v>
      </c>
      <c r="E14" s="827">
        <f t="shared" si="2"/>
        <v>0</v>
      </c>
      <c r="F14" s="827">
        <f t="shared" si="2"/>
        <v>0</v>
      </c>
      <c r="G14" s="827">
        <f t="shared" si="2"/>
        <v>0</v>
      </c>
      <c r="H14" s="827">
        <f t="shared" si="2"/>
        <v>7</v>
      </c>
      <c r="I14" s="827">
        <f t="shared" si="2"/>
        <v>7</v>
      </c>
      <c r="J14" s="828">
        <f t="shared" si="2"/>
        <v>0</v>
      </c>
      <c r="K14" s="828">
        <f t="shared" si="2"/>
        <v>0</v>
      </c>
      <c r="L14" s="828">
        <f t="shared" si="2"/>
        <v>0</v>
      </c>
      <c r="M14" s="828">
        <f t="shared" si="2"/>
        <v>5868972</v>
      </c>
      <c r="N14" s="828">
        <f t="shared" si="2"/>
        <v>5868972</v>
      </c>
      <c r="P14" s="25"/>
    </row>
    <row r="15" spans="1:16" s="3" customFormat="1" ht="25.5">
      <c r="A15" s="825">
        <v>7</v>
      </c>
      <c r="B15" s="826" t="s">
        <v>95</v>
      </c>
      <c r="C15" s="827">
        <f>'часть 1'!H261</f>
        <v>3033.7</v>
      </c>
      <c r="D15" s="829">
        <f>'часть 1'!K261</f>
        <v>100</v>
      </c>
      <c r="E15" s="453">
        <v>0</v>
      </c>
      <c r="F15" s="453">
        <v>0</v>
      </c>
      <c r="G15" s="453">
        <v>0</v>
      </c>
      <c r="H15" s="830">
        <v>7</v>
      </c>
      <c r="I15" s="453">
        <f t="shared" si="1"/>
        <v>7</v>
      </c>
      <c r="J15" s="828">
        <v>0</v>
      </c>
      <c r="K15" s="828">
        <v>0</v>
      </c>
      <c r="L15" s="828">
        <v>0</v>
      </c>
      <c r="M15" s="828">
        <f>'часть 1'!L260</f>
        <v>5868972</v>
      </c>
      <c r="N15" s="828">
        <f>M15</f>
        <v>5868972</v>
      </c>
      <c r="P15" s="25"/>
    </row>
    <row r="16" spans="1:16">
      <c r="A16" s="254"/>
      <c r="B16" s="248" t="s">
        <v>41</v>
      </c>
      <c r="C16" s="249">
        <f>C17</f>
        <v>21724.199999999997</v>
      </c>
      <c r="D16" s="250">
        <f t="shared" ref="D16:N16" si="3">D17</f>
        <v>832</v>
      </c>
      <c r="E16" s="252">
        <f t="shared" si="3"/>
        <v>0</v>
      </c>
      <c r="F16" s="252">
        <f t="shared" si="3"/>
        <v>0</v>
      </c>
      <c r="G16" s="252">
        <f t="shared" si="3"/>
        <v>0</v>
      </c>
      <c r="H16" s="252">
        <f>H17</f>
        <v>10</v>
      </c>
      <c r="I16" s="252">
        <f t="shared" si="1"/>
        <v>10</v>
      </c>
      <c r="J16" s="251">
        <f t="shared" si="3"/>
        <v>0</v>
      </c>
      <c r="K16" s="251">
        <f t="shared" si="3"/>
        <v>0</v>
      </c>
      <c r="L16" s="251">
        <f t="shared" si="3"/>
        <v>0</v>
      </c>
      <c r="M16" s="251">
        <f>'часть 1'!L269</f>
        <v>22562280</v>
      </c>
      <c r="N16" s="251">
        <f t="shared" si="3"/>
        <v>22562280</v>
      </c>
      <c r="P16" s="25"/>
    </row>
    <row r="17" spans="1:16" ht="25.5">
      <c r="A17" s="455">
        <v>8</v>
      </c>
      <c r="B17" s="450" t="s">
        <v>96</v>
      </c>
      <c r="C17" s="451">
        <f>'часть 1'!H269</f>
        <v>21724.199999999997</v>
      </c>
      <c r="D17" s="452">
        <f>'часть 1'!K270</f>
        <v>832</v>
      </c>
      <c r="E17" s="453">
        <v>0</v>
      </c>
      <c r="F17" s="453">
        <v>0</v>
      </c>
      <c r="G17" s="453">
        <v>0</v>
      </c>
      <c r="H17" s="453">
        <v>10</v>
      </c>
      <c r="I17" s="453">
        <f t="shared" si="1"/>
        <v>10</v>
      </c>
      <c r="J17" s="454">
        <v>0</v>
      </c>
      <c r="K17" s="454">
        <v>0</v>
      </c>
      <c r="L17" s="454">
        <v>0</v>
      </c>
      <c r="M17" s="454">
        <f>'часть 1'!L269</f>
        <v>22562280</v>
      </c>
      <c r="N17" s="454">
        <f>M17</f>
        <v>22562280</v>
      </c>
      <c r="P17" s="25"/>
    </row>
    <row r="18" spans="1:16">
      <c r="A18" s="254"/>
      <c r="B18" s="248" t="s">
        <v>68</v>
      </c>
      <c r="C18" s="249">
        <f>C19</f>
        <v>362.9</v>
      </c>
      <c r="D18" s="249">
        <f t="shared" ref="D18:N18" si="4">D19</f>
        <v>15</v>
      </c>
      <c r="E18" s="249">
        <f t="shared" si="4"/>
        <v>0</v>
      </c>
      <c r="F18" s="249">
        <f t="shared" si="4"/>
        <v>0</v>
      </c>
      <c r="G18" s="249">
        <f t="shared" si="4"/>
        <v>0</v>
      </c>
      <c r="H18" s="249">
        <f t="shared" si="4"/>
        <v>1</v>
      </c>
      <c r="I18" s="249">
        <f t="shared" si="4"/>
        <v>1</v>
      </c>
      <c r="J18" s="249">
        <f t="shared" si="4"/>
        <v>0</v>
      </c>
      <c r="K18" s="249">
        <f t="shared" si="4"/>
        <v>0</v>
      </c>
      <c r="L18" s="249">
        <f t="shared" si="4"/>
        <v>0</v>
      </c>
      <c r="M18" s="249">
        <f t="shared" si="4"/>
        <v>241114</v>
      </c>
      <c r="N18" s="249">
        <f t="shared" si="4"/>
        <v>241114</v>
      </c>
      <c r="P18" s="25"/>
    </row>
    <row r="19" spans="1:16" ht="25.5">
      <c r="A19" s="455">
        <v>9</v>
      </c>
      <c r="B19" s="450" t="s">
        <v>97</v>
      </c>
      <c r="C19" s="451">
        <f>'часть 1'!H282</f>
        <v>362.9</v>
      </c>
      <c r="D19" s="452">
        <f>'часть 1'!K282</f>
        <v>15</v>
      </c>
      <c r="E19" s="453">
        <v>0</v>
      </c>
      <c r="F19" s="453">
        <v>0</v>
      </c>
      <c r="G19" s="453">
        <v>0</v>
      </c>
      <c r="H19" s="453">
        <v>1</v>
      </c>
      <c r="I19" s="453">
        <f t="shared" si="1"/>
        <v>1</v>
      </c>
      <c r="J19" s="454">
        <v>0</v>
      </c>
      <c r="K19" s="454">
        <v>0</v>
      </c>
      <c r="L19" s="454">
        <v>0</v>
      </c>
      <c r="M19" s="454">
        <f>'часть 1'!L282</f>
        <v>241114</v>
      </c>
      <c r="N19" s="454">
        <f>M19</f>
        <v>241114</v>
      </c>
      <c r="P19" s="25"/>
    </row>
    <row r="20" spans="1:16" s="19" customFormat="1">
      <c r="A20" s="255"/>
      <c r="B20" s="255" t="s">
        <v>43</v>
      </c>
      <c r="C20" s="249">
        <f>C21+C22</f>
        <v>23164.559999999998</v>
      </c>
      <c r="D20" s="256">
        <f>D21+D22</f>
        <v>853</v>
      </c>
      <c r="E20" s="252">
        <f>E21+E22</f>
        <v>0</v>
      </c>
      <c r="F20" s="252">
        <f t="shared" ref="F20:H20" si="5">F21+F22</f>
        <v>0</v>
      </c>
      <c r="G20" s="252">
        <f t="shared" si="5"/>
        <v>0</v>
      </c>
      <c r="H20" s="252" t="e">
        <f t="shared" si="5"/>
        <v>#REF!</v>
      </c>
      <c r="I20" s="252" t="e">
        <f t="shared" si="1"/>
        <v>#REF!</v>
      </c>
      <c r="J20" s="251">
        <f>J21+J22</f>
        <v>0</v>
      </c>
      <c r="K20" s="251">
        <f t="shared" ref="K20:N20" si="6">K21+K22</f>
        <v>0</v>
      </c>
      <c r="L20" s="251">
        <f t="shared" si="6"/>
        <v>0</v>
      </c>
      <c r="M20" s="251">
        <f t="shared" si="6"/>
        <v>23032470</v>
      </c>
      <c r="N20" s="251">
        <f t="shared" si="6"/>
        <v>23032470</v>
      </c>
      <c r="O20" s="84"/>
      <c r="P20" s="25"/>
    </row>
    <row r="21" spans="1:16" s="19" customFormat="1" ht="25.5">
      <c r="A21" s="254">
        <v>10</v>
      </c>
      <c r="B21" s="253" t="s">
        <v>125</v>
      </c>
      <c r="C21" s="249">
        <f>'часть 1'!H285</f>
        <v>20106.559999999998</v>
      </c>
      <c r="D21" s="250">
        <f>'часть 1'!K285</f>
        <v>735</v>
      </c>
      <c r="E21" s="252">
        <v>0</v>
      </c>
      <c r="F21" s="252">
        <v>0</v>
      </c>
      <c r="G21" s="252">
        <v>0</v>
      </c>
      <c r="H21" s="252" t="e">
        <f>'часть 2'!#REF!</f>
        <v>#REF!</v>
      </c>
      <c r="I21" s="252" t="e">
        <f t="shared" si="1"/>
        <v>#REF!</v>
      </c>
      <c r="J21" s="251">
        <v>0</v>
      </c>
      <c r="K21" s="251">
        <v>0</v>
      </c>
      <c r="L21" s="251">
        <v>0</v>
      </c>
      <c r="M21" s="251">
        <f>'часть 1'!L285</f>
        <v>20696312</v>
      </c>
      <c r="N21" s="251">
        <f>M21</f>
        <v>20696312</v>
      </c>
      <c r="P21" s="25"/>
    </row>
    <row r="22" spans="1:16" s="19" customFormat="1" ht="25.5">
      <c r="A22" s="254">
        <v>11</v>
      </c>
      <c r="B22" s="253" t="s">
        <v>210</v>
      </c>
      <c r="C22" s="249">
        <f>'часть 1'!H300</f>
        <v>3058</v>
      </c>
      <c r="D22" s="250">
        <f>'часть 1'!K300</f>
        <v>118</v>
      </c>
      <c r="E22" s="252">
        <v>0</v>
      </c>
      <c r="F22" s="252">
        <v>0</v>
      </c>
      <c r="G22" s="252">
        <v>0</v>
      </c>
      <c r="H22" s="252">
        <v>2</v>
      </c>
      <c r="I22" s="252">
        <f t="shared" si="1"/>
        <v>2</v>
      </c>
      <c r="J22" s="251">
        <v>0</v>
      </c>
      <c r="K22" s="251">
        <v>0</v>
      </c>
      <c r="L22" s="251">
        <v>0</v>
      </c>
      <c r="M22" s="251">
        <f>'часть 1'!L300</f>
        <v>2336158</v>
      </c>
      <c r="N22" s="251">
        <f>M22</f>
        <v>2336158</v>
      </c>
      <c r="P22" s="25"/>
    </row>
    <row r="23" spans="1:16">
      <c r="A23" s="254"/>
      <c r="B23" s="255" t="s">
        <v>44</v>
      </c>
      <c r="C23" s="249">
        <f>C24</f>
        <v>1753.9</v>
      </c>
      <c r="D23" s="250">
        <f t="shared" ref="D23:N23" si="7">D24</f>
        <v>60</v>
      </c>
      <c r="E23" s="252">
        <f t="shared" si="7"/>
        <v>0</v>
      </c>
      <c r="F23" s="252">
        <f t="shared" si="7"/>
        <v>0</v>
      </c>
      <c r="G23" s="252">
        <f t="shared" si="7"/>
        <v>0</v>
      </c>
      <c r="H23" s="252">
        <f t="shared" si="7"/>
        <v>2</v>
      </c>
      <c r="I23" s="252">
        <f t="shared" si="1"/>
        <v>2</v>
      </c>
      <c r="J23" s="251">
        <f t="shared" si="7"/>
        <v>0</v>
      </c>
      <c r="K23" s="251">
        <f t="shared" si="7"/>
        <v>0</v>
      </c>
      <c r="L23" s="251">
        <f t="shared" si="7"/>
        <v>0</v>
      </c>
      <c r="M23" s="251">
        <f>'часть 1'!L303</f>
        <v>2561132</v>
      </c>
      <c r="N23" s="251">
        <f t="shared" si="7"/>
        <v>2561132</v>
      </c>
      <c r="P23" s="25"/>
    </row>
    <row r="24" spans="1:16" s="18" customFormat="1" ht="25.5">
      <c r="A24" s="455">
        <f>A22+1</f>
        <v>12</v>
      </c>
      <c r="B24" s="456" t="s">
        <v>435</v>
      </c>
      <c r="C24" s="451">
        <f>'часть 1'!H304</f>
        <v>1753.9</v>
      </c>
      <c r="D24" s="452">
        <f>'часть 1'!K304</f>
        <v>60</v>
      </c>
      <c r="E24" s="453">
        <v>0</v>
      </c>
      <c r="F24" s="453">
        <v>0</v>
      </c>
      <c r="G24" s="453">
        <v>0</v>
      </c>
      <c r="H24" s="453">
        <v>2</v>
      </c>
      <c r="I24" s="453">
        <f t="shared" si="1"/>
        <v>2</v>
      </c>
      <c r="J24" s="454">
        <v>0</v>
      </c>
      <c r="K24" s="454">
        <v>0</v>
      </c>
      <c r="L24" s="454">
        <v>0</v>
      </c>
      <c r="M24" s="454">
        <f>'часть 1'!L303</f>
        <v>2561132</v>
      </c>
      <c r="N24" s="454">
        <f>M24</f>
        <v>2561132</v>
      </c>
      <c r="P24" s="25"/>
    </row>
    <row r="25" spans="1:16" ht="21" customHeight="1">
      <c r="A25" s="254"/>
      <c r="B25" s="255" t="s">
        <v>45</v>
      </c>
      <c r="C25" s="249">
        <f>C26+C27+C28+C29+C30+C31+C32</f>
        <v>12862.18</v>
      </c>
      <c r="D25" s="249">
        <f t="shared" ref="D25:N25" si="8">D26+D27+D28+D29+D30+D31+D32</f>
        <v>459</v>
      </c>
      <c r="E25" s="249">
        <f t="shared" si="8"/>
        <v>0</v>
      </c>
      <c r="F25" s="249">
        <f t="shared" si="8"/>
        <v>0</v>
      </c>
      <c r="G25" s="249">
        <f t="shared" si="8"/>
        <v>0</v>
      </c>
      <c r="H25" s="249">
        <f t="shared" si="8"/>
        <v>5</v>
      </c>
      <c r="I25" s="249">
        <f t="shared" si="8"/>
        <v>5</v>
      </c>
      <c r="J25" s="251">
        <f t="shared" si="8"/>
        <v>0</v>
      </c>
      <c r="K25" s="251">
        <f t="shared" si="8"/>
        <v>0</v>
      </c>
      <c r="L25" s="251">
        <f t="shared" si="8"/>
        <v>0</v>
      </c>
      <c r="M25" s="251">
        <f t="shared" si="8"/>
        <v>9578601</v>
      </c>
      <c r="N25" s="251">
        <f t="shared" si="8"/>
        <v>9578601</v>
      </c>
      <c r="O25" s="25"/>
      <c r="P25" s="25"/>
    </row>
    <row r="26" spans="1:16" ht="25.5">
      <c r="A26" s="455">
        <f>A24+1</f>
        <v>13</v>
      </c>
      <c r="B26" s="593" t="s">
        <v>98</v>
      </c>
      <c r="C26" s="451">
        <f>'часть 1'!H308</f>
        <v>3536</v>
      </c>
      <c r="D26" s="452">
        <f>'часть 1'!K308</f>
        <v>153</v>
      </c>
      <c r="E26" s="453">
        <v>0</v>
      </c>
      <c r="F26" s="453">
        <v>0</v>
      </c>
      <c r="G26" s="453">
        <v>0</v>
      </c>
      <c r="H26" s="453">
        <v>1</v>
      </c>
      <c r="I26" s="453">
        <f t="shared" si="1"/>
        <v>1</v>
      </c>
      <c r="J26" s="454">
        <v>0</v>
      </c>
      <c r="K26" s="454">
        <v>0</v>
      </c>
      <c r="L26" s="454">
        <v>0</v>
      </c>
      <c r="M26" s="454">
        <f>'часть 1'!L308</f>
        <v>2256851</v>
      </c>
      <c r="N26" s="454">
        <f>M26</f>
        <v>2256851</v>
      </c>
      <c r="P26" s="25"/>
    </row>
    <row r="27" spans="1:16" ht="25.5">
      <c r="A27" s="455"/>
      <c r="B27" s="593" t="s">
        <v>688</v>
      </c>
      <c r="C27" s="451">
        <f>'часть 1'!H311</f>
        <v>1426.08</v>
      </c>
      <c r="D27" s="452">
        <f>'часть 1'!K311</f>
        <v>47</v>
      </c>
      <c r="E27" s="453">
        <v>0</v>
      </c>
      <c r="F27" s="453">
        <v>0</v>
      </c>
      <c r="G27" s="453">
        <v>0</v>
      </c>
      <c r="H27" s="453">
        <v>1</v>
      </c>
      <c r="I27" s="453">
        <v>1</v>
      </c>
      <c r="J27" s="454">
        <v>0</v>
      </c>
      <c r="K27" s="454">
        <v>0</v>
      </c>
      <c r="L27" s="454">
        <v>0</v>
      </c>
      <c r="M27" s="454">
        <v>1826091</v>
      </c>
      <c r="N27" s="454">
        <f>M27+L27+K27+J27</f>
        <v>1826091</v>
      </c>
      <c r="P27" s="25"/>
    </row>
    <row r="28" spans="1:16" ht="25.5">
      <c r="A28" s="455">
        <f>A26+1</f>
        <v>14</v>
      </c>
      <c r="B28" s="456" t="s">
        <v>99</v>
      </c>
      <c r="C28" s="439">
        <f>'часть 1'!H312</f>
        <v>961.2</v>
      </c>
      <c r="D28" s="442">
        <f>'часть 1'!K312</f>
        <v>37</v>
      </c>
      <c r="E28" s="453">
        <v>0</v>
      </c>
      <c r="F28" s="453">
        <v>0</v>
      </c>
      <c r="G28" s="453">
        <v>0</v>
      </c>
      <c r="H28" s="440">
        <v>1</v>
      </c>
      <c r="I28" s="453">
        <f t="shared" si="1"/>
        <v>1</v>
      </c>
      <c r="J28" s="454">
        <v>0</v>
      </c>
      <c r="K28" s="454">
        <v>0</v>
      </c>
      <c r="L28" s="454">
        <v>0</v>
      </c>
      <c r="M28" s="454">
        <f>'часть 1'!L312</f>
        <v>1602324</v>
      </c>
      <c r="N28" s="454">
        <f>M28</f>
        <v>1602324</v>
      </c>
      <c r="P28" s="25"/>
    </row>
    <row r="29" spans="1:16" ht="25.5">
      <c r="A29" s="598">
        <f>A28+1</f>
        <v>15</v>
      </c>
      <c r="B29" s="599" t="s">
        <v>100</v>
      </c>
      <c r="C29" s="600">
        <f>'часть 1'!H314</f>
        <v>3346.3</v>
      </c>
      <c r="D29" s="601">
        <f>'часть 1'!K314</f>
        <v>128</v>
      </c>
      <c r="E29" s="602">
        <v>0</v>
      </c>
      <c r="F29" s="602">
        <v>0</v>
      </c>
      <c r="G29" s="602">
        <v>0</v>
      </c>
      <c r="H29" s="602">
        <v>1</v>
      </c>
      <c r="I29" s="602">
        <f t="shared" si="1"/>
        <v>1</v>
      </c>
      <c r="J29" s="603">
        <v>0</v>
      </c>
      <c r="K29" s="603">
        <v>0</v>
      </c>
      <c r="L29" s="603">
        <v>0</v>
      </c>
      <c r="M29" s="603">
        <f>'часть 1'!L314</f>
        <v>1986648</v>
      </c>
      <c r="N29" s="603">
        <f>M29</f>
        <v>1986648</v>
      </c>
      <c r="P29" s="25"/>
    </row>
    <row r="30" spans="1:16" ht="25.5">
      <c r="A30" s="455">
        <f>A29+1</f>
        <v>16</v>
      </c>
      <c r="B30" s="456" t="s">
        <v>101</v>
      </c>
      <c r="C30" s="451">
        <f>'часть 1'!H316</f>
        <v>0</v>
      </c>
      <c r="D30" s="452">
        <f>'часть 1'!K316</f>
        <v>0</v>
      </c>
      <c r="E30" s="453">
        <v>0</v>
      </c>
      <c r="F30" s="453">
        <v>0</v>
      </c>
      <c r="G30" s="453">
        <v>0</v>
      </c>
      <c r="H30" s="453">
        <v>0</v>
      </c>
      <c r="I30" s="453">
        <f t="shared" si="1"/>
        <v>0</v>
      </c>
      <c r="J30" s="454">
        <v>0</v>
      </c>
      <c r="K30" s="454">
        <v>0</v>
      </c>
      <c r="L30" s="454">
        <v>0</v>
      </c>
      <c r="M30" s="454">
        <f>'часть 1'!L316</f>
        <v>0</v>
      </c>
      <c r="N30" s="454">
        <f>M30</f>
        <v>0</v>
      </c>
      <c r="P30" s="25"/>
    </row>
    <row r="31" spans="1:16" ht="28.5" customHeight="1">
      <c r="A31" s="459">
        <f>A30+1</f>
        <v>17</v>
      </c>
      <c r="B31" s="456" t="s">
        <v>863</v>
      </c>
      <c r="C31" s="451">
        <f>'часть 1'!H317</f>
        <v>0</v>
      </c>
      <c r="D31" s="452">
        <f>'часть 1'!K317</f>
        <v>0</v>
      </c>
      <c r="E31" s="453">
        <v>0</v>
      </c>
      <c r="F31" s="453">
        <v>0</v>
      </c>
      <c r="G31" s="453">
        <v>0</v>
      </c>
      <c r="H31" s="453">
        <v>0</v>
      </c>
      <c r="I31" s="453">
        <f t="shared" si="1"/>
        <v>0</v>
      </c>
      <c r="J31" s="454">
        <v>0</v>
      </c>
      <c r="K31" s="454">
        <v>0</v>
      </c>
      <c r="L31" s="454">
        <v>0</v>
      </c>
      <c r="M31" s="454">
        <f>'часть 1'!L317</f>
        <v>0</v>
      </c>
      <c r="N31" s="454">
        <f>M31</f>
        <v>0</v>
      </c>
      <c r="P31" s="25"/>
    </row>
    <row r="32" spans="1:16" ht="28.5" customHeight="1">
      <c r="A32" s="459"/>
      <c r="B32" s="456" t="s">
        <v>861</v>
      </c>
      <c r="C32" s="451">
        <f>'часть 1'!H319</f>
        <v>3592.6</v>
      </c>
      <c r="D32" s="452">
        <f>'часть 1'!K319</f>
        <v>94</v>
      </c>
      <c r="E32" s="453">
        <v>0</v>
      </c>
      <c r="F32" s="453">
        <v>0</v>
      </c>
      <c r="G32" s="453">
        <v>0</v>
      </c>
      <c r="H32" s="453">
        <v>1</v>
      </c>
      <c r="I32" s="453">
        <v>1</v>
      </c>
      <c r="J32" s="454">
        <v>0</v>
      </c>
      <c r="K32" s="454">
        <v>0</v>
      </c>
      <c r="L32" s="454">
        <v>0</v>
      </c>
      <c r="M32" s="454">
        <f>'часть 1'!L319</f>
        <v>1906687</v>
      </c>
      <c r="N32" s="454">
        <f>M32+L32+K32+J32</f>
        <v>1906687</v>
      </c>
      <c r="P32" s="25"/>
    </row>
    <row r="33" spans="1:16">
      <c r="A33" s="254"/>
      <c r="B33" s="255" t="s">
        <v>46</v>
      </c>
      <c r="C33" s="249">
        <f>'часть 1'!H320</f>
        <v>525.4</v>
      </c>
      <c r="D33" s="250">
        <f>'часть 1'!K320</f>
        <v>21</v>
      </c>
      <c r="E33" s="252">
        <f t="shared" ref="E33:N33" si="9">E34</f>
        <v>0</v>
      </c>
      <c r="F33" s="252">
        <f t="shared" si="9"/>
        <v>0</v>
      </c>
      <c r="G33" s="252">
        <f t="shared" si="9"/>
        <v>0</v>
      </c>
      <c r="H33" s="252">
        <f t="shared" si="9"/>
        <v>1</v>
      </c>
      <c r="I33" s="252">
        <f t="shared" si="1"/>
        <v>1</v>
      </c>
      <c r="J33" s="251">
        <f t="shared" si="9"/>
        <v>0</v>
      </c>
      <c r="K33" s="251">
        <f t="shared" si="9"/>
        <v>0</v>
      </c>
      <c r="L33" s="251">
        <f t="shared" si="9"/>
        <v>0</v>
      </c>
      <c r="M33" s="251">
        <f t="shared" si="9"/>
        <v>1415265</v>
      </c>
      <c r="N33" s="251">
        <f t="shared" si="9"/>
        <v>1415265</v>
      </c>
      <c r="O33" s="25"/>
      <c r="P33" s="25"/>
    </row>
    <row r="34" spans="1:16" ht="25.5">
      <c r="A34" s="455">
        <f>A31+1</f>
        <v>18</v>
      </c>
      <c r="B34" s="456" t="s">
        <v>587</v>
      </c>
      <c r="C34" s="451">
        <f>'часть 1'!H321</f>
        <v>525.4</v>
      </c>
      <c r="D34" s="452">
        <f>'часть 1'!K320</f>
        <v>21</v>
      </c>
      <c r="E34" s="453">
        <v>0</v>
      </c>
      <c r="F34" s="453">
        <v>0</v>
      </c>
      <c r="G34" s="453">
        <v>0</v>
      </c>
      <c r="H34" s="453">
        <v>1</v>
      </c>
      <c r="I34" s="453">
        <f t="shared" si="1"/>
        <v>1</v>
      </c>
      <c r="J34" s="454">
        <v>0</v>
      </c>
      <c r="K34" s="454">
        <v>0</v>
      </c>
      <c r="L34" s="454">
        <v>0</v>
      </c>
      <c r="M34" s="454">
        <f>'часть 1'!L321</f>
        <v>1415265</v>
      </c>
      <c r="N34" s="454">
        <f>M34</f>
        <v>1415265</v>
      </c>
      <c r="P34" s="25"/>
    </row>
    <row r="35" spans="1:16">
      <c r="A35" s="254"/>
      <c r="B35" s="255" t="s">
        <v>47</v>
      </c>
      <c r="C35" s="249">
        <f>'часть 1'!H324</f>
        <v>3715.2</v>
      </c>
      <c r="D35" s="250">
        <f>'часть 1'!K324</f>
        <v>106</v>
      </c>
      <c r="E35" s="252">
        <f t="shared" ref="E35:N35" si="10">E36</f>
        <v>0</v>
      </c>
      <c r="F35" s="252">
        <f t="shared" si="10"/>
        <v>0</v>
      </c>
      <c r="G35" s="252">
        <f t="shared" si="10"/>
        <v>0</v>
      </c>
      <c r="H35" s="252">
        <f>H36</f>
        <v>5</v>
      </c>
      <c r="I35" s="252">
        <f t="shared" si="1"/>
        <v>5</v>
      </c>
      <c r="J35" s="251">
        <f t="shared" si="10"/>
        <v>0</v>
      </c>
      <c r="K35" s="251">
        <f t="shared" si="10"/>
        <v>0</v>
      </c>
      <c r="L35" s="251">
        <f t="shared" si="10"/>
        <v>0</v>
      </c>
      <c r="M35" s="251">
        <f t="shared" si="10"/>
        <v>6592116</v>
      </c>
      <c r="N35" s="251">
        <f t="shared" si="10"/>
        <v>6592116</v>
      </c>
      <c r="O35" s="25"/>
      <c r="P35" s="25"/>
    </row>
    <row r="36" spans="1:16" ht="25.5">
      <c r="A36" s="459">
        <f>A34+1</f>
        <v>19</v>
      </c>
      <c r="B36" s="456" t="s">
        <v>103</v>
      </c>
      <c r="C36" s="451">
        <f>'часть 1'!H325</f>
        <v>3715.2</v>
      </c>
      <c r="D36" s="452">
        <f>'часть 1'!K325</f>
        <v>106</v>
      </c>
      <c r="E36" s="453">
        <v>0</v>
      </c>
      <c r="F36" s="453">
        <v>0</v>
      </c>
      <c r="G36" s="453">
        <v>0</v>
      </c>
      <c r="H36" s="453">
        <v>5</v>
      </c>
      <c r="I36" s="453">
        <f t="shared" si="1"/>
        <v>5</v>
      </c>
      <c r="J36" s="454">
        <v>0</v>
      </c>
      <c r="K36" s="454">
        <v>0</v>
      </c>
      <c r="L36" s="454">
        <v>0</v>
      </c>
      <c r="M36" s="454">
        <f>'часть 1'!L325</f>
        <v>6592116</v>
      </c>
      <c r="N36" s="454">
        <f>M36</f>
        <v>6592116</v>
      </c>
      <c r="P36" s="25"/>
    </row>
    <row r="37" spans="1:16" s="9" customFormat="1">
      <c r="A37" s="254"/>
      <c r="B37" s="255" t="s">
        <v>48</v>
      </c>
      <c r="C37" s="249">
        <f>'часть 1'!H331</f>
        <v>1348.8000000000002</v>
      </c>
      <c r="D37" s="250">
        <f>'часть 1'!K331</f>
        <v>52</v>
      </c>
      <c r="E37" s="252">
        <f t="shared" ref="E37:N37" si="11">E38+E39</f>
        <v>0</v>
      </c>
      <c r="F37" s="252">
        <f t="shared" si="11"/>
        <v>0</v>
      </c>
      <c r="G37" s="252">
        <f t="shared" si="11"/>
        <v>0</v>
      </c>
      <c r="H37" s="252" t="e">
        <f>H38+H39</f>
        <v>#REF!</v>
      </c>
      <c r="I37" s="252" t="e">
        <f t="shared" si="1"/>
        <v>#REF!</v>
      </c>
      <c r="J37" s="251">
        <f t="shared" si="11"/>
        <v>0</v>
      </c>
      <c r="K37" s="251">
        <f t="shared" si="11"/>
        <v>0</v>
      </c>
      <c r="L37" s="251">
        <f t="shared" si="11"/>
        <v>0</v>
      </c>
      <c r="M37" s="251">
        <f t="shared" si="11"/>
        <v>3699748</v>
      </c>
      <c r="N37" s="251">
        <f t="shared" si="11"/>
        <v>3699748</v>
      </c>
      <c r="O37" s="39"/>
      <c r="P37" s="25"/>
    </row>
    <row r="38" spans="1:16" ht="25.5">
      <c r="A38" s="459">
        <f>A36+1</f>
        <v>20</v>
      </c>
      <c r="B38" s="456" t="s">
        <v>107</v>
      </c>
      <c r="C38" s="451">
        <f>'часть 1'!H332</f>
        <v>1083.3000000000002</v>
      </c>
      <c r="D38" s="452">
        <f>'часть 1'!K332</f>
        <v>50</v>
      </c>
      <c r="E38" s="453">
        <v>0</v>
      </c>
      <c r="F38" s="453">
        <v>0</v>
      </c>
      <c r="G38" s="453">
        <v>0</v>
      </c>
      <c r="H38" s="453">
        <v>2</v>
      </c>
      <c r="I38" s="453">
        <f t="shared" si="1"/>
        <v>2</v>
      </c>
      <c r="J38" s="454">
        <v>0</v>
      </c>
      <c r="K38" s="454">
        <v>0</v>
      </c>
      <c r="L38" s="454">
        <v>0</v>
      </c>
      <c r="M38" s="454">
        <f>'часть 1'!L332</f>
        <v>3145909</v>
      </c>
      <c r="N38" s="454">
        <f t="shared" ref="N38:N41" si="12">M38</f>
        <v>3145909</v>
      </c>
      <c r="P38" s="25"/>
    </row>
    <row r="39" spans="1:16" ht="27" customHeight="1">
      <c r="A39" s="236">
        <f>A38+1</f>
        <v>21</v>
      </c>
      <c r="B39" s="253" t="s">
        <v>104</v>
      </c>
      <c r="C39" s="249">
        <f>'часть 1'!H336</f>
        <v>265.5</v>
      </c>
      <c r="D39" s="250">
        <f>'часть 1'!K336</f>
        <v>2</v>
      </c>
      <c r="E39" s="252">
        <v>0</v>
      </c>
      <c r="F39" s="252">
        <v>0</v>
      </c>
      <c r="G39" s="252">
        <v>0</v>
      </c>
      <c r="H39" s="252" t="e">
        <f>'часть 2'!#REF!</f>
        <v>#REF!</v>
      </c>
      <c r="I39" s="252" t="e">
        <f t="shared" si="1"/>
        <v>#REF!</v>
      </c>
      <c r="J39" s="251">
        <v>0</v>
      </c>
      <c r="K39" s="251">
        <v>0</v>
      </c>
      <c r="L39" s="251">
        <v>0</v>
      </c>
      <c r="M39" s="251">
        <f>'часть 1'!L336</f>
        <v>553839</v>
      </c>
      <c r="N39" s="251">
        <f t="shared" si="12"/>
        <v>553839</v>
      </c>
      <c r="P39" s="25"/>
    </row>
    <row r="40" spans="1:16">
      <c r="A40" s="236"/>
      <c r="B40" s="255" t="s">
        <v>49</v>
      </c>
      <c r="C40" s="249">
        <f>'часть 1'!H338</f>
        <v>8221.4</v>
      </c>
      <c r="D40" s="250">
        <f>'часть 1'!K338</f>
        <v>388</v>
      </c>
      <c r="E40" s="252">
        <f t="shared" ref="E40:K40" si="13">E41</f>
        <v>0</v>
      </c>
      <c r="F40" s="252">
        <f t="shared" si="13"/>
        <v>0</v>
      </c>
      <c r="G40" s="252">
        <f>G41+G43+G44+G45</f>
        <v>1</v>
      </c>
      <c r="H40" s="252">
        <f>H41+H43+H44+H45</f>
        <v>2</v>
      </c>
      <c r="I40" s="252">
        <f t="shared" si="1"/>
        <v>3</v>
      </c>
      <c r="J40" s="251">
        <f t="shared" si="13"/>
        <v>0</v>
      </c>
      <c r="K40" s="251">
        <f t="shared" si="13"/>
        <v>0</v>
      </c>
      <c r="L40" s="251">
        <f>L43</f>
        <v>1905804</v>
      </c>
      <c r="M40" s="251">
        <f>SUM(M41:M45)</f>
        <v>6108282</v>
      </c>
      <c r="N40" s="251">
        <f>SUM(N41:N45)</f>
        <v>18463893.600000001</v>
      </c>
      <c r="O40" s="25"/>
      <c r="P40" s="25"/>
    </row>
    <row r="41" spans="1:16" ht="25.5">
      <c r="A41" s="459">
        <f>A39+1</f>
        <v>22</v>
      </c>
      <c r="B41" s="456" t="s">
        <v>588</v>
      </c>
      <c r="C41" s="451">
        <f>'часть 1'!H339</f>
        <v>1542.7</v>
      </c>
      <c r="D41" s="452">
        <f>'часть 1'!K339</f>
        <v>78</v>
      </c>
      <c r="E41" s="453">
        <v>0</v>
      </c>
      <c r="F41" s="453">
        <v>0</v>
      </c>
      <c r="G41" s="453">
        <v>0</v>
      </c>
      <c r="H41" s="453">
        <v>1</v>
      </c>
      <c r="I41" s="453">
        <f t="shared" si="1"/>
        <v>1</v>
      </c>
      <c r="J41" s="454">
        <v>0</v>
      </c>
      <c r="K41" s="454">
        <v>0</v>
      </c>
      <c r="L41" s="454">
        <v>0</v>
      </c>
      <c r="M41" s="454">
        <f>'часть 1'!L339</f>
        <v>5287622</v>
      </c>
      <c r="N41" s="454">
        <f t="shared" si="12"/>
        <v>5287622</v>
      </c>
      <c r="P41" s="25"/>
    </row>
    <row r="42" spans="1:16" ht="25.5">
      <c r="A42" s="236"/>
      <c r="B42" s="253" t="s">
        <v>985</v>
      </c>
      <c r="C42" s="249">
        <f>'часть 1'!H341</f>
        <v>1774</v>
      </c>
      <c r="D42" s="250">
        <f>'часть 1'!K341</f>
        <v>99</v>
      </c>
      <c r="E42" s="252">
        <v>0</v>
      </c>
      <c r="F42" s="252">
        <v>0</v>
      </c>
      <c r="G42" s="252">
        <v>2</v>
      </c>
      <c r="H42" s="252">
        <v>0</v>
      </c>
      <c r="I42" s="252">
        <v>2</v>
      </c>
      <c r="J42" s="251">
        <v>0</v>
      </c>
      <c r="K42" s="251">
        <v>0</v>
      </c>
      <c r="L42" s="251">
        <f>'часть 1'!L341</f>
        <v>7561422.5999999996</v>
      </c>
      <c r="M42" s="251">
        <v>0</v>
      </c>
      <c r="N42" s="251">
        <f>M42+L42+K42+J42</f>
        <v>7561422.5999999996</v>
      </c>
      <c r="P42" s="25"/>
    </row>
    <row r="43" spans="1:16" ht="25.5">
      <c r="A43" s="236">
        <f>A41+1</f>
        <v>23</v>
      </c>
      <c r="B43" s="253" t="s">
        <v>188</v>
      </c>
      <c r="C43" s="249">
        <f>'часть 1'!H344</f>
        <v>1595.1</v>
      </c>
      <c r="D43" s="250">
        <f>'часть 1'!K344</f>
        <v>87</v>
      </c>
      <c r="E43" s="252">
        <v>0</v>
      </c>
      <c r="F43" s="252">
        <v>0</v>
      </c>
      <c r="G43" s="252">
        <v>0</v>
      </c>
      <c r="H43" s="252">
        <v>0</v>
      </c>
      <c r="I43" s="252">
        <f t="shared" si="1"/>
        <v>0</v>
      </c>
      <c r="J43" s="251">
        <v>0</v>
      </c>
      <c r="K43" s="251">
        <v>0</v>
      </c>
      <c r="L43" s="251">
        <f>'часть 1'!L344</f>
        <v>1905804</v>
      </c>
      <c r="M43" s="251">
        <v>0</v>
      </c>
      <c r="N43" s="251">
        <f>L43</f>
        <v>1905804</v>
      </c>
      <c r="P43" s="25"/>
    </row>
    <row r="44" spans="1:16" ht="25.5">
      <c r="A44" s="236">
        <f>A43+1</f>
        <v>24</v>
      </c>
      <c r="B44" s="253" t="s">
        <v>189</v>
      </c>
      <c r="C44" s="249">
        <f>'часть 1'!H347</f>
        <v>506.9</v>
      </c>
      <c r="D44" s="250">
        <f>'часть 1'!K347</f>
        <v>7</v>
      </c>
      <c r="E44" s="252">
        <v>0</v>
      </c>
      <c r="F44" s="252">
        <v>0</v>
      </c>
      <c r="G44" s="252">
        <v>0</v>
      </c>
      <c r="H44" s="252">
        <v>1</v>
      </c>
      <c r="I44" s="252">
        <f t="shared" si="1"/>
        <v>1</v>
      </c>
      <c r="J44" s="251">
        <v>0</v>
      </c>
      <c r="K44" s="251">
        <v>0</v>
      </c>
      <c r="L44" s="251">
        <v>0</v>
      </c>
      <c r="M44" s="251">
        <f>'часть 1'!L347</f>
        <v>820660</v>
      </c>
      <c r="N44" s="251">
        <f>M44</f>
        <v>820660</v>
      </c>
      <c r="P44" s="25"/>
    </row>
    <row r="45" spans="1:16" ht="25.5">
      <c r="A45" s="236">
        <f>A44+1</f>
        <v>25</v>
      </c>
      <c r="B45" s="253" t="s">
        <v>589</v>
      </c>
      <c r="C45" s="249">
        <f>'часть 1'!H349</f>
        <v>4576.7</v>
      </c>
      <c r="D45" s="250">
        <f>'часть 1'!K349</f>
        <v>216</v>
      </c>
      <c r="E45" s="252">
        <v>0</v>
      </c>
      <c r="F45" s="252">
        <v>0</v>
      </c>
      <c r="G45" s="252">
        <v>1</v>
      </c>
      <c r="H45" s="252">
        <v>0</v>
      </c>
      <c r="I45" s="252">
        <f t="shared" si="1"/>
        <v>1</v>
      </c>
      <c r="J45" s="251">
        <v>0</v>
      </c>
      <c r="K45" s="251">
        <v>0</v>
      </c>
      <c r="L45" s="251">
        <v>2888385</v>
      </c>
      <c r="M45" s="251">
        <v>0</v>
      </c>
      <c r="N45" s="251">
        <v>2888385</v>
      </c>
      <c r="P45" s="25"/>
    </row>
    <row r="46" spans="1:16">
      <c r="A46" s="236"/>
      <c r="B46" s="255" t="s">
        <v>50</v>
      </c>
      <c r="C46" s="249">
        <f>C47</f>
        <v>6412.52</v>
      </c>
      <c r="D46" s="250">
        <f t="shared" ref="D46:N46" si="14">D47</f>
        <v>202</v>
      </c>
      <c r="E46" s="252">
        <f t="shared" si="14"/>
        <v>0</v>
      </c>
      <c r="F46" s="252">
        <f t="shared" si="14"/>
        <v>0</v>
      </c>
      <c r="G46" s="252">
        <f t="shared" si="14"/>
        <v>0</v>
      </c>
      <c r="H46" s="252">
        <f t="shared" si="14"/>
        <v>9</v>
      </c>
      <c r="I46" s="252">
        <f t="shared" si="1"/>
        <v>9</v>
      </c>
      <c r="J46" s="251">
        <f t="shared" si="14"/>
        <v>0</v>
      </c>
      <c r="K46" s="251">
        <f t="shared" si="14"/>
        <v>0</v>
      </c>
      <c r="L46" s="251">
        <f t="shared" si="14"/>
        <v>0</v>
      </c>
      <c r="M46" s="251">
        <f t="shared" si="14"/>
        <v>14213854</v>
      </c>
      <c r="N46" s="251">
        <f t="shared" si="14"/>
        <v>14213854</v>
      </c>
      <c r="O46" s="25"/>
      <c r="P46" s="25"/>
    </row>
    <row r="47" spans="1:16" ht="25.5">
      <c r="A47" s="236">
        <f>A45+1</f>
        <v>26</v>
      </c>
      <c r="B47" s="253" t="s">
        <v>106</v>
      </c>
      <c r="C47" s="249">
        <f>'часть 1'!H353</f>
        <v>6412.52</v>
      </c>
      <c r="D47" s="250">
        <f>'часть 1'!K353</f>
        <v>202</v>
      </c>
      <c r="E47" s="252">
        <v>0</v>
      </c>
      <c r="F47" s="252">
        <v>0</v>
      </c>
      <c r="G47" s="252">
        <v>0</v>
      </c>
      <c r="H47" s="252">
        <v>9</v>
      </c>
      <c r="I47" s="252">
        <f t="shared" si="1"/>
        <v>9</v>
      </c>
      <c r="J47" s="251">
        <v>0</v>
      </c>
      <c r="K47" s="251">
        <v>0</v>
      </c>
      <c r="L47" s="251">
        <v>0</v>
      </c>
      <c r="M47" s="251">
        <f>'часть 1'!L352</f>
        <v>14213854</v>
      </c>
      <c r="N47" s="251">
        <f>M47</f>
        <v>14213854</v>
      </c>
      <c r="P47" s="25"/>
    </row>
    <row r="48" spans="1:16">
      <c r="A48" s="236"/>
      <c r="B48" s="255" t="s">
        <v>51</v>
      </c>
      <c r="C48" s="249">
        <f>C49</f>
        <v>7394.6</v>
      </c>
      <c r="D48" s="250">
        <f t="shared" ref="D48:N48" si="15">D49</f>
        <v>302</v>
      </c>
      <c r="E48" s="252">
        <f t="shared" si="15"/>
        <v>0</v>
      </c>
      <c r="F48" s="252">
        <f t="shared" si="15"/>
        <v>0</v>
      </c>
      <c r="G48" s="252">
        <f t="shared" si="15"/>
        <v>0</v>
      </c>
      <c r="H48" s="252">
        <f t="shared" si="15"/>
        <v>8</v>
      </c>
      <c r="I48" s="252">
        <f t="shared" si="1"/>
        <v>8</v>
      </c>
      <c r="J48" s="251">
        <f t="shared" si="15"/>
        <v>0</v>
      </c>
      <c r="K48" s="251">
        <f t="shared" si="15"/>
        <v>0</v>
      </c>
      <c r="L48" s="251">
        <f t="shared" si="15"/>
        <v>0</v>
      </c>
      <c r="M48" s="251">
        <f t="shared" si="15"/>
        <v>11379869</v>
      </c>
      <c r="N48" s="251">
        <f t="shared" si="15"/>
        <v>11379869</v>
      </c>
      <c r="O48" s="25"/>
      <c r="P48" s="25"/>
    </row>
    <row r="49" spans="1:16" ht="25.5">
      <c r="A49" s="236">
        <f>A47+1</f>
        <v>27</v>
      </c>
      <c r="B49" s="253" t="s">
        <v>108</v>
      </c>
      <c r="C49" s="249">
        <f>'часть 1'!H363</f>
        <v>7394.6</v>
      </c>
      <c r="D49" s="250">
        <f>'часть 1'!K363</f>
        <v>302</v>
      </c>
      <c r="E49" s="252">
        <v>0</v>
      </c>
      <c r="F49" s="252">
        <v>0</v>
      </c>
      <c r="G49" s="252">
        <v>0</v>
      </c>
      <c r="H49" s="252">
        <v>8</v>
      </c>
      <c r="I49" s="252">
        <f t="shared" si="1"/>
        <v>8</v>
      </c>
      <c r="J49" s="251">
        <v>0</v>
      </c>
      <c r="K49" s="251">
        <v>0</v>
      </c>
      <c r="L49" s="251">
        <v>0</v>
      </c>
      <c r="M49" s="251">
        <f>'часть 1'!L364</f>
        <v>11379869</v>
      </c>
      <c r="N49" s="251">
        <f>M49</f>
        <v>11379869</v>
      </c>
      <c r="P49" s="25"/>
    </row>
    <row r="50" spans="1:16" ht="25.5">
      <c r="A50" s="459"/>
      <c r="B50" s="456" t="s">
        <v>882</v>
      </c>
      <c r="C50" s="451">
        <f>'часть 1'!H373</f>
        <v>1087.7</v>
      </c>
      <c r="D50" s="452">
        <f>'часть 1'!K373</f>
        <v>55</v>
      </c>
      <c r="E50" s="453">
        <v>0</v>
      </c>
      <c r="F50" s="453">
        <v>0</v>
      </c>
      <c r="G50" s="453">
        <v>2</v>
      </c>
      <c r="H50" s="453">
        <v>0</v>
      </c>
      <c r="I50" s="453">
        <v>2</v>
      </c>
      <c r="J50" s="454">
        <v>0</v>
      </c>
      <c r="K50" s="454">
        <v>0</v>
      </c>
      <c r="L50" s="454">
        <v>2903743</v>
      </c>
      <c r="M50" s="454">
        <v>0</v>
      </c>
      <c r="N50" s="454">
        <f>M50+L50+K50+J50</f>
        <v>2903743</v>
      </c>
      <c r="P50" s="25"/>
    </row>
    <row r="51" spans="1:16">
      <c r="A51" s="236"/>
      <c r="B51" s="255" t="s">
        <v>52</v>
      </c>
      <c r="C51" s="249">
        <f>C53+C52+C54</f>
        <v>2360.4</v>
      </c>
      <c r="D51" s="250">
        <f>D53+D52+D54</f>
        <v>81</v>
      </c>
      <c r="E51" s="252">
        <f>E53+E52</f>
        <v>0</v>
      </c>
      <c r="F51" s="252">
        <f t="shared" ref="F51:G51" si="16">F53+F52</f>
        <v>0</v>
      </c>
      <c r="G51" s="252">
        <f t="shared" si="16"/>
        <v>1</v>
      </c>
      <c r="H51" s="252">
        <f>H53+H52+H54</f>
        <v>2</v>
      </c>
      <c r="I51" s="252">
        <f t="shared" si="1"/>
        <v>3</v>
      </c>
      <c r="J51" s="251">
        <f t="shared" ref="J51:L51" si="17">J53</f>
        <v>0</v>
      </c>
      <c r="K51" s="251">
        <f t="shared" si="17"/>
        <v>0</v>
      </c>
      <c r="L51" s="251">
        <f t="shared" si="17"/>
        <v>0</v>
      </c>
      <c r="M51" s="251">
        <f>M53+M52+M54</f>
        <v>1292346</v>
      </c>
      <c r="N51" s="251">
        <f>M51</f>
        <v>1292346</v>
      </c>
      <c r="O51" s="25"/>
      <c r="P51" s="25"/>
    </row>
    <row r="52" spans="1:16" ht="25.5">
      <c r="A52" s="459">
        <f>A49+1</f>
        <v>28</v>
      </c>
      <c r="B52" s="456" t="s">
        <v>130</v>
      </c>
      <c r="C52" s="451">
        <f>'часть 1'!H377</f>
        <v>704.6</v>
      </c>
      <c r="D52" s="452">
        <f>'часть 1'!K377</f>
        <v>16</v>
      </c>
      <c r="E52" s="453">
        <v>0</v>
      </c>
      <c r="F52" s="453">
        <v>0</v>
      </c>
      <c r="G52" s="453">
        <v>1</v>
      </c>
      <c r="H52" s="453">
        <v>0</v>
      </c>
      <c r="I52" s="453">
        <f t="shared" si="1"/>
        <v>1</v>
      </c>
      <c r="J52" s="454">
        <v>0</v>
      </c>
      <c r="K52" s="454">
        <v>0</v>
      </c>
      <c r="L52" s="454">
        <v>1828731</v>
      </c>
      <c r="M52" s="454">
        <v>0</v>
      </c>
      <c r="N52" s="454">
        <v>1828731</v>
      </c>
      <c r="O52" s="25"/>
      <c r="P52" s="25"/>
    </row>
    <row r="53" spans="1:16" ht="25.5">
      <c r="A53" s="236">
        <f>A52+1</f>
        <v>29</v>
      </c>
      <c r="B53" s="253" t="s">
        <v>109</v>
      </c>
      <c r="C53" s="249">
        <f>'часть 1'!H380</f>
        <v>799.3</v>
      </c>
      <c r="D53" s="250">
        <f>'часть 1'!K380</f>
        <v>32</v>
      </c>
      <c r="E53" s="252">
        <v>0</v>
      </c>
      <c r="F53" s="252">
        <v>0</v>
      </c>
      <c r="G53" s="252">
        <v>0</v>
      </c>
      <c r="H53" s="252">
        <v>1</v>
      </c>
      <c r="I53" s="252">
        <f t="shared" si="1"/>
        <v>1</v>
      </c>
      <c r="J53" s="251">
        <v>0</v>
      </c>
      <c r="K53" s="251">
        <v>0</v>
      </c>
      <c r="L53" s="251">
        <v>0</v>
      </c>
      <c r="M53" s="251">
        <v>201010</v>
      </c>
      <c r="N53" s="251">
        <f>M53</f>
        <v>201010</v>
      </c>
      <c r="P53" s="25"/>
    </row>
    <row r="54" spans="1:16" ht="25.5">
      <c r="A54" s="236">
        <f>A53+1</f>
        <v>30</v>
      </c>
      <c r="B54" s="253" t="s">
        <v>198</v>
      </c>
      <c r="C54" s="249">
        <f>'часть 1'!H382</f>
        <v>856.5</v>
      </c>
      <c r="D54" s="250">
        <f>'часть 1'!K382</f>
        <v>33</v>
      </c>
      <c r="E54" s="252">
        <v>0</v>
      </c>
      <c r="F54" s="252">
        <v>0</v>
      </c>
      <c r="G54" s="252">
        <v>0</v>
      </c>
      <c r="H54" s="252">
        <v>1</v>
      </c>
      <c r="I54" s="252">
        <f t="shared" si="1"/>
        <v>1</v>
      </c>
      <c r="J54" s="251">
        <v>0</v>
      </c>
      <c r="K54" s="251">
        <v>0</v>
      </c>
      <c r="L54" s="251">
        <v>0</v>
      </c>
      <c r="M54" s="251">
        <f>'часть 1'!L382</f>
        <v>1091336</v>
      </c>
      <c r="N54" s="251">
        <f>M54</f>
        <v>1091336</v>
      </c>
      <c r="P54" s="25"/>
    </row>
    <row r="55" spans="1:16">
      <c r="A55" s="236"/>
      <c r="B55" s="255" t="s">
        <v>53</v>
      </c>
      <c r="C55" s="249">
        <f>'часть 1'!H384+'часть 1'!H524</f>
        <v>125982.9</v>
      </c>
      <c r="D55" s="250">
        <f>'часть 1'!K384+'часть 1'!K524</f>
        <v>3722</v>
      </c>
      <c r="E55" s="252">
        <f t="shared" ref="E55:L55" si="18">E58+E61+E62+E56</f>
        <v>0</v>
      </c>
      <c r="F55" s="252">
        <f t="shared" si="18"/>
        <v>0</v>
      </c>
      <c r="G55" s="252">
        <f t="shared" si="18"/>
        <v>0</v>
      </c>
      <c r="H55" s="252">
        <f>H58+H61+H59+H62+H56+H57+H63</f>
        <v>22</v>
      </c>
      <c r="I55" s="252">
        <f t="shared" si="1"/>
        <v>22</v>
      </c>
      <c r="J55" s="251">
        <f t="shared" si="18"/>
        <v>0</v>
      </c>
      <c r="K55" s="251">
        <f t="shared" si="18"/>
        <v>0</v>
      </c>
      <c r="L55" s="251">
        <f t="shared" si="18"/>
        <v>0</v>
      </c>
      <c r="M55" s="251">
        <f>M58+M61+M59+M62+M56+M57+M63</f>
        <v>54292021.920000002</v>
      </c>
      <c r="N55" s="251">
        <f t="shared" ref="N55:N63" si="19">M55</f>
        <v>54292021.920000002</v>
      </c>
      <c r="O55" s="25"/>
      <c r="P55" s="25"/>
    </row>
    <row r="56" spans="1:16" ht="26.25" customHeight="1">
      <c r="A56" s="459">
        <f>A54+1</f>
        <v>31</v>
      </c>
      <c r="B56" s="456" t="s">
        <v>88</v>
      </c>
      <c r="C56" s="451">
        <f>'часть 1'!H385</f>
        <v>77350</v>
      </c>
      <c r="D56" s="452">
        <f>'часть 1'!K385</f>
        <v>2037</v>
      </c>
      <c r="E56" s="453">
        <v>0</v>
      </c>
      <c r="F56" s="453">
        <v>0</v>
      </c>
      <c r="G56" s="453">
        <v>0</v>
      </c>
      <c r="H56" s="453">
        <v>10</v>
      </c>
      <c r="I56" s="453">
        <f t="shared" si="1"/>
        <v>10</v>
      </c>
      <c r="J56" s="454">
        <v>0</v>
      </c>
      <c r="K56" s="454">
        <v>0</v>
      </c>
      <c r="L56" s="454">
        <v>0</v>
      </c>
      <c r="M56" s="454">
        <f>'часть 2'!C375</f>
        <v>31676745</v>
      </c>
      <c r="N56" s="454">
        <f t="shared" si="19"/>
        <v>31676745</v>
      </c>
      <c r="P56" s="25"/>
    </row>
    <row r="57" spans="1:16" ht="26.25" customHeight="1">
      <c r="A57" s="459">
        <f t="shared" ref="A57:A63" si="20">A56+1</f>
        <v>32</v>
      </c>
      <c r="B57" s="456" t="s">
        <v>132</v>
      </c>
      <c r="C57" s="451">
        <f>'часть 1'!H397</f>
        <v>2337.4</v>
      </c>
      <c r="D57" s="452">
        <f>'часть 1'!K397</f>
        <v>91</v>
      </c>
      <c r="E57" s="453">
        <v>0</v>
      </c>
      <c r="F57" s="453">
        <v>0</v>
      </c>
      <c r="G57" s="453">
        <v>0</v>
      </c>
      <c r="H57" s="453">
        <v>3</v>
      </c>
      <c r="I57" s="453">
        <f t="shared" si="1"/>
        <v>3</v>
      </c>
      <c r="J57" s="454">
        <v>0</v>
      </c>
      <c r="K57" s="454">
        <v>0</v>
      </c>
      <c r="L57" s="454">
        <v>0</v>
      </c>
      <c r="M57" s="454">
        <f>'часть 1'!L397</f>
        <v>5439639</v>
      </c>
      <c r="N57" s="454">
        <f>M57</f>
        <v>5439639</v>
      </c>
      <c r="P57" s="25"/>
    </row>
    <row r="58" spans="1:16" ht="26.25" customHeight="1">
      <c r="A58" s="459">
        <f t="shared" si="20"/>
        <v>33</v>
      </c>
      <c r="B58" s="456" t="s">
        <v>110</v>
      </c>
      <c r="C58" s="451">
        <f>'часть 1'!H403</f>
        <v>1494</v>
      </c>
      <c r="D58" s="452">
        <f>'часть 1'!K403</f>
        <v>59</v>
      </c>
      <c r="E58" s="453">
        <v>0</v>
      </c>
      <c r="F58" s="453">
        <v>0</v>
      </c>
      <c r="G58" s="453">
        <v>0</v>
      </c>
      <c r="H58" s="453">
        <v>1</v>
      </c>
      <c r="I58" s="453">
        <f t="shared" si="1"/>
        <v>1</v>
      </c>
      <c r="J58" s="454">
        <v>0</v>
      </c>
      <c r="K58" s="454">
        <v>0</v>
      </c>
      <c r="L58" s="454">
        <v>0</v>
      </c>
      <c r="M58" s="454">
        <f>'часть 1'!L403</f>
        <v>2476043</v>
      </c>
      <c r="N58" s="454">
        <f t="shared" si="19"/>
        <v>2476043</v>
      </c>
      <c r="P58" s="25"/>
    </row>
    <row r="59" spans="1:16" ht="26.25" customHeight="1">
      <c r="A59" s="459">
        <f t="shared" si="20"/>
        <v>34</v>
      </c>
      <c r="B59" s="456" t="s">
        <v>128</v>
      </c>
      <c r="C59" s="451">
        <f>'часть 1'!H405</f>
        <v>13933</v>
      </c>
      <c r="D59" s="452">
        <f>'часть 1'!K405</f>
        <v>553</v>
      </c>
      <c r="E59" s="453">
        <v>0</v>
      </c>
      <c r="F59" s="453">
        <v>0</v>
      </c>
      <c r="G59" s="453">
        <v>0</v>
      </c>
      <c r="H59" s="453">
        <v>4</v>
      </c>
      <c r="I59" s="453">
        <f t="shared" si="1"/>
        <v>4</v>
      </c>
      <c r="J59" s="454">
        <v>0</v>
      </c>
      <c r="K59" s="454">
        <v>0</v>
      </c>
      <c r="L59" s="454">
        <v>0</v>
      </c>
      <c r="M59" s="454">
        <f>'часть 1'!L405</f>
        <v>11027716</v>
      </c>
      <c r="N59" s="454">
        <f t="shared" si="19"/>
        <v>11027716</v>
      </c>
      <c r="P59" s="25"/>
    </row>
    <row r="60" spans="1:16" ht="26.25" customHeight="1">
      <c r="A60" s="459"/>
      <c r="B60" s="456" t="s">
        <v>668</v>
      </c>
      <c r="C60" s="451">
        <f>'часть 1'!H412</f>
        <v>5520.2</v>
      </c>
      <c r="D60" s="452">
        <f>'часть 1'!K412</f>
        <v>173</v>
      </c>
      <c r="E60" s="453">
        <v>0</v>
      </c>
      <c r="F60" s="453">
        <v>0</v>
      </c>
      <c r="G60" s="453">
        <v>0</v>
      </c>
      <c r="H60" s="453">
        <v>2</v>
      </c>
      <c r="I60" s="453">
        <v>2</v>
      </c>
      <c r="J60" s="454">
        <v>0</v>
      </c>
      <c r="K60" s="454">
        <v>0</v>
      </c>
      <c r="L60" s="454">
        <v>0</v>
      </c>
      <c r="M60" s="454">
        <v>4521219</v>
      </c>
      <c r="N60" s="454">
        <v>4521219</v>
      </c>
      <c r="P60" s="25"/>
    </row>
    <row r="61" spans="1:16" ht="25.5">
      <c r="A61" s="236">
        <f>A59+1</f>
        <v>35</v>
      </c>
      <c r="B61" s="253" t="s">
        <v>994</v>
      </c>
      <c r="C61" s="249">
        <f>'часть 1'!H415</f>
        <v>625.9</v>
      </c>
      <c r="D61" s="250">
        <f>'часть 1'!K415</f>
        <v>32</v>
      </c>
      <c r="E61" s="252">
        <v>0</v>
      </c>
      <c r="F61" s="252">
        <v>0</v>
      </c>
      <c r="G61" s="252">
        <v>0</v>
      </c>
      <c r="H61" s="252">
        <v>1</v>
      </c>
      <c r="I61" s="252">
        <f t="shared" si="1"/>
        <v>1</v>
      </c>
      <c r="J61" s="251">
        <v>0</v>
      </c>
      <c r="K61" s="251">
        <v>0</v>
      </c>
      <c r="L61" s="251">
        <v>0</v>
      </c>
      <c r="M61" s="251">
        <f>'часть 1'!L415</f>
        <v>1540610</v>
      </c>
      <c r="N61" s="251">
        <f t="shared" si="19"/>
        <v>1540610</v>
      </c>
      <c r="P61" s="25"/>
    </row>
    <row r="62" spans="1:16" ht="27.75" customHeight="1">
      <c r="A62" s="236">
        <f t="shared" si="20"/>
        <v>36</v>
      </c>
      <c r="B62" s="253" t="s">
        <v>111</v>
      </c>
      <c r="C62" s="249">
        <f>'часть 1'!H417</f>
        <v>533.5</v>
      </c>
      <c r="D62" s="250">
        <f>'часть 1'!K417</f>
        <v>54</v>
      </c>
      <c r="E62" s="252">
        <v>0</v>
      </c>
      <c r="F62" s="252">
        <v>0</v>
      </c>
      <c r="G62" s="252">
        <v>0</v>
      </c>
      <c r="H62" s="252">
        <v>1</v>
      </c>
      <c r="I62" s="252">
        <f t="shared" si="1"/>
        <v>1</v>
      </c>
      <c r="J62" s="251">
        <v>0</v>
      </c>
      <c r="K62" s="251">
        <v>0</v>
      </c>
      <c r="L62" s="251">
        <v>0</v>
      </c>
      <c r="M62" s="251">
        <f>'часть 1'!L417</f>
        <v>657835.92000000004</v>
      </c>
      <c r="N62" s="251">
        <f t="shared" si="19"/>
        <v>657835.92000000004</v>
      </c>
      <c r="P62" s="25"/>
    </row>
    <row r="63" spans="1:16" ht="27.75" customHeight="1">
      <c r="A63" s="459">
        <f t="shared" si="20"/>
        <v>37</v>
      </c>
      <c r="B63" s="456" t="s">
        <v>129</v>
      </c>
      <c r="C63" s="451">
        <f>'часть 1'!H419</f>
        <v>1150.0999999999999</v>
      </c>
      <c r="D63" s="452">
        <f>'часть 1'!K419</f>
        <v>58</v>
      </c>
      <c r="E63" s="453">
        <v>0</v>
      </c>
      <c r="F63" s="453">
        <v>0</v>
      </c>
      <c r="G63" s="453">
        <v>0</v>
      </c>
      <c r="H63" s="453">
        <v>2</v>
      </c>
      <c r="I63" s="453">
        <f t="shared" si="1"/>
        <v>2</v>
      </c>
      <c r="J63" s="454">
        <v>0</v>
      </c>
      <c r="K63" s="454">
        <v>0</v>
      </c>
      <c r="L63" s="454">
        <v>0</v>
      </c>
      <c r="M63" s="454">
        <f>'часть 1'!L419</f>
        <v>1473433</v>
      </c>
      <c r="N63" s="454">
        <f t="shared" si="19"/>
        <v>1473433</v>
      </c>
      <c r="P63" s="25"/>
    </row>
    <row r="64" spans="1:16">
      <c r="A64" s="236"/>
      <c r="B64" s="255" t="s">
        <v>54</v>
      </c>
      <c r="C64" s="249">
        <f>C65</f>
        <v>1983</v>
      </c>
      <c r="D64" s="250">
        <f t="shared" ref="D64:N64" si="21">D65</f>
        <v>80</v>
      </c>
      <c r="E64" s="252">
        <f t="shared" si="21"/>
        <v>0</v>
      </c>
      <c r="F64" s="252">
        <f t="shared" si="21"/>
        <v>0</v>
      </c>
      <c r="G64" s="252">
        <f t="shared" si="21"/>
        <v>0</v>
      </c>
      <c r="H64" s="252" t="e">
        <f t="shared" si="21"/>
        <v>#REF!</v>
      </c>
      <c r="I64" s="252" t="e">
        <f t="shared" si="1"/>
        <v>#REF!</v>
      </c>
      <c r="J64" s="251">
        <f t="shared" si="21"/>
        <v>0</v>
      </c>
      <c r="K64" s="251">
        <f t="shared" si="21"/>
        <v>0</v>
      </c>
      <c r="L64" s="251">
        <f t="shared" si="21"/>
        <v>0</v>
      </c>
      <c r="M64" s="251">
        <f t="shared" si="21"/>
        <v>2222747</v>
      </c>
      <c r="N64" s="251">
        <f t="shared" si="21"/>
        <v>2222747</v>
      </c>
      <c r="O64" s="25"/>
      <c r="P64" s="25"/>
    </row>
    <row r="65" spans="1:16" ht="25.5">
      <c r="A65" s="236">
        <f>A63+1</f>
        <v>38</v>
      </c>
      <c r="B65" s="253" t="s">
        <v>112</v>
      </c>
      <c r="C65" s="249">
        <f>'часть 1'!H425</f>
        <v>1983</v>
      </c>
      <c r="D65" s="250">
        <f>'часть 1'!K425</f>
        <v>80</v>
      </c>
      <c r="E65" s="252">
        <v>0</v>
      </c>
      <c r="F65" s="252">
        <v>0</v>
      </c>
      <c r="G65" s="252">
        <v>0</v>
      </c>
      <c r="H65" s="252" t="e">
        <f>'часть 2'!#REF!</f>
        <v>#REF!</v>
      </c>
      <c r="I65" s="252" t="e">
        <f t="shared" si="1"/>
        <v>#REF!</v>
      </c>
      <c r="J65" s="251">
        <v>0</v>
      </c>
      <c r="K65" s="251">
        <v>0</v>
      </c>
      <c r="L65" s="251">
        <v>0</v>
      </c>
      <c r="M65" s="251">
        <f>'часть 1'!L425</f>
        <v>2222747</v>
      </c>
      <c r="N65" s="251">
        <f>M65</f>
        <v>2222747</v>
      </c>
      <c r="P65" s="25"/>
    </row>
    <row r="66" spans="1:16">
      <c r="A66" s="236"/>
      <c r="B66" s="255" t="s">
        <v>55</v>
      </c>
      <c r="C66" s="249">
        <f>C67</f>
        <v>912.1</v>
      </c>
      <c r="D66" s="249">
        <f t="shared" ref="D66:N66" si="22">D67</f>
        <v>39</v>
      </c>
      <c r="E66" s="249">
        <f t="shared" si="22"/>
        <v>0</v>
      </c>
      <c r="F66" s="249">
        <f t="shared" si="22"/>
        <v>0</v>
      </c>
      <c r="G66" s="249">
        <f t="shared" si="22"/>
        <v>2</v>
      </c>
      <c r="H66" s="250">
        <f t="shared" si="22"/>
        <v>0</v>
      </c>
      <c r="I66" s="250">
        <f t="shared" si="22"/>
        <v>2</v>
      </c>
      <c r="J66" s="251">
        <f t="shared" si="22"/>
        <v>0</v>
      </c>
      <c r="K66" s="251">
        <f t="shared" si="22"/>
        <v>0</v>
      </c>
      <c r="L66" s="251">
        <f t="shared" si="22"/>
        <v>2809430</v>
      </c>
      <c r="M66" s="251">
        <f t="shared" si="22"/>
        <v>0</v>
      </c>
      <c r="N66" s="251">
        <f t="shared" si="22"/>
        <v>2809430</v>
      </c>
      <c r="O66" s="25"/>
      <c r="P66" s="25"/>
    </row>
    <row r="67" spans="1:16" ht="25.5">
      <c r="A67" s="459">
        <v>38</v>
      </c>
      <c r="B67" s="456" t="s">
        <v>590</v>
      </c>
      <c r="C67" s="451">
        <f>'часть 1'!H430</f>
        <v>912.1</v>
      </c>
      <c r="D67" s="452">
        <f>'часть 1'!K430</f>
        <v>39</v>
      </c>
      <c r="E67" s="453">
        <v>0</v>
      </c>
      <c r="F67" s="453">
        <v>0</v>
      </c>
      <c r="G67" s="453">
        <v>2</v>
      </c>
      <c r="H67" s="453">
        <v>0</v>
      </c>
      <c r="I67" s="453">
        <f t="shared" si="1"/>
        <v>2</v>
      </c>
      <c r="J67" s="454">
        <v>0</v>
      </c>
      <c r="K67" s="454">
        <v>0</v>
      </c>
      <c r="L67" s="454">
        <v>2809430</v>
      </c>
      <c r="M67" s="454">
        <v>0</v>
      </c>
      <c r="N67" s="454">
        <f>M67+L67+K67+J67</f>
        <v>2809430</v>
      </c>
      <c r="P67" s="25"/>
    </row>
    <row r="68" spans="1:16">
      <c r="A68" s="236"/>
      <c r="B68" s="255" t="s">
        <v>56</v>
      </c>
      <c r="C68" s="249">
        <f>'часть 1'!H434</f>
        <v>10396</v>
      </c>
      <c r="D68" s="250">
        <f>'часть 1'!K434</f>
        <v>320</v>
      </c>
      <c r="E68" s="252">
        <f t="shared" ref="E68:N68" si="23">E69+E70+E71</f>
        <v>0</v>
      </c>
      <c r="F68" s="252">
        <f t="shared" si="23"/>
        <v>0</v>
      </c>
      <c r="G68" s="252">
        <f t="shared" si="23"/>
        <v>1</v>
      </c>
      <c r="H68" s="252">
        <f t="shared" si="23"/>
        <v>6</v>
      </c>
      <c r="I68" s="252">
        <f t="shared" si="1"/>
        <v>7</v>
      </c>
      <c r="J68" s="251">
        <f t="shared" si="23"/>
        <v>0</v>
      </c>
      <c r="K68" s="251">
        <f t="shared" si="23"/>
        <v>0</v>
      </c>
      <c r="L68" s="251">
        <f t="shared" si="23"/>
        <v>1510788</v>
      </c>
      <c r="M68" s="251">
        <f>M69+M70+M71</f>
        <v>9278483</v>
      </c>
      <c r="N68" s="251">
        <f t="shared" si="23"/>
        <v>10789271</v>
      </c>
      <c r="O68" s="25"/>
      <c r="P68" s="25"/>
    </row>
    <row r="69" spans="1:16" ht="25.5">
      <c r="A69" s="459">
        <v>39</v>
      </c>
      <c r="B69" s="456" t="s">
        <v>424</v>
      </c>
      <c r="C69" s="451">
        <f>'часть 1'!H435</f>
        <v>4140.7</v>
      </c>
      <c r="D69" s="452">
        <f>'часть 1'!K435</f>
        <v>125</v>
      </c>
      <c r="E69" s="453">
        <v>0</v>
      </c>
      <c r="F69" s="453">
        <v>0</v>
      </c>
      <c r="G69" s="453">
        <v>0</v>
      </c>
      <c r="H69" s="453">
        <v>5</v>
      </c>
      <c r="I69" s="453">
        <f t="shared" si="1"/>
        <v>5</v>
      </c>
      <c r="J69" s="454">
        <v>0</v>
      </c>
      <c r="K69" s="454">
        <v>0</v>
      </c>
      <c r="L69" s="454">
        <v>0</v>
      </c>
      <c r="M69" s="454">
        <f>'часть 1'!L435</f>
        <v>6762929</v>
      </c>
      <c r="N69" s="454">
        <f>M69</f>
        <v>6762929</v>
      </c>
      <c r="P69" s="25"/>
    </row>
    <row r="70" spans="1:16" ht="25.5">
      <c r="A70" s="236">
        <v>40</v>
      </c>
      <c r="B70" s="253" t="s">
        <v>121</v>
      </c>
      <c r="C70" s="249">
        <f>'часть 1'!H441</f>
        <v>4874.1000000000004</v>
      </c>
      <c r="D70" s="250">
        <f>'часть 1'!K441</f>
        <v>127</v>
      </c>
      <c r="E70" s="252">
        <v>0</v>
      </c>
      <c r="F70" s="252">
        <v>0</v>
      </c>
      <c r="G70" s="252">
        <v>0</v>
      </c>
      <c r="H70" s="252">
        <v>1</v>
      </c>
      <c r="I70" s="252">
        <f t="shared" si="1"/>
        <v>1</v>
      </c>
      <c r="J70" s="251">
        <v>0</v>
      </c>
      <c r="K70" s="251">
        <v>0</v>
      </c>
      <c r="L70" s="251">
        <v>0</v>
      </c>
      <c r="M70" s="251">
        <f>'часть 1'!L441</f>
        <v>2515554</v>
      </c>
      <c r="N70" s="251">
        <f>M70</f>
        <v>2515554</v>
      </c>
      <c r="O70" s="25"/>
      <c r="P70" s="25"/>
    </row>
    <row r="71" spans="1:16" ht="25.5">
      <c r="A71" s="236">
        <v>41</v>
      </c>
      <c r="B71" s="253" t="s">
        <v>807</v>
      </c>
      <c r="C71" s="249">
        <f>'часть 1'!H443</f>
        <v>1381.2</v>
      </c>
      <c r="D71" s="250">
        <f>'часть 1'!K443</f>
        <v>68</v>
      </c>
      <c r="E71" s="252">
        <v>0</v>
      </c>
      <c r="F71" s="252">
        <v>0</v>
      </c>
      <c r="G71" s="252">
        <v>1</v>
      </c>
      <c r="H71" s="252">
        <v>0</v>
      </c>
      <c r="I71" s="252">
        <f t="shared" si="1"/>
        <v>1</v>
      </c>
      <c r="J71" s="251">
        <v>0</v>
      </c>
      <c r="K71" s="251">
        <v>0</v>
      </c>
      <c r="L71" s="251">
        <v>1510788</v>
      </c>
      <c r="M71" s="251">
        <v>0</v>
      </c>
      <c r="N71" s="251">
        <f>L71</f>
        <v>1510788</v>
      </c>
      <c r="O71" s="25"/>
      <c r="P71" s="25"/>
    </row>
    <row r="72" spans="1:16">
      <c r="A72" s="236"/>
      <c r="B72" s="255" t="s">
        <v>57</v>
      </c>
      <c r="C72" s="249">
        <f>C73</f>
        <v>8010.4</v>
      </c>
      <c r="D72" s="250">
        <f t="shared" ref="D72:L72" si="24">D73</f>
        <v>199</v>
      </c>
      <c r="E72" s="252">
        <f t="shared" si="24"/>
        <v>0</v>
      </c>
      <c r="F72" s="252">
        <f t="shared" si="24"/>
        <v>0</v>
      </c>
      <c r="G72" s="252">
        <f t="shared" si="24"/>
        <v>0</v>
      </c>
      <c r="H72" s="252">
        <f t="shared" si="24"/>
        <v>2</v>
      </c>
      <c r="I72" s="252">
        <f t="shared" si="1"/>
        <v>2</v>
      </c>
      <c r="J72" s="251">
        <f t="shared" si="24"/>
        <v>0</v>
      </c>
      <c r="K72" s="251">
        <f t="shared" si="24"/>
        <v>0</v>
      </c>
      <c r="L72" s="251">
        <f t="shared" si="24"/>
        <v>0</v>
      </c>
      <c r="M72" s="251">
        <f>M73</f>
        <v>2579247</v>
      </c>
      <c r="N72" s="251">
        <f>N73</f>
        <v>2579247</v>
      </c>
      <c r="P72" s="25"/>
    </row>
    <row r="73" spans="1:16" ht="25.5">
      <c r="A73" s="236">
        <v>42</v>
      </c>
      <c r="B73" s="253" t="s">
        <v>119</v>
      </c>
      <c r="C73" s="249">
        <f>'часть 1'!H446</f>
        <v>8010.4</v>
      </c>
      <c r="D73" s="250">
        <f>'часть 1'!K446</f>
        <v>199</v>
      </c>
      <c r="E73" s="252">
        <v>0</v>
      </c>
      <c r="F73" s="252">
        <v>0</v>
      </c>
      <c r="G73" s="252">
        <v>0</v>
      </c>
      <c r="H73" s="252">
        <v>2</v>
      </c>
      <c r="I73" s="252">
        <f t="shared" si="1"/>
        <v>2</v>
      </c>
      <c r="J73" s="251">
        <v>0</v>
      </c>
      <c r="K73" s="251">
        <v>0</v>
      </c>
      <c r="L73" s="251">
        <v>0</v>
      </c>
      <c r="M73" s="251">
        <f>'часть 1'!L445</f>
        <v>2579247</v>
      </c>
      <c r="N73" s="251">
        <f>M73</f>
        <v>2579247</v>
      </c>
      <c r="P73" s="25"/>
    </row>
    <row r="74" spans="1:16">
      <c r="A74" s="236"/>
      <c r="B74" s="255" t="s">
        <v>58</v>
      </c>
      <c r="C74" s="249">
        <f>C75</f>
        <v>17371.800000000003</v>
      </c>
      <c r="D74" s="250">
        <f>'часть 1'!K449+'часть 1'!K533</f>
        <v>538</v>
      </c>
      <c r="E74" s="252">
        <f t="shared" ref="E74:N74" si="25">E75</f>
        <v>0</v>
      </c>
      <c r="F74" s="252">
        <f t="shared" si="25"/>
        <v>0</v>
      </c>
      <c r="G74" s="252">
        <f t="shared" si="25"/>
        <v>0</v>
      </c>
      <c r="H74" s="252" t="e">
        <f t="shared" si="25"/>
        <v>#REF!</v>
      </c>
      <c r="I74" s="252" t="e">
        <f t="shared" si="1"/>
        <v>#REF!</v>
      </c>
      <c r="J74" s="251">
        <f t="shared" si="25"/>
        <v>0</v>
      </c>
      <c r="K74" s="251">
        <f t="shared" si="25"/>
        <v>0</v>
      </c>
      <c r="L74" s="251">
        <f t="shared" si="25"/>
        <v>0</v>
      </c>
      <c r="M74" s="251">
        <f t="shared" si="25"/>
        <v>12228909</v>
      </c>
      <c r="N74" s="251">
        <f t="shared" si="25"/>
        <v>12228909</v>
      </c>
      <c r="P74" s="25"/>
    </row>
    <row r="75" spans="1:16" ht="27.75" customHeight="1">
      <c r="A75" s="236">
        <v>43</v>
      </c>
      <c r="B75" s="253" t="s">
        <v>87</v>
      </c>
      <c r="C75" s="249">
        <f>'часть 1'!H449+'часть 1'!H534</f>
        <v>17371.800000000003</v>
      </c>
      <c r="D75" s="250">
        <f>'часть 1'!K534+'часть 1'!K450</f>
        <v>538</v>
      </c>
      <c r="E75" s="252">
        <v>0</v>
      </c>
      <c r="F75" s="252">
        <v>0</v>
      </c>
      <c r="G75" s="252">
        <v>0</v>
      </c>
      <c r="H75" s="252" t="e">
        <f>'часть 2'!#REF!</f>
        <v>#REF!</v>
      </c>
      <c r="I75" s="252" t="e">
        <f t="shared" si="1"/>
        <v>#REF!</v>
      </c>
      <c r="J75" s="251">
        <v>0</v>
      </c>
      <c r="K75" s="251">
        <v>0</v>
      </c>
      <c r="L75" s="251">
        <v>0</v>
      </c>
      <c r="M75" s="251">
        <f>'часть 2'!C444</f>
        <v>12228909</v>
      </c>
      <c r="N75" s="251">
        <f>M75</f>
        <v>12228909</v>
      </c>
      <c r="P75" s="25"/>
    </row>
    <row r="76" spans="1:16" ht="24.6" customHeight="1">
      <c r="A76" s="459"/>
      <c r="B76" s="545" t="s">
        <v>59</v>
      </c>
      <c r="C76" s="451">
        <f>C77+C78</f>
        <v>26864.3</v>
      </c>
      <c r="D76" s="451">
        <f t="shared" ref="D76:N76" si="26">D77+D78</f>
        <v>879</v>
      </c>
      <c r="E76" s="451">
        <f t="shared" si="26"/>
        <v>0</v>
      </c>
      <c r="F76" s="451">
        <f t="shared" si="26"/>
        <v>0</v>
      </c>
      <c r="G76" s="451">
        <f t="shared" si="26"/>
        <v>0</v>
      </c>
      <c r="H76" s="451">
        <f t="shared" si="26"/>
        <v>42</v>
      </c>
      <c r="I76" s="451">
        <f t="shared" si="26"/>
        <v>42</v>
      </c>
      <c r="J76" s="454">
        <f t="shared" si="26"/>
        <v>0</v>
      </c>
      <c r="K76" s="454">
        <f t="shared" si="26"/>
        <v>0</v>
      </c>
      <c r="L76" s="454">
        <f t="shared" si="26"/>
        <v>0</v>
      </c>
      <c r="M76" s="454">
        <f t="shared" si="26"/>
        <v>4724118</v>
      </c>
      <c r="N76" s="454">
        <f t="shared" si="26"/>
        <v>4724118</v>
      </c>
      <c r="P76" s="25"/>
    </row>
    <row r="77" spans="1:16" ht="25.5">
      <c r="A77" s="459">
        <v>44</v>
      </c>
      <c r="B77" s="456" t="s">
        <v>86</v>
      </c>
      <c r="C77" s="451">
        <f>'часть 1'!H537</f>
        <v>4504.3</v>
      </c>
      <c r="D77" s="452">
        <f>'часть 1'!K537</f>
        <v>203</v>
      </c>
      <c r="E77" s="453">
        <v>0</v>
      </c>
      <c r="F77" s="453">
        <v>0</v>
      </c>
      <c r="G77" s="453">
        <v>0</v>
      </c>
      <c r="H77" s="453">
        <v>7</v>
      </c>
      <c r="I77" s="453">
        <f t="shared" si="1"/>
        <v>7</v>
      </c>
      <c r="J77" s="454">
        <v>0</v>
      </c>
      <c r="K77" s="454">
        <v>0</v>
      </c>
      <c r="L77" s="454">
        <v>0</v>
      </c>
      <c r="M77" s="454">
        <f>'часть 1'!L537</f>
        <v>1839043</v>
      </c>
      <c r="N77" s="454">
        <f>M77</f>
        <v>1839043</v>
      </c>
      <c r="P77" s="25"/>
    </row>
    <row r="78" spans="1:16" ht="25.5">
      <c r="A78" s="459">
        <v>45</v>
      </c>
      <c r="B78" s="456" t="s">
        <v>85</v>
      </c>
      <c r="C78" s="451">
        <f>'часть 1'!H545</f>
        <v>22360</v>
      </c>
      <c r="D78" s="452">
        <f>'часть 1'!K545</f>
        <v>676</v>
      </c>
      <c r="E78" s="453">
        <v>0</v>
      </c>
      <c r="F78" s="453">
        <v>0</v>
      </c>
      <c r="G78" s="453">
        <v>0</v>
      </c>
      <c r="H78" s="453">
        <v>35</v>
      </c>
      <c r="I78" s="453">
        <f t="shared" ref="I78:I104" si="27">H78+G78</f>
        <v>35</v>
      </c>
      <c r="J78" s="454">
        <v>0</v>
      </c>
      <c r="K78" s="454">
        <v>0</v>
      </c>
      <c r="L78" s="454">
        <v>0</v>
      </c>
      <c r="M78" s="454">
        <f>'часть 1'!L545</f>
        <v>2885075</v>
      </c>
      <c r="N78" s="454">
        <f>M78</f>
        <v>2885075</v>
      </c>
      <c r="P78" s="25"/>
    </row>
    <row r="79" spans="1:16">
      <c r="A79" s="236"/>
      <c r="B79" s="255" t="s">
        <v>60</v>
      </c>
      <c r="C79" s="249">
        <f>'часть 1'!H460</f>
        <v>8449.7999999999993</v>
      </c>
      <c r="D79" s="250">
        <f>'часть 1'!K460</f>
        <v>357</v>
      </c>
      <c r="E79" s="252">
        <f t="shared" ref="E79:N79" si="28">E81</f>
        <v>0</v>
      </c>
      <c r="F79" s="252">
        <f t="shared" si="28"/>
        <v>2</v>
      </c>
      <c r="G79" s="252">
        <f t="shared" si="28"/>
        <v>0</v>
      </c>
      <c r="H79" s="252">
        <f t="shared" si="28"/>
        <v>0</v>
      </c>
      <c r="I79" s="252">
        <f>H79+G79+F79+E79</f>
        <v>2</v>
      </c>
      <c r="J79" s="251">
        <f t="shared" si="28"/>
        <v>0</v>
      </c>
      <c r="K79" s="251">
        <f t="shared" si="28"/>
        <v>3666180</v>
      </c>
      <c r="L79" s="251">
        <f t="shared" si="28"/>
        <v>0</v>
      </c>
      <c r="M79" s="251">
        <f t="shared" si="28"/>
        <v>0</v>
      </c>
      <c r="N79" s="251">
        <f t="shared" si="28"/>
        <v>3666180</v>
      </c>
      <c r="P79" s="25"/>
    </row>
    <row r="80" spans="1:16">
      <c r="A80" s="459"/>
      <c r="B80" s="545" t="s">
        <v>208</v>
      </c>
      <c r="C80" s="451">
        <f>'часть 1'!H466</f>
        <v>318.7</v>
      </c>
      <c r="D80" s="452">
        <f>'часть 1'!K466</f>
        <v>14</v>
      </c>
      <c r="E80" s="453">
        <v>0</v>
      </c>
      <c r="F80" s="453">
        <v>0</v>
      </c>
      <c r="G80" s="453">
        <v>0</v>
      </c>
      <c r="H80" s="453">
        <v>1</v>
      </c>
      <c r="I80" s="453">
        <f t="shared" ref="I80:I84" si="29">H80+G80+F80+E80</f>
        <v>1</v>
      </c>
      <c r="J80" s="454">
        <v>0</v>
      </c>
      <c r="K80" s="454">
        <v>0</v>
      </c>
      <c r="L80" s="454">
        <v>0</v>
      </c>
      <c r="M80" s="454">
        <v>1167102</v>
      </c>
      <c r="N80" s="454">
        <f>M80+L80+K80+J80</f>
        <v>1167102</v>
      </c>
      <c r="P80" s="25"/>
    </row>
    <row r="81" spans="1:16">
      <c r="A81" s="459">
        <v>46</v>
      </c>
      <c r="B81" s="456" t="s">
        <v>61</v>
      </c>
      <c r="C81" s="451">
        <f>'часть 1'!H469</f>
        <v>4625.8</v>
      </c>
      <c r="D81" s="452">
        <f>'часть 1'!K469</f>
        <v>154</v>
      </c>
      <c r="E81" s="453">
        <v>0</v>
      </c>
      <c r="F81" s="453">
        <v>2</v>
      </c>
      <c r="G81" s="453">
        <v>0</v>
      </c>
      <c r="H81" s="453">
        <v>0</v>
      </c>
      <c r="I81" s="453">
        <f t="shared" si="29"/>
        <v>2</v>
      </c>
      <c r="J81" s="454">
        <v>0</v>
      </c>
      <c r="K81" s="454">
        <v>3666180</v>
      </c>
      <c r="L81" s="454">
        <v>0</v>
      </c>
      <c r="M81" s="454">
        <v>0</v>
      </c>
      <c r="N81" s="454">
        <f>M81+L81+K81+J81</f>
        <v>3666180</v>
      </c>
      <c r="P81" s="25"/>
    </row>
    <row r="82" spans="1:16">
      <c r="A82" s="236"/>
      <c r="B82" s="255" t="s">
        <v>649</v>
      </c>
      <c r="C82" s="249">
        <v>478</v>
      </c>
      <c r="D82" s="250">
        <v>15</v>
      </c>
      <c r="E82" s="252">
        <v>0</v>
      </c>
      <c r="F82" s="252">
        <v>0</v>
      </c>
      <c r="G82" s="252">
        <v>1</v>
      </c>
      <c r="H82" s="252">
        <v>0</v>
      </c>
      <c r="I82" s="252">
        <v>1</v>
      </c>
      <c r="J82" s="251">
        <v>0</v>
      </c>
      <c r="K82" s="251">
        <v>0</v>
      </c>
      <c r="L82" s="251">
        <v>204131</v>
      </c>
      <c r="M82" s="251">
        <v>0</v>
      </c>
      <c r="N82" s="251">
        <v>204131</v>
      </c>
      <c r="P82" s="25"/>
    </row>
    <row r="83" spans="1:16">
      <c r="A83" s="459">
        <v>47</v>
      </c>
      <c r="B83" s="456" t="s">
        <v>62</v>
      </c>
      <c r="C83" s="451">
        <f>'часть 1'!H476</f>
        <v>508.92</v>
      </c>
      <c r="D83" s="452">
        <f>'часть 1'!K476</f>
        <v>16</v>
      </c>
      <c r="E83" s="453">
        <v>0</v>
      </c>
      <c r="F83" s="453">
        <v>0</v>
      </c>
      <c r="G83" s="453">
        <v>1</v>
      </c>
      <c r="H83" s="453">
        <v>0</v>
      </c>
      <c r="I83" s="453">
        <f t="shared" si="29"/>
        <v>1</v>
      </c>
      <c r="J83" s="454">
        <v>0</v>
      </c>
      <c r="K83" s="454">
        <v>0</v>
      </c>
      <c r="L83" s="454">
        <v>1214790</v>
      </c>
      <c r="M83" s="454">
        <v>0</v>
      </c>
      <c r="N83" s="454">
        <f>J83+K83+L83+M83</f>
        <v>1214790</v>
      </c>
      <c r="P83" s="25"/>
    </row>
    <row r="84" spans="1:16">
      <c r="A84" s="236"/>
      <c r="B84" s="255" t="s">
        <v>211</v>
      </c>
      <c r="C84" s="249">
        <f>'часть 1'!H491</f>
        <v>1095.3</v>
      </c>
      <c r="D84" s="250">
        <f>'часть 1'!K491</f>
        <v>27</v>
      </c>
      <c r="E84" s="252">
        <f>E88</f>
        <v>0</v>
      </c>
      <c r="F84" s="252">
        <f>F88</f>
        <v>0</v>
      </c>
      <c r="G84" s="252">
        <f>G88</f>
        <v>0</v>
      </c>
      <c r="H84" s="250">
        <v>2</v>
      </c>
      <c r="I84" s="252">
        <f t="shared" si="29"/>
        <v>2</v>
      </c>
      <c r="J84" s="251">
        <f>J88</f>
        <v>0</v>
      </c>
      <c r="K84" s="251">
        <f>K88</f>
        <v>0</v>
      </c>
      <c r="L84" s="251">
        <f>L88</f>
        <v>0</v>
      </c>
      <c r="M84" s="251">
        <f>'часть 1'!L491</f>
        <v>2988909</v>
      </c>
      <c r="N84" s="251">
        <f>M84+L84+K84+J84</f>
        <v>2988909</v>
      </c>
      <c r="P84" s="25"/>
    </row>
    <row r="85" spans="1:16">
      <c r="A85" s="459"/>
      <c r="B85" s="545" t="s">
        <v>63</v>
      </c>
      <c r="C85" s="451">
        <f>'часть 1'!H479</f>
        <v>4999.2</v>
      </c>
      <c r="D85" s="452">
        <f>'часть 1'!K479</f>
        <v>190</v>
      </c>
      <c r="E85" s="453">
        <v>0</v>
      </c>
      <c r="F85" s="453">
        <v>0</v>
      </c>
      <c r="G85" s="453">
        <v>0</v>
      </c>
      <c r="H85" s="452">
        <v>2</v>
      </c>
      <c r="I85" s="453">
        <v>2</v>
      </c>
      <c r="J85" s="454">
        <v>0</v>
      </c>
      <c r="K85" s="454">
        <v>0</v>
      </c>
      <c r="L85" s="454">
        <v>0</v>
      </c>
      <c r="M85" s="454">
        <v>3037109</v>
      </c>
      <c r="N85" s="454">
        <f>M85+L85+K85+J85</f>
        <v>3037109</v>
      </c>
      <c r="P85" s="25"/>
    </row>
    <row r="86" spans="1:16">
      <c r="A86" s="459"/>
      <c r="B86" s="545" t="s">
        <v>663</v>
      </c>
      <c r="C86" s="451">
        <f>C87</f>
        <v>555</v>
      </c>
      <c r="D86" s="451">
        <f t="shared" ref="D86:N86" si="30">D87</f>
        <v>16</v>
      </c>
      <c r="E86" s="451">
        <f t="shared" si="30"/>
        <v>0</v>
      </c>
      <c r="F86" s="451">
        <f t="shared" si="30"/>
        <v>0</v>
      </c>
      <c r="G86" s="451">
        <f t="shared" si="30"/>
        <v>1</v>
      </c>
      <c r="H86" s="451">
        <f t="shared" si="30"/>
        <v>0</v>
      </c>
      <c r="I86" s="451">
        <f t="shared" si="30"/>
        <v>1</v>
      </c>
      <c r="J86" s="451">
        <f t="shared" si="30"/>
        <v>0</v>
      </c>
      <c r="K86" s="451">
        <f t="shared" si="30"/>
        <v>0</v>
      </c>
      <c r="L86" s="451">
        <f t="shared" si="30"/>
        <v>1402598</v>
      </c>
      <c r="M86" s="451">
        <f t="shared" si="30"/>
        <v>0</v>
      </c>
      <c r="N86" s="451">
        <f t="shared" si="30"/>
        <v>1402598</v>
      </c>
      <c r="P86" s="25"/>
    </row>
    <row r="87" spans="1:16" ht="25.5">
      <c r="A87" s="459"/>
      <c r="B87" s="456" t="s">
        <v>667</v>
      </c>
      <c r="C87" s="451">
        <f>'часть 1'!H484</f>
        <v>555</v>
      </c>
      <c r="D87" s="452">
        <f>'часть 1'!K484</f>
        <v>16</v>
      </c>
      <c r="E87" s="453">
        <v>0</v>
      </c>
      <c r="F87" s="453">
        <v>0</v>
      </c>
      <c r="G87" s="453">
        <v>1</v>
      </c>
      <c r="H87" s="452">
        <v>0</v>
      </c>
      <c r="I87" s="453">
        <v>1</v>
      </c>
      <c r="J87" s="454">
        <v>0</v>
      </c>
      <c r="K87" s="454">
        <v>0</v>
      </c>
      <c r="L87" s="454">
        <v>1402598</v>
      </c>
      <c r="M87" s="454">
        <v>0</v>
      </c>
      <c r="N87" s="454">
        <v>1402598</v>
      </c>
      <c r="P87" s="25"/>
    </row>
    <row r="88" spans="1:16" ht="20.45" customHeight="1">
      <c r="A88" s="236"/>
      <c r="B88" s="253" t="s">
        <v>64</v>
      </c>
      <c r="C88" s="249">
        <f>C89</f>
        <v>1306.5</v>
      </c>
      <c r="D88" s="249">
        <f t="shared" ref="D88:N88" si="31">D89</f>
        <v>49</v>
      </c>
      <c r="E88" s="249">
        <f t="shared" si="31"/>
        <v>0</v>
      </c>
      <c r="F88" s="249">
        <f t="shared" si="31"/>
        <v>0</v>
      </c>
      <c r="G88" s="249">
        <f t="shared" si="31"/>
        <v>0</v>
      </c>
      <c r="H88" s="249">
        <f t="shared" si="31"/>
        <v>4</v>
      </c>
      <c r="I88" s="249">
        <f t="shared" si="31"/>
        <v>4</v>
      </c>
      <c r="J88" s="251">
        <f t="shared" si="31"/>
        <v>0</v>
      </c>
      <c r="K88" s="251">
        <f t="shared" si="31"/>
        <v>0</v>
      </c>
      <c r="L88" s="251">
        <f t="shared" si="31"/>
        <v>0</v>
      </c>
      <c r="M88" s="251">
        <f t="shared" si="31"/>
        <v>5743338</v>
      </c>
      <c r="N88" s="251">
        <f t="shared" si="31"/>
        <v>5743338</v>
      </c>
      <c r="P88" s="25"/>
    </row>
    <row r="89" spans="1:16" ht="27" customHeight="1">
      <c r="A89" s="459">
        <v>49</v>
      </c>
      <c r="B89" s="456" t="s">
        <v>115</v>
      </c>
      <c r="C89" s="451">
        <f>'часть 1'!H486</f>
        <v>1306.5</v>
      </c>
      <c r="D89" s="452">
        <f>'часть 1'!K486</f>
        <v>49</v>
      </c>
      <c r="E89" s="453">
        <v>0</v>
      </c>
      <c r="F89" s="453">
        <v>0</v>
      </c>
      <c r="G89" s="453">
        <v>0</v>
      </c>
      <c r="H89" s="453">
        <v>4</v>
      </c>
      <c r="I89" s="453">
        <f t="shared" ref="I89:I92" si="32">H89+G89</f>
        <v>4</v>
      </c>
      <c r="J89" s="454">
        <v>0</v>
      </c>
      <c r="K89" s="454">
        <v>0</v>
      </c>
      <c r="L89" s="454">
        <v>0</v>
      </c>
      <c r="M89" s="454">
        <f>'часть 2'!C527</f>
        <v>5743338</v>
      </c>
      <c r="N89" s="454">
        <f>M89</f>
        <v>5743338</v>
      </c>
      <c r="P89" s="25"/>
    </row>
    <row r="90" spans="1:16">
      <c r="A90" s="236"/>
      <c r="B90" s="255" t="s">
        <v>66</v>
      </c>
      <c r="C90" s="249">
        <f>C92+C91</f>
        <v>2315.6</v>
      </c>
      <c r="D90" s="249">
        <f t="shared" ref="D90:N90" si="33">D92+D91</f>
        <v>65</v>
      </c>
      <c r="E90" s="249">
        <f t="shared" si="33"/>
        <v>0</v>
      </c>
      <c r="F90" s="249">
        <f t="shared" si="33"/>
        <v>0</v>
      </c>
      <c r="G90" s="249">
        <f t="shared" si="33"/>
        <v>0</v>
      </c>
      <c r="H90" s="249">
        <f t="shared" si="33"/>
        <v>4</v>
      </c>
      <c r="I90" s="249">
        <f t="shared" si="33"/>
        <v>4</v>
      </c>
      <c r="J90" s="251">
        <f t="shared" si="33"/>
        <v>0</v>
      </c>
      <c r="K90" s="251">
        <f t="shared" si="33"/>
        <v>0</v>
      </c>
      <c r="L90" s="251">
        <f t="shared" si="33"/>
        <v>0</v>
      </c>
      <c r="M90" s="251">
        <f t="shared" si="33"/>
        <v>4692143</v>
      </c>
      <c r="N90" s="251">
        <f t="shared" si="33"/>
        <v>4692143</v>
      </c>
      <c r="P90" s="25"/>
    </row>
    <row r="91" spans="1:16" ht="25.5">
      <c r="A91" s="459"/>
      <c r="B91" s="456" t="s">
        <v>641</v>
      </c>
      <c r="C91" s="451">
        <f>'часть 1'!H497</f>
        <v>675.9</v>
      </c>
      <c r="D91" s="451">
        <f>'часть 1'!K497</f>
        <v>21</v>
      </c>
      <c r="E91" s="451">
        <v>0</v>
      </c>
      <c r="F91" s="451">
        <v>0</v>
      </c>
      <c r="G91" s="451">
        <v>0</v>
      </c>
      <c r="H91" s="451">
        <v>1</v>
      </c>
      <c r="I91" s="451">
        <f>H91+G91+F91+E91</f>
        <v>1</v>
      </c>
      <c r="J91" s="454">
        <v>0</v>
      </c>
      <c r="K91" s="454">
        <v>0</v>
      </c>
      <c r="L91" s="454">
        <v>0</v>
      </c>
      <c r="M91" s="454">
        <v>346938</v>
      </c>
      <c r="N91" s="454">
        <v>346938</v>
      </c>
      <c r="P91" s="25"/>
    </row>
    <row r="92" spans="1:16" ht="25.5">
      <c r="A92" s="459"/>
      <c r="B92" s="456" t="s">
        <v>114</v>
      </c>
      <c r="C92" s="451">
        <v>1639.7</v>
      </c>
      <c r="D92" s="452">
        <v>44</v>
      </c>
      <c r="E92" s="453">
        <v>0</v>
      </c>
      <c r="F92" s="453">
        <v>0</v>
      </c>
      <c r="G92" s="453">
        <v>0</v>
      </c>
      <c r="H92" s="453">
        <v>3</v>
      </c>
      <c r="I92" s="453">
        <f t="shared" si="32"/>
        <v>3</v>
      </c>
      <c r="J92" s="454">
        <v>0</v>
      </c>
      <c r="K92" s="454">
        <v>0</v>
      </c>
      <c r="L92" s="454">
        <v>0</v>
      </c>
      <c r="M92" s="454">
        <v>4345205</v>
      </c>
      <c r="N92" s="454">
        <f t="shared" ref="N92" si="34">M92</f>
        <v>4345205</v>
      </c>
      <c r="P92" s="25"/>
    </row>
    <row r="93" spans="1:16">
      <c r="A93" s="459"/>
      <c r="B93" s="456"/>
      <c r="C93" s="451"/>
      <c r="D93" s="452"/>
      <c r="E93" s="452"/>
      <c r="F93" s="452"/>
      <c r="G93" s="452"/>
      <c r="H93" s="452"/>
      <c r="I93" s="453"/>
      <c r="J93" s="454"/>
      <c r="K93" s="454"/>
      <c r="L93" s="454"/>
      <c r="M93" s="454"/>
      <c r="N93" s="454"/>
      <c r="P93" s="25"/>
    </row>
    <row r="94" spans="1:16">
      <c r="A94" s="394"/>
      <c r="B94" s="258"/>
      <c r="C94" s="249"/>
      <c r="D94" s="250"/>
      <c r="E94" s="252"/>
      <c r="F94" s="252"/>
      <c r="G94" s="252"/>
      <c r="H94" s="252"/>
      <c r="I94" s="252"/>
      <c r="J94" s="251"/>
      <c r="K94" s="251"/>
      <c r="L94" s="251"/>
      <c r="M94" s="251"/>
      <c r="N94" s="251"/>
      <c r="P94" s="25"/>
    </row>
    <row r="95" spans="1:16" ht="27" customHeight="1">
      <c r="A95" s="236"/>
      <c r="B95" s="257"/>
      <c r="C95" s="249"/>
      <c r="D95" s="250"/>
      <c r="E95" s="252"/>
      <c r="F95" s="252"/>
      <c r="G95" s="252"/>
      <c r="H95" s="252"/>
      <c r="I95" s="252"/>
      <c r="J95" s="251"/>
      <c r="K95" s="251"/>
      <c r="L95" s="251"/>
      <c r="M95" s="251"/>
      <c r="N95" s="251"/>
      <c r="P95" s="25"/>
    </row>
    <row r="96" spans="1:16">
      <c r="A96" s="236"/>
      <c r="B96" s="253"/>
      <c r="C96" s="249"/>
      <c r="D96" s="250"/>
      <c r="E96" s="252"/>
      <c r="F96" s="252"/>
      <c r="G96" s="252"/>
      <c r="H96" s="252"/>
      <c r="I96" s="252"/>
      <c r="J96" s="251"/>
      <c r="K96" s="251"/>
      <c r="L96" s="251"/>
      <c r="M96" s="251"/>
      <c r="N96" s="251"/>
      <c r="P96" s="25"/>
    </row>
    <row r="97" spans="1:16" ht="29.25" customHeight="1">
      <c r="A97" s="236">
        <f>A95+1</f>
        <v>1</v>
      </c>
      <c r="B97" s="253" t="s">
        <v>212</v>
      </c>
      <c r="C97" s="249">
        <f>'часть 1'!H492</f>
        <v>494.8</v>
      </c>
      <c r="D97" s="250">
        <f>'часть 1'!K492</f>
        <v>12</v>
      </c>
      <c r="E97" s="252">
        <v>0</v>
      </c>
      <c r="F97" s="252">
        <v>0</v>
      </c>
      <c r="G97" s="252">
        <v>0</v>
      </c>
      <c r="H97" s="252">
        <v>1</v>
      </c>
      <c r="I97" s="252">
        <f t="shared" si="27"/>
        <v>1</v>
      </c>
      <c r="J97" s="251">
        <v>0</v>
      </c>
      <c r="K97" s="251">
        <v>0</v>
      </c>
      <c r="L97" s="251">
        <v>0</v>
      </c>
      <c r="M97" s="251">
        <f>'часть 2'!C533</f>
        <v>1537679</v>
      </c>
      <c r="N97" s="251">
        <f>M97</f>
        <v>1537679</v>
      </c>
      <c r="P97" s="25"/>
    </row>
    <row r="98" spans="1:16" ht="27" customHeight="1">
      <c r="A98" s="236">
        <v>54</v>
      </c>
      <c r="B98" s="253" t="s">
        <v>213</v>
      </c>
      <c r="C98" s="249">
        <f>'часть 1'!H494</f>
        <v>600.5</v>
      </c>
      <c r="D98" s="250">
        <f>'часть 1'!K494</f>
        <v>15</v>
      </c>
      <c r="E98" s="252">
        <v>0</v>
      </c>
      <c r="F98" s="252">
        <v>0</v>
      </c>
      <c r="G98" s="252">
        <v>0</v>
      </c>
      <c r="H98" s="252">
        <v>1</v>
      </c>
      <c r="I98" s="252">
        <f t="shared" si="27"/>
        <v>1</v>
      </c>
      <c r="J98" s="251">
        <v>0</v>
      </c>
      <c r="K98" s="251">
        <v>0</v>
      </c>
      <c r="L98" s="251">
        <v>0</v>
      </c>
      <c r="M98" s="251">
        <f>'часть 2'!C535</f>
        <v>1451230</v>
      </c>
      <c r="N98" s="251">
        <f>M98</f>
        <v>1451230</v>
      </c>
      <c r="P98" s="25"/>
    </row>
    <row r="99" spans="1:16">
      <c r="A99" s="236"/>
      <c r="B99" s="255"/>
      <c r="C99" s="249"/>
      <c r="D99" s="250"/>
      <c r="E99" s="252"/>
      <c r="F99" s="252"/>
      <c r="G99" s="252"/>
      <c r="H99" s="252"/>
      <c r="I99" s="252"/>
      <c r="J99" s="251"/>
      <c r="K99" s="251"/>
      <c r="L99" s="251"/>
      <c r="M99" s="251"/>
      <c r="N99" s="251"/>
      <c r="P99" s="25"/>
    </row>
    <row r="100" spans="1:16">
      <c r="A100" s="459"/>
      <c r="B100" s="456"/>
      <c r="C100" s="451"/>
      <c r="D100" s="452"/>
      <c r="E100" s="453"/>
      <c r="F100" s="453"/>
      <c r="G100" s="453"/>
      <c r="H100" s="453"/>
      <c r="I100" s="453"/>
      <c r="J100" s="454"/>
      <c r="K100" s="454"/>
      <c r="L100" s="454"/>
      <c r="M100" s="454"/>
      <c r="N100" s="454"/>
      <c r="P100" s="25"/>
    </row>
    <row r="101" spans="1:16">
      <c r="A101" s="459">
        <v>56</v>
      </c>
      <c r="B101" s="456" t="s">
        <v>207</v>
      </c>
      <c r="C101" s="451">
        <f>'часть 1'!H503</f>
        <v>59226.13</v>
      </c>
      <c r="D101" s="452">
        <f>'часть 1'!K503</f>
        <v>2200</v>
      </c>
      <c r="E101" s="452">
        <v>0</v>
      </c>
      <c r="F101" s="452">
        <v>0</v>
      </c>
      <c r="G101" s="452">
        <v>0</v>
      </c>
      <c r="H101" s="452">
        <v>7</v>
      </c>
      <c r="I101" s="453">
        <f t="shared" si="27"/>
        <v>7</v>
      </c>
      <c r="J101" s="454">
        <v>0</v>
      </c>
      <c r="K101" s="454">
        <v>0</v>
      </c>
      <c r="L101" s="454">
        <v>0</v>
      </c>
      <c r="M101" s="454">
        <f>'часть 1'!L503</f>
        <v>21667282</v>
      </c>
      <c r="N101" s="454">
        <f>M101</f>
        <v>21667282</v>
      </c>
      <c r="P101" s="25"/>
    </row>
    <row r="102" spans="1:16">
      <c r="A102" s="254"/>
      <c r="B102" s="258" t="s">
        <v>67</v>
      </c>
      <c r="C102" s="249">
        <f>'часть 1'!H515</f>
        <v>4794.6000000000004</v>
      </c>
      <c r="D102" s="250">
        <f>'часть 1'!K515</f>
        <v>162</v>
      </c>
      <c r="E102" s="252">
        <v>0</v>
      </c>
      <c r="F102" s="252">
        <v>0</v>
      </c>
      <c r="G102" s="252">
        <f>G103</f>
        <v>1</v>
      </c>
      <c r="H102" s="252">
        <f>H103+H104</f>
        <v>1</v>
      </c>
      <c r="I102" s="252">
        <f t="shared" si="27"/>
        <v>2</v>
      </c>
      <c r="J102" s="251">
        <v>0</v>
      </c>
      <c r="K102" s="251">
        <v>0</v>
      </c>
      <c r="L102" s="251">
        <f>L103</f>
        <v>728197.07</v>
      </c>
      <c r="M102" s="251">
        <f>M103+M104</f>
        <v>2131086</v>
      </c>
      <c r="N102" s="251">
        <f>N103+N104</f>
        <v>2859283.07</v>
      </c>
      <c r="P102" s="25"/>
    </row>
    <row r="103" spans="1:16" ht="27" customHeight="1">
      <c r="A103" s="236">
        <v>57</v>
      </c>
      <c r="B103" s="257" t="s">
        <v>90</v>
      </c>
      <c r="C103" s="249">
        <f>'часть 1'!H516</f>
        <v>1507.8</v>
      </c>
      <c r="D103" s="250">
        <f>'часть 1'!K516</f>
        <v>62</v>
      </c>
      <c r="E103" s="252">
        <v>0</v>
      </c>
      <c r="F103" s="252">
        <v>0</v>
      </c>
      <c r="G103" s="252">
        <v>1</v>
      </c>
      <c r="H103" s="252">
        <v>0</v>
      </c>
      <c r="I103" s="252">
        <f t="shared" si="27"/>
        <v>1</v>
      </c>
      <c r="J103" s="251">
        <v>0</v>
      </c>
      <c r="K103" s="251">
        <v>0</v>
      </c>
      <c r="L103" s="251">
        <f>'часть 1'!L516</f>
        <v>728197.07</v>
      </c>
      <c r="M103" s="251">
        <v>0</v>
      </c>
      <c r="N103" s="251">
        <f>L103</f>
        <v>728197.07</v>
      </c>
      <c r="P103" s="25"/>
    </row>
    <row r="104" spans="1:16" ht="25.5">
      <c r="A104" s="459">
        <v>58</v>
      </c>
      <c r="B104" s="456" t="s">
        <v>127</v>
      </c>
      <c r="C104" s="451">
        <f>'часть 1'!H518</f>
        <v>3286.8</v>
      </c>
      <c r="D104" s="452">
        <f>'часть 1'!K518</f>
        <v>100</v>
      </c>
      <c r="E104" s="453">
        <v>0</v>
      </c>
      <c r="F104" s="453">
        <v>0</v>
      </c>
      <c r="G104" s="453">
        <v>0</v>
      </c>
      <c r="H104" s="453">
        <v>1</v>
      </c>
      <c r="I104" s="453">
        <f t="shared" si="27"/>
        <v>1</v>
      </c>
      <c r="J104" s="454">
        <v>0</v>
      </c>
      <c r="K104" s="454">
        <v>0</v>
      </c>
      <c r="L104" s="454">
        <v>0</v>
      </c>
      <c r="M104" s="454">
        <f>'часть 1'!L518</f>
        <v>2131086</v>
      </c>
      <c r="N104" s="454">
        <f>M104</f>
        <v>2131086</v>
      </c>
      <c r="P104" s="25"/>
    </row>
    <row r="105" spans="1:16" ht="15.75" customHeight="1">
      <c r="A105" s="527">
        <v>1</v>
      </c>
      <c r="B105" s="528" t="s">
        <v>89</v>
      </c>
      <c r="C105" s="529">
        <f>'часть 1'!H106</f>
        <v>0</v>
      </c>
      <c r="D105" s="530">
        <f>'часть 1'!K106</f>
        <v>0</v>
      </c>
      <c r="E105" s="531">
        <v>0</v>
      </c>
      <c r="F105" s="531">
        <v>0</v>
      </c>
      <c r="G105" s="531">
        <v>0</v>
      </c>
      <c r="H105" s="531">
        <v>168</v>
      </c>
      <c r="I105" s="531">
        <f>H105+G105</f>
        <v>168</v>
      </c>
      <c r="J105" s="532">
        <v>0</v>
      </c>
      <c r="K105" s="532">
        <v>0</v>
      </c>
      <c r="L105" s="532">
        <v>0</v>
      </c>
      <c r="M105" s="532">
        <f>'часть 1'!L106</f>
        <v>1116228</v>
      </c>
      <c r="N105" s="532">
        <f t="shared" ref="N105:N107" si="35">M105</f>
        <v>1116228</v>
      </c>
      <c r="O105" s="25"/>
      <c r="P105" s="25"/>
    </row>
    <row r="106" spans="1:16" ht="26.25" customHeight="1">
      <c r="A106" s="189">
        <v>2</v>
      </c>
      <c r="B106" s="248" t="s">
        <v>91</v>
      </c>
      <c r="C106" s="249">
        <f>'часть 1'!H753</f>
        <v>11522.799999999997</v>
      </c>
      <c r="D106" s="250">
        <f>'часть 1'!K753</f>
        <v>365</v>
      </c>
      <c r="E106" s="252">
        <v>0</v>
      </c>
      <c r="F106" s="252">
        <v>0</v>
      </c>
      <c r="G106" s="252">
        <v>0</v>
      </c>
      <c r="H106" s="252">
        <v>13</v>
      </c>
      <c r="I106" s="252">
        <f t="shared" ref="I106:I171" si="36">H106+G106</f>
        <v>13</v>
      </c>
      <c r="J106" s="251">
        <v>0</v>
      </c>
      <c r="K106" s="251">
        <v>0</v>
      </c>
      <c r="L106" s="251">
        <v>0</v>
      </c>
      <c r="M106" s="251">
        <f>'часть 1'!L753</f>
        <v>21022265</v>
      </c>
      <c r="N106" s="251">
        <f t="shared" si="35"/>
        <v>21022265</v>
      </c>
      <c r="O106" s="25"/>
      <c r="P106" s="25"/>
    </row>
    <row r="107" spans="1:16" ht="15.75" customHeight="1">
      <c r="A107" s="527">
        <v>3</v>
      </c>
      <c r="B107" s="528" t="s">
        <v>92</v>
      </c>
      <c r="C107" s="529">
        <v>929.5</v>
      </c>
      <c r="D107" s="530">
        <v>43</v>
      </c>
      <c r="E107" s="531">
        <v>0</v>
      </c>
      <c r="F107" s="531">
        <v>0</v>
      </c>
      <c r="G107" s="531">
        <v>0</v>
      </c>
      <c r="H107" s="531">
        <v>2</v>
      </c>
      <c r="I107" s="531">
        <f t="shared" si="36"/>
        <v>2</v>
      </c>
      <c r="J107" s="532">
        <v>0</v>
      </c>
      <c r="K107" s="532">
        <v>0</v>
      </c>
      <c r="L107" s="532">
        <v>0</v>
      </c>
      <c r="M107" s="532">
        <v>1681461</v>
      </c>
      <c r="N107" s="532">
        <f t="shared" si="35"/>
        <v>1681461</v>
      </c>
      <c r="P107" s="25"/>
    </row>
    <row r="108" spans="1:16" ht="15.75" customHeight="1">
      <c r="A108" s="527">
        <v>4</v>
      </c>
      <c r="B108" s="528" t="s">
        <v>93</v>
      </c>
      <c r="C108" s="529">
        <f>'часть 1'!H770</f>
        <v>4540.7999999999993</v>
      </c>
      <c r="D108" s="530">
        <f>'часть 1'!K770</f>
        <v>151</v>
      </c>
      <c r="E108" s="531">
        <v>0</v>
      </c>
      <c r="F108" s="531">
        <v>0</v>
      </c>
      <c r="G108" s="531">
        <v>0</v>
      </c>
      <c r="H108" s="531">
        <v>2</v>
      </c>
      <c r="I108" s="531">
        <f t="shared" si="36"/>
        <v>2</v>
      </c>
      <c r="J108" s="532">
        <v>0</v>
      </c>
      <c r="K108" s="532">
        <v>0</v>
      </c>
      <c r="L108" s="532">
        <v>0</v>
      </c>
      <c r="M108" s="702">
        <f>'часть 1'!L770</f>
        <v>4013524</v>
      </c>
      <c r="N108" s="532">
        <f>M108</f>
        <v>4013524</v>
      </c>
      <c r="P108" s="25"/>
    </row>
    <row r="109" spans="1:16" ht="16.5" customHeight="1">
      <c r="A109" s="527">
        <v>5</v>
      </c>
      <c r="B109" s="534" t="s">
        <v>94</v>
      </c>
      <c r="C109" s="529">
        <f>'часть 1'!H796</f>
        <v>13237.699999999999</v>
      </c>
      <c r="D109" s="530">
        <f>'часть 1'!K796</f>
        <v>482</v>
      </c>
      <c r="E109" s="531">
        <v>0</v>
      </c>
      <c r="F109" s="531">
        <v>0</v>
      </c>
      <c r="G109" s="531">
        <v>0</v>
      </c>
      <c r="H109" s="531">
        <v>9</v>
      </c>
      <c r="I109" s="531">
        <f t="shared" si="36"/>
        <v>9</v>
      </c>
      <c r="J109" s="532">
        <v>0</v>
      </c>
      <c r="K109" s="532">
        <v>0</v>
      </c>
      <c r="L109" s="532">
        <v>0</v>
      </c>
      <c r="M109" s="532">
        <f>'часть 1'!L796</f>
        <v>17682419</v>
      </c>
      <c r="N109" s="532">
        <f t="shared" ref="N109:N110" si="37">M109</f>
        <v>17682419</v>
      </c>
      <c r="O109" s="25"/>
      <c r="P109" s="25"/>
    </row>
    <row r="110" spans="1:16" s="3" customFormat="1">
      <c r="A110" s="527">
        <v>6</v>
      </c>
      <c r="B110" s="832" t="s">
        <v>123</v>
      </c>
      <c r="C110" s="833">
        <f>'часть 1'!H809</f>
        <v>26975.9</v>
      </c>
      <c r="D110" s="834">
        <f>'часть 1'!K809</f>
        <v>1039</v>
      </c>
      <c r="E110" s="881">
        <v>0</v>
      </c>
      <c r="F110" s="881">
        <v>0</v>
      </c>
      <c r="G110" s="881">
        <v>0</v>
      </c>
      <c r="H110" s="836">
        <v>5</v>
      </c>
      <c r="I110" s="531">
        <f t="shared" si="36"/>
        <v>5</v>
      </c>
      <c r="J110" s="835">
        <v>0</v>
      </c>
      <c r="K110" s="835">
        <v>0</v>
      </c>
      <c r="L110" s="835">
        <v>0</v>
      </c>
      <c r="M110" s="835">
        <f>'часть 1'!L809</f>
        <v>12904489</v>
      </c>
      <c r="N110" s="835">
        <f t="shared" si="37"/>
        <v>12904489</v>
      </c>
      <c r="P110" s="25"/>
    </row>
    <row r="111" spans="1:16" s="3" customFormat="1">
      <c r="A111" s="527"/>
      <c r="B111" s="832" t="s">
        <v>864</v>
      </c>
      <c r="C111" s="833">
        <f>'часть 1'!H822</f>
        <v>5260.1</v>
      </c>
      <c r="D111" s="834">
        <f>'часть 1'!K822</f>
        <v>160</v>
      </c>
      <c r="E111" s="881">
        <v>0</v>
      </c>
      <c r="F111" s="881">
        <v>1</v>
      </c>
      <c r="G111" s="881">
        <v>1</v>
      </c>
      <c r="H111" s="836">
        <v>0</v>
      </c>
      <c r="I111" s="531">
        <f>H111+G111+F111+E111</f>
        <v>2</v>
      </c>
      <c r="J111" s="835">
        <v>0</v>
      </c>
      <c r="K111" s="835">
        <v>1146524</v>
      </c>
      <c r="L111" s="835">
        <v>2505179</v>
      </c>
      <c r="M111" s="835">
        <v>0</v>
      </c>
      <c r="N111" s="835">
        <f>M111+L111+K111+J111</f>
        <v>3651703</v>
      </c>
      <c r="P111" s="25"/>
    </row>
    <row r="112" spans="1:16" s="3" customFormat="1">
      <c r="A112" s="831"/>
      <c r="B112" s="832" t="s">
        <v>72</v>
      </c>
      <c r="C112" s="833">
        <f>C113</f>
        <v>3267.2000000000003</v>
      </c>
      <c r="D112" s="834">
        <f t="shared" ref="D112:N112" si="38">D113</f>
        <v>71</v>
      </c>
      <c r="E112" s="834">
        <f t="shared" si="38"/>
        <v>0</v>
      </c>
      <c r="F112" s="834">
        <f t="shared" si="38"/>
        <v>0</v>
      </c>
      <c r="G112" s="834">
        <f t="shared" si="38"/>
        <v>0</v>
      </c>
      <c r="H112" s="834">
        <f t="shared" si="38"/>
        <v>2</v>
      </c>
      <c r="I112" s="834">
        <f t="shared" si="38"/>
        <v>2</v>
      </c>
      <c r="J112" s="835">
        <f t="shared" si="38"/>
        <v>0</v>
      </c>
      <c r="K112" s="835">
        <f t="shared" si="38"/>
        <v>0</v>
      </c>
      <c r="L112" s="835">
        <f t="shared" si="38"/>
        <v>0</v>
      </c>
      <c r="M112" s="835">
        <f t="shared" si="38"/>
        <v>4218095</v>
      </c>
      <c r="N112" s="835">
        <f t="shared" si="38"/>
        <v>4218095</v>
      </c>
      <c r="P112" s="25"/>
    </row>
    <row r="113" spans="1:16" s="3" customFormat="1" ht="25.5">
      <c r="A113" s="831">
        <v>7</v>
      </c>
      <c r="B113" s="832" t="s">
        <v>95</v>
      </c>
      <c r="C113" s="833">
        <f>'часть 1'!H826</f>
        <v>3267.2000000000003</v>
      </c>
      <c r="D113" s="834">
        <f>'часть 1'!K826</f>
        <v>71</v>
      </c>
      <c r="E113" s="531">
        <v>0</v>
      </c>
      <c r="F113" s="531">
        <v>0</v>
      </c>
      <c r="G113" s="531">
        <v>0</v>
      </c>
      <c r="H113" s="836">
        <v>2</v>
      </c>
      <c r="I113" s="531">
        <f t="shared" si="36"/>
        <v>2</v>
      </c>
      <c r="J113" s="835">
        <v>0</v>
      </c>
      <c r="K113" s="835">
        <v>0</v>
      </c>
      <c r="L113" s="835">
        <v>0</v>
      </c>
      <c r="M113" s="835">
        <f>'часть 1'!L826</f>
        <v>4218095</v>
      </c>
      <c r="N113" s="835">
        <f>M113</f>
        <v>4218095</v>
      </c>
      <c r="P113" s="25"/>
    </row>
    <row r="114" spans="1:16">
      <c r="A114" s="394"/>
      <c r="B114" s="248" t="s">
        <v>41</v>
      </c>
      <c r="C114" s="249">
        <f>C115</f>
        <v>4403.5</v>
      </c>
      <c r="D114" s="249">
        <f t="shared" ref="D114:N114" si="39">D115</f>
        <v>191</v>
      </c>
      <c r="E114" s="249">
        <f t="shared" si="39"/>
        <v>0</v>
      </c>
      <c r="F114" s="249">
        <f t="shared" si="39"/>
        <v>0</v>
      </c>
      <c r="G114" s="249">
        <f t="shared" si="39"/>
        <v>0</v>
      </c>
      <c r="H114" s="249">
        <f t="shared" si="39"/>
        <v>5</v>
      </c>
      <c r="I114" s="249">
        <f t="shared" si="39"/>
        <v>5</v>
      </c>
      <c r="J114" s="249">
        <f t="shared" si="39"/>
        <v>0</v>
      </c>
      <c r="K114" s="249">
        <f t="shared" si="39"/>
        <v>0</v>
      </c>
      <c r="L114" s="249">
        <f t="shared" si="39"/>
        <v>0</v>
      </c>
      <c r="M114" s="249">
        <f t="shared" si="39"/>
        <v>9289441</v>
      </c>
      <c r="N114" s="249">
        <f t="shared" si="39"/>
        <v>9289441</v>
      </c>
      <c r="P114" s="25"/>
    </row>
    <row r="115" spans="1:16" ht="25.5">
      <c r="A115" s="535">
        <v>8</v>
      </c>
      <c r="B115" s="528" t="s">
        <v>96</v>
      </c>
      <c r="C115" s="529">
        <f>'часть 1'!H835</f>
        <v>4403.5</v>
      </c>
      <c r="D115" s="530">
        <f>'часть 1'!K835</f>
        <v>191</v>
      </c>
      <c r="E115" s="531">
        <v>0</v>
      </c>
      <c r="F115" s="531">
        <v>0</v>
      </c>
      <c r="G115" s="531">
        <v>0</v>
      </c>
      <c r="H115" s="531">
        <v>5</v>
      </c>
      <c r="I115" s="531">
        <f t="shared" si="36"/>
        <v>5</v>
      </c>
      <c r="J115" s="532">
        <v>0</v>
      </c>
      <c r="K115" s="532">
        <v>0</v>
      </c>
      <c r="L115" s="532">
        <v>0</v>
      </c>
      <c r="M115" s="532">
        <f>'часть 1'!L835</f>
        <v>9289441</v>
      </c>
      <c r="N115" s="532">
        <f>M115</f>
        <v>9289441</v>
      </c>
      <c r="P115" s="25"/>
    </row>
    <row r="116" spans="1:16">
      <c r="A116" s="394"/>
      <c r="B116" s="248" t="s">
        <v>68</v>
      </c>
      <c r="C116" s="249">
        <f>C117</f>
        <v>285.2</v>
      </c>
      <c r="D116" s="250">
        <f t="shared" ref="D116:N116" si="40">D117</f>
        <v>13</v>
      </c>
      <c r="E116" s="252">
        <f t="shared" si="40"/>
        <v>0</v>
      </c>
      <c r="F116" s="252">
        <f t="shared" si="40"/>
        <v>0</v>
      </c>
      <c r="G116" s="252">
        <f t="shared" si="40"/>
        <v>0</v>
      </c>
      <c r="H116" s="252" t="e">
        <f>'часть 2'!#REF!</f>
        <v>#REF!</v>
      </c>
      <c r="I116" s="252" t="e">
        <f t="shared" si="36"/>
        <v>#REF!</v>
      </c>
      <c r="J116" s="251">
        <f t="shared" si="40"/>
        <v>0</v>
      </c>
      <c r="K116" s="251">
        <f t="shared" si="40"/>
        <v>0</v>
      </c>
      <c r="L116" s="251">
        <f t="shared" si="40"/>
        <v>0</v>
      </c>
      <c r="M116" s="251">
        <f>'часть 1'!L368</f>
        <v>1551693</v>
      </c>
      <c r="N116" s="251">
        <f t="shared" si="40"/>
        <v>443001</v>
      </c>
      <c r="P116" s="25"/>
    </row>
    <row r="117" spans="1:16" ht="25.5">
      <c r="A117" s="535">
        <v>9</v>
      </c>
      <c r="B117" s="528" t="s">
        <v>97</v>
      </c>
      <c r="C117" s="529">
        <f>'часть 1'!H843</f>
        <v>285.2</v>
      </c>
      <c r="D117" s="530">
        <f>'часть 1'!K843</f>
        <v>13</v>
      </c>
      <c r="E117" s="531">
        <v>0</v>
      </c>
      <c r="F117" s="531">
        <v>0</v>
      </c>
      <c r="G117" s="531">
        <v>0</v>
      </c>
      <c r="H117" s="531">
        <v>1</v>
      </c>
      <c r="I117" s="531">
        <f t="shared" si="36"/>
        <v>1</v>
      </c>
      <c r="J117" s="532">
        <v>0</v>
      </c>
      <c r="K117" s="532">
        <v>0</v>
      </c>
      <c r="L117" s="532">
        <v>0</v>
      </c>
      <c r="M117" s="532">
        <f>'часть 1'!L842</f>
        <v>443001</v>
      </c>
      <c r="N117" s="532">
        <f>M117</f>
        <v>443001</v>
      </c>
      <c r="P117" s="25"/>
    </row>
    <row r="118" spans="1:16" s="19" customFormat="1">
      <c r="A118" s="255"/>
      <c r="B118" s="255" t="s">
        <v>43</v>
      </c>
      <c r="C118" s="249">
        <f>C119+C120</f>
        <v>105310.90000000001</v>
      </c>
      <c r="D118" s="256">
        <f>D119+D120</f>
        <v>3133</v>
      </c>
      <c r="E118" s="252">
        <f>E119+E120</f>
        <v>0</v>
      </c>
      <c r="F118" s="252">
        <f t="shared" ref="F118:H118" si="41">F119+F120</f>
        <v>0</v>
      </c>
      <c r="G118" s="252">
        <f t="shared" si="41"/>
        <v>0</v>
      </c>
      <c r="H118" s="252" t="e">
        <f t="shared" si="41"/>
        <v>#REF!</v>
      </c>
      <c r="I118" s="252" t="e">
        <f t="shared" si="36"/>
        <v>#REF!</v>
      </c>
      <c r="J118" s="251">
        <f>J119+J120</f>
        <v>0</v>
      </c>
      <c r="K118" s="251">
        <f t="shared" ref="K118:N118" si="42">K119+K120</f>
        <v>0</v>
      </c>
      <c r="L118" s="251">
        <f t="shared" si="42"/>
        <v>0</v>
      </c>
      <c r="M118" s="251">
        <f t="shared" si="42"/>
        <v>58030999.920000002</v>
      </c>
      <c r="N118" s="251">
        <f t="shared" si="42"/>
        <v>58030999.920000002</v>
      </c>
      <c r="O118" s="84"/>
      <c r="P118" s="25"/>
    </row>
    <row r="119" spans="1:16" s="19" customFormat="1" ht="25.5">
      <c r="A119" s="394">
        <v>10</v>
      </c>
      <c r="B119" s="253" t="s">
        <v>125</v>
      </c>
      <c r="C119" s="249">
        <f>'часть 1'!H372</f>
        <v>3129.1</v>
      </c>
      <c r="D119" s="250">
        <f>'часть 1'!K372</f>
        <v>113</v>
      </c>
      <c r="E119" s="252">
        <v>0</v>
      </c>
      <c r="F119" s="252">
        <v>0</v>
      </c>
      <c r="G119" s="252">
        <v>0</v>
      </c>
      <c r="H119" s="252" t="e">
        <f>'часть 2'!#REF!</f>
        <v>#REF!</v>
      </c>
      <c r="I119" s="252" t="e">
        <f t="shared" si="36"/>
        <v>#REF!</v>
      </c>
      <c r="J119" s="251">
        <v>0</v>
      </c>
      <c r="K119" s="251">
        <v>0</v>
      </c>
      <c r="L119" s="251">
        <v>0</v>
      </c>
      <c r="M119" s="251">
        <f>'часть 1'!L372</f>
        <v>2178044</v>
      </c>
      <c r="N119" s="251">
        <f>M119</f>
        <v>2178044</v>
      </c>
      <c r="P119" s="25"/>
    </row>
    <row r="120" spans="1:16" s="19" customFormat="1" ht="25.5">
      <c r="A120" s="394">
        <v>11</v>
      </c>
      <c r="B120" s="253" t="s">
        <v>210</v>
      </c>
      <c r="C120" s="249">
        <f>'часть 1'!H384</f>
        <v>102181.8</v>
      </c>
      <c r="D120" s="250">
        <f>'часть 1'!K384</f>
        <v>3020</v>
      </c>
      <c r="E120" s="252">
        <v>0</v>
      </c>
      <c r="F120" s="252">
        <v>0</v>
      </c>
      <c r="G120" s="252">
        <v>0</v>
      </c>
      <c r="H120" s="252">
        <v>2</v>
      </c>
      <c r="I120" s="252">
        <f t="shared" si="36"/>
        <v>2</v>
      </c>
      <c r="J120" s="251">
        <v>0</v>
      </c>
      <c r="K120" s="251">
        <v>0</v>
      </c>
      <c r="L120" s="251">
        <v>0</v>
      </c>
      <c r="M120" s="251">
        <f>'часть 1'!L384</f>
        <v>55852955.920000002</v>
      </c>
      <c r="N120" s="251">
        <f>M120</f>
        <v>55852955.920000002</v>
      </c>
      <c r="P120" s="25"/>
    </row>
    <row r="121" spans="1:16">
      <c r="A121" s="394"/>
      <c r="B121" s="255" t="s">
        <v>44</v>
      </c>
      <c r="C121" s="249">
        <f>C122</f>
        <v>520.9</v>
      </c>
      <c r="D121" s="250">
        <f t="shared" ref="D121:N121" si="43">D122</f>
        <v>25</v>
      </c>
      <c r="E121" s="252">
        <f t="shared" si="43"/>
        <v>0</v>
      </c>
      <c r="F121" s="252">
        <f t="shared" si="43"/>
        <v>0</v>
      </c>
      <c r="G121" s="252">
        <f t="shared" si="43"/>
        <v>0</v>
      </c>
      <c r="H121" s="252">
        <f t="shared" si="43"/>
        <v>1</v>
      </c>
      <c r="I121" s="252">
        <f t="shared" si="36"/>
        <v>1</v>
      </c>
      <c r="J121" s="251">
        <f t="shared" si="43"/>
        <v>0</v>
      </c>
      <c r="K121" s="251">
        <f t="shared" si="43"/>
        <v>0</v>
      </c>
      <c r="L121" s="251">
        <f t="shared" si="43"/>
        <v>0</v>
      </c>
      <c r="M121" s="251">
        <f>'часть 1'!L387</f>
        <v>3894862</v>
      </c>
      <c r="N121" s="251">
        <f t="shared" si="43"/>
        <v>922687</v>
      </c>
      <c r="P121" s="25"/>
    </row>
    <row r="122" spans="1:16" s="18" customFormat="1" ht="25.5">
      <c r="A122" s="535">
        <f>A120+1</f>
        <v>12</v>
      </c>
      <c r="B122" s="534" t="s">
        <v>435</v>
      </c>
      <c r="C122" s="529">
        <f>'часть 1'!H864</f>
        <v>520.9</v>
      </c>
      <c r="D122" s="530">
        <f>'часть 1'!K864</f>
        <v>25</v>
      </c>
      <c r="E122" s="531">
        <v>0</v>
      </c>
      <c r="F122" s="531">
        <v>0</v>
      </c>
      <c r="G122" s="531">
        <v>0</v>
      </c>
      <c r="H122" s="531">
        <v>1</v>
      </c>
      <c r="I122" s="531">
        <f t="shared" si="36"/>
        <v>1</v>
      </c>
      <c r="J122" s="532">
        <v>0</v>
      </c>
      <c r="K122" s="532">
        <v>0</v>
      </c>
      <c r="L122" s="532">
        <v>0</v>
      </c>
      <c r="M122" s="532">
        <f>'часть 1'!L865</f>
        <v>922687</v>
      </c>
      <c r="N122" s="532">
        <f>M122</f>
        <v>922687</v>
      </c>
      <c r="P122" s="25"/>
    </row>
    <row r="123" spans="1:16">
      <c r="A123" s="394"/>
      <c r="B123" s="255" t="s">
        <v>45</v>
      </c>
      <c r="C123" s="249">
        <f>C124+C125+C126+C127+C128+C129</f>
        <v>7577.5</v>
      </c>
      <c r="D123" s="249">
        <f t="shared" ref="D123:N123" si="44">D124+D125+D126+D127+D128+D129</f>
        <v>291</v>
      </c>
      <c r="E123" s="249">
        <f t="shared" si="44"/>
        <v>0</v>
      </c>
      <c r="F123" s="249">
        <f t="shared" si="44"/>
        <v>0</v>
      </c>
      <c r="G123" s="249">
        <f t="shared" si="44"/>
        <v>1</v>
      </c>
      <c r="H123" s="249">
        <f t="shared" si="44"/>
        <v>6</v>
      </c>
      <c r="I123" s="249">
        <f t="shared" si="44"/>
        <v>7</v>
      </c>
      <c r="J123" s="249">
        <f t="shared" si="44"/>
        <v>0</v>
      </c>
      <c r="K123" s="249">
        <f t="shared" si="44"/>
        <v>0</v>
      </c>
      <c r="L123" s="249">
        <f t="shared" si="44"/>
        <v>1646792</v>
      </c>
      <c r="M123" s="249">
        <f t="shared" si="44"/>
        <v>6930539</v>
      </c>
      <c r="N123" s="249">
        <f t="shared" si="44"/>
        <v>8577331</v>
      </c>
      <c r="O123" s="25"/>
      <c r="P123" s="25"/>
    </row>
    <row r="124" spans="1:16" ht="25.5">
      <c r="A124" s="535">
        <f>A122+1</f>
        <v>13</v>
      </c>
      <c r="B124" s="594" t="s">
        <v>98</v>
      </c>
      <c r="C124" s="529">
        <f>'часть 1'!H868</f>
        <v>1910.1999999999998</v>
      </c>
      <c r="D124" s="530">
        <f>'часть 1'!K868</f>
        <v>85</v>
      </c>
      <c r="E124" s="531">
        <v>0</v>
      </c>
      <c r="F124" s="531">
        <v>0</v>
      </c>
      <c r="G124" s="531">
        <v>0</v>
      </c>
      <c r="H124" s="531">
        <v>3</v>
      </c>
      <c r="I124" s="531">
        <f t="shared" si="36"/>
        <v>3</v>
      </c>
      <c r="J124" s="532">
        <v>0</v>
      </c>
      <c r="K124" s="532">
        <v>0</v>
      </c>
      <c r="L124" s="532">
        <v>0</v>
      </c>
      <c r="M124" s="532">
        <f>'часть 1'!L868</f>
        <v>3345596</v>
      </c>
      <c r="N124" s="532">
        <f>M124</f>
        <v>3345596</v>
      </c>
      <c r="P124" s="25"/>
    </row>
    <row r="125" spans="1:16" ht="25.5">
      <c r="A125" s="535"/>
      <c r="B125" s="594" t="s">
        <v>688</v>
      </c>
      <c r="C125" s="529">
        <f>'часть 1'!H873</f>
        <v>484.1</v>
      </c>
      <c r="D125" s="530">
        <f>'часть 1'!K873</f>
        <v>31</v>
      </c>
      <c r="E125" s="531">
        <v>0</v>
      </c>
      <c r="F125" s="531">
        <v>0</v>
      </c>
      <c r="G125" s="531">
        <v>0</v>
      </c>
      <c r="H125" s="531">
        <v>1</v>
      </c>
      <c r="I125" s="531">
        <v>1</v>
      </c>
      <c r="J125" s="532">
        <v>0</v>
      </c>
      <c r="K125" s="532">
        <v>0</v>
      </c>
      <c r="L125" s="532">
        <v>0</v>
      </c>
      <c r="M125" s="532">
        <v>908962</v>
      </c>
      <c r="N125" s="532">
        <f>M125+L125+K125+J125</f>
        <v>908962</v>
      </c>
      <c r="P125" s="25"/>
    </row>
    <row r="126" spans="1:16" ht="25.5">
      <c r="A126" s="535"/>
      <c r="B126" s="534" t="s">
        <v>99</v>
      </c>
      <c r="C126" s="498">
        <f>'часть 1'!H874</f>
        <v>386.6</v>
      </c>
      <c r="D126" s="503">
        <f>'часть 1'!K874</f>
        <v>19</v>
      </c>
      <c r="E126" s="531">
        <v>0</v>
      </c>
      <c r="F126" s="531">
        <v>0</v>
      </c>
      <c r="G126" s="531">
        <v>0</v>
      </c>
      <c r="H126" s="502">
        <v>1</v>
      </c>
      <c r="I126" s="531">
        <f t="shared" si="36"/>
        <v>1</v>
      </c>
      <c r="J126" s="532">
        <v>0</v>
      </c>
      <c r="K126" s="532">
        <v>0</v>
      </c>
      <c r="L126" s="532">
        <v>0</v>
      </c>
      <c r="M126" s="532">
        <f>'часть 1'!L874</f>
        <v>655569</v>
      </c>
      <c r="N126" s="532">
        <f>M126</f>
        <v>655569</v>
      </c>
      <c r="P126" s="25"/>
    </row>
    <row r="127" spans="1:16" ht="25.5">
      <c r="A127" s="535">
        <f>A126+1</f>
        <v>1</v>
      </c>
      <c r="B127" s="534" t="s">
        <v>100</v>
      </c>
      <c r="C127" s="529">
        <f>'часть 1'!H877</f>
        <v>3324.5</v>
      </c>
      <c r="D127" s="530">
        <f>'часть 1'!K877</f>
        <v>127</v>
      </c>
      <c r="E127" s="531">
        <v>0</v>
      </c>
      <c r="F127" s="531">
        <v>0</v>
      </c>
      <c r="G127" s="531">
        <v>0</v>
      </c>
      <c r="H127" s="531">
        <v>1</v>
      </c>
      <c r="I127" s="531">
        <f t="shared" si="36"/>
        <v>1</v>
      </c>
      <c r="J127" s="532">
        <v>0</v>
      </c>
      <c r="K127" s="532">
        <v>0</v>
      </c>
      <c r="L127" s="532">
        <v>0</v>
      </c>
      <c r="M127" s="532">
        <f>'часть 1'!L877</f>
        <v>2020412</v>
      </c>
      <c r="N127" s="532">
        <f>M127</f>
        <v>2020412</v>
      </c>
      <c r="P127" s="25"/>
    </row>
    <row r="128" spans="1:16" ht="25.5">
      <c r="A128" s="535">
        <f>A127+1</f>
        <v>2</v>
      </c>
      <c r="B128" s="534" t="s">
        <v>101</v>
      </c>
      <c r="C128" s="529">
        <f>'часть 1'!H878</f>
        <v>1472.1</v>
      </c>
      <c r="D128" s="530">
        <f>'часть 1'!K878</f>
        <v>29</v>
      </c>
      <c r="E128" s="531">
        <v>0</v>
      </c>
      <c r="F128" s="531">
        <v>0</v>
      </c>
      <c r="G128" s="531">
        <v>1</v>
      </c>
      <c r="H128" s="531">
        <v>0</v>
      </c>
      <c r="I128" s="531">
        <f t="shared" si="36"/>
        <v>1</v>
      </c>
      <c r="J128" s="532">
        <v>0</v>
      </c>
      <c r="K128" s="532">
        <v>0</v>
      </c>
      <c r="L128" s="532">
        <f>'часть 1'!L878</f>
        <v>1646792</v>
      </c>
      <c r="M128" s="532">
        <v>0</v>
      </c>
      <c r="N128" s="532">
        <f>M128+L128+K128+J128</f>
        <v>1646792</v>
      </c>
      <c r="P128" s="25"/>
    </row>
    <row r="129" spans="1:16" ht="28.5" customHeight="1">
      <c r="A129" s="536">
        <f>A128+1</f>
        <v>3</v>
      </c>
      <c r="B129" s="534" t="s">
        <v>586</v>
      </c>
      <c r="C129" s="529">
        <v>0</v>
      </c>
      <c r="D129" s="530">
        <v>0</v>
      </c>
      <c r="E129" s="531">
        <v>0</v>
      </c>
      <c r="F129" s="531">
        <v>0</v>
      </c>
      <c r="G129" s="531">
        <v>0</v>
      </c>
      <c r="H129" s="531">
        <v>0</v>
      </c>
      <c r="I129" s="531">
        <f t="shared" si="36"/>
        <v>0</v>
      </c>
      <c r="J129" s="532">
        <v>0</v>
      </c>
      <c r="K129" s="532">
        <v>0</v>
      </c>
      <c r="L129" s="532">
        <v>0</v>
      </c>
      <c r="M129" s="532">
        <v>0</v>
      </c>
      <c r="N129" s="532">
        <f>M129</f>
        <v>0</v>
      </c>
      <c r="P129" s="25"/>
    </row>
    <row r="130" spans="1:16">
      <c r="A130" s="394"/>
      <c r="B130" s="255" t="s">
        <v>46</v>
      </c>
      <c r="C130" s="249">
        <f>C131</f>
        <v>459.1</v>
      </c>
      <c r="D130" s="249">
        <f t="shared" ref="D130:N130" si="45">D131</f>
        <v>18</v>
      </c>
      <c r="E130" s="249">
        <f t="shared" si="45"/>
        <v>0</v>
      </c>
      <c r="F130" s="249">
        <f t="shared" si="45"/>
        <v>0</v>
      </c>
      <c r="G130" s="249">
        <f t="shared" si="45"/>
        <v>0</v>
      </c>
      <c r="H130" s="249">
        <f t="shared" si="45"/>
        <v>1</v>
      </c>
      <c r="I130" s="249">
        <f t="shared" si="45"/>
        <v>1</v>
      </c>
      <c r="J130" s="251">
        <f t="shared" si="45"/>
        <v>0</v>
      </c>
      <c r="K130" s="251">
        <f t="shared" si="45"/>
        <v>0</v>
      </c>
      <c r="L130" s="251">
        <f t="shared" si="45"/>
        <v>0</v>
      </c>
      <c r="M130" s="251">
        <f t="shared" si="45"/>
        <v>674133</v>
      </c>
      <c r="N130" s="251">
        <f t="shared" si="45"/>
        <v>674133</v>
      </c>
      <c r="O130" s="25"/>
      <c r="P130" s="25"/>
    </row>
    <row r="131" spans="1:16" ht="25.5">
      <c r="A131" s="535">
        <f>A129+1</f>
        <v>4</v>
      </c>
      <c r="B131" s="534" t="s">
        <v>587</v>
      </c>
      <c r="C131" s="529">
        <v>459.1</v>
      </c>
      <c r="D131" s="530">
        <v>18</v>
      </c>
      <c r="E131" s="531">
        <v>0</v>
      </c>
      <c r="F131" s="531">
        <v>0</v>
      </c>
      <c r="G131" s="531">
        <v>0</v>
      </c>
      <c r="H131" s="531">
        <v>1</v>
      </c>
      <c r="I131" s="531">
        <f t="shared" si="36"/>
        <v>1</v>
      </c>
      <c r="J131" s="532">
        <v>0</v>
      </c>
      <c r="K131" s="532">
        <v>0</v>
      </c>
      <c r="L131" s="532">
        <v>0</v>
      </c>
      <c r="M131" s="532">
        <v>674133</v>
      </c>
      <c r="N131" s="532">
        <f>M131</f>
        <v>674133</v>
      </c>
      <c r="P131" s="25"/>
    </row>
    <row r="132" spans="1:16">
      <c r="A132" s="394"/>
      <c r="B132" s="255" t="s">
        <v>47</v>
      </c>
      <c r="C132" s="249">
        <f>C133</f>
        <v>597</v>
      </c>
      <c r="D132" s="249">
        <f t="shared" ref="D132:N132" si="46">D133</f>
        <v>22</v>
      </c>
      <c r="E132" s="249">
        <f t="shared" si="46"/>
        <v>0</v>
      </c>
      <c r="F132" s="249">
        <f t="shared" si="46"/>
        <v>0</v>
      </c>
      <c r="G132" s="249">
        <f t="shared" si="46"/>
        <v>0</v>
      </c>
      <c r="H132" s="249">
        <f t="shared" si="46"/>
        <v>1</v>
      </c>
      <c r="I132" s="249">
        <f t="shared" si="46"/>
        <v>1</v>
      </c>
      <c r="J132" s="251">
        <f t="shared" si="46"/>
        <v>0</v>
      </c>
      <c r="K132" s="251">
        <f t="shared" si="46"/>
        <v>0</v>
      </c>
      <c r="L132" s="251">
        <f t="shared" si="46"/>
        <v>0</v>
      </c>
      <c r="M132" s="251">
        <f t="shared" si="46"/>
        <v>1786109</v>
      </c>
      <c r="N132" s="251">
        <f t="shared" si="46"/>
        <v>1786109</v>
      </c>
      <c r="O132" s="25"/>
      <c r="P132" s="25"/>
    </row>
    <row r="133" spans="1:16" ht="25.5">
      <c r="A133" s="536">
        <f>A131+1</f>
        <v>5</v>
      </c>
      <c r="B133" s="534" t="s">
        <v>103</v>
      </c>
      <c r="C133" s="529">
        <f>'часть 1'!H887</f>
        <v>597</v>
      </c>
      <c r="D133" s="530">
        <f>'часть 1'!K887</f>
        <v>22</v>
      </c>
      <c r="E133" s="531">
        <v>0</v>
      </c>
      <c r="F133" s="531">
        <v>0</v>
      </c>
      <c r="G133" s="531">
        <v>0</v>
      </c>
      <c r="H133" s="531">
        <v>1</v>
      </c>
      <c r="I133" s="531">
        <f t="shared" si="36"/>
        <v>1</v>
      </c>
      <c r="J133" s="532">
        <v>0</v>
      </c>
      <c r="K133" s="532">
        <v>0</v>
      </c>
      <c r="L133" s="532">
        <v>0</v>
      </c>
      <c r="M133" s="532">
        <f>'часть 1'!L887</f>
        <v>1786109</v>
      </c>
      <c r="N133" s="532">
        <f>M133</f>
        <v>1786109</v>
      </c>
      <c r="P133" s="25"/>
    </row>
    <row r="134" spans="1:16" s="9" customFormat="1">
      <c r="A134" s="394"/>
      <c r="B134" s="255" t="s">
        <v>48</v>
      </c>
      <c r="C134" s="249">
        <f>'часть 1'!H424</f>
        <v>1983</v>
      </c>
      <c r="D134" s="250">
        <f>'часть 1'!K424</f>
        <v>80</v>
      </c>
      <c r="E134" s="252">
        <f t="shared" ref="E134:G134" si="47">E135+E136</f>
        <v>0</v>
      </c>
      <c r="F134" s="252">
        <f t="shared" si="47"/>
        <v>0</v>
      </c>
      <c r="G134" s="252">
        <f t="shared" si="47"/>
        <v>0</v>
      </c>
      <c r="H134" s="252" t="e">
        <f>H135+H136</f>
        <v>#REF!</v>
      </c>
      <c r="I134" s="252" t="e">
        <f t="shared" si="36"/>
        <v>#REF!</v>
      </c>
      <c r="J134" s="251">
        <f t="shared" ref="J134:N134" si="48">J135+J136</f>
        <v>0</v>
      </c>
      <c r="K134" s="251">
        <f t="shared" si="48"/>
        <v>0</v>
      </c>
      <c r="L134" s="251">
        <f t="shared" si="48"/>
        <v>0</v>
      </c>
      <c r="M134" s="251">
        <f t="shared" si="48"/>
        <v>5112634</v>
      </c>
      <c r="N134" s="251">
        <f t="shared" si="48"/>
        <v>5112634</v>
      </c>
      <c r="O134" s="39"/>
      <c r="P134" s="25"/>
    </row>
    <row r="135" spans="1:16" ht="25.5">
      <c r="A135" s="536">
        <f>A133+1</f>
        <v>6</v>
      </c>
      <c r="B135" s="534" t="s">
        <v>107</v>
      </c>
      <c r="C135" s="529">
        <f>'часть 1'!H890</f>
        <v>1330.3000000000002</v>
      </c>
      <c r="D135" s="530">
        <f>'часть 1'!K890</f>
        <v>72</v>
      </c>
      <c r="E135" s="531">
        <v>0</v>
      </c>
      <c r="F135" s="531">
        <v>0</v>
      </c>
      <c r="G135" s="531">
        <v>0</v>
      </c>
      <c r="H135" s="531">
        <v>2</v>
      </c>
      <c r="I135" s="531">
        <f t="shared" si="36"/>
        <v>2</v>
      </c>
      <c r="J135" s="532">
        <v>0</v>
      </c>
      <c r="K135" s="532">
        <v>0</v>
      </c>
      <c r="L135" s="532">
        <v>0</v>
      </c>
      <c r="M135" s="532">
        <f>'часть 1'!L890</f>
        <v>2303204</v>
      </c>
      <c r="N135" s="532">
        <f t="shared" ref="N135:N136" si="49">M135</f>
        <v>2303204</v>
      </c>
      <c r="P135" s="25"/>
    </row>
    <row r="136" spans="1:16" ht="27" customHeight="1">
      <c r="A136" s="236">
        <f>A135+1</f>
        <v>7</v>
      </c>
      <c r="B136" s="253" t="s">
        <v>104</v>
      </c>
      <c r="C136" s="249">
        <f>'часть 1'!H429</f>
        <v>912.1</v>
      </c>
      <c r="D136" s="250">
        <f>'часть 1'!K429</f>
        <v>39</v>
      </c>
      <c r="E136" s="252">
        <v>0</v>
      </c>
      <c r="F136" s="252">
        <v>0</v>
      </c>
      <c r="G136" s="252">
        <v>0</v>
      </c>
      <c r="H136" s="252" t="e">
        <f>'часть 2'!#REF!</f>
        <v>#REF!</v>
      </c>
      <c r="I136" s="252" t="e">
        <f t="shared" si="36"/>
        <v>#REF!</v>
      </c>
      <c r="J136" s="251">
        <v>0</v>
      </c>
      <c r="K136" s="251">
        <v>0</v>
      </c>
      <c r="L136" s="251">
        <v>0</v>
      </c>
      <c r="M136" s="251">
        <f>'часть 1'!L429</f>
        <v>2809430</v>
      </c>
      <c r="N136" s="251">
        <f t="shared" si="49"/>
        <v>2809430</v>
      </c>
      <c r="P136" s="25"/>
    </row>
    <row r="137" spans="1:16">
      <c r="A137" s="236"/>
      <c r="B137" s="255" t="s">
        <v>49</v>
      </c>
      <c r="C137" s="249">
        <f>'часть 1'!H431</f>
        <v>542.5</v>
      </c>
      <c r="D137" s="250">
        <f>'часть 1'!K431</f>
        <v>16</v>
      </c>
      <c r="E137" s="252">
        <f t="shared" ref="E137:K137" si="50">E138</f>
        <v>0</v>
      </c>
      <c r="F137" s="252">
        <f t="shared" si="50"/>
        <v>0</v>
      </c>
      <c r="G137" s="252">
        <f>G138+G139+G140+G141</f>
        <v>1</v>
      </c>
      <c r="H137" s="252">
        <f>H138+H139+H140+H141</f>
        <v>2</v>
      </c>
      <c r="I137" s="252">
        <f t="shared" si="36"/>
        <v>3</v>
      </c>
      <c r="J137" s="251">
        <f t="shared" si="50"/>
        <v>0</v>
      </c>
      <c r="K137" s="251">
        <f t="shared" si="50"/>
        <v>0</v>
      </c>
      <c r="L137" s="251">
        <f>L139</f>
        <v>6762929</v>
      </c>
      <c r="M137" s="251">
        <f>SUM(M138:M141)</f>
        <v>3562516</v>
      </c>
      <c r="N137" s="251">
        <f>SUM(N138:N141)</f>
        <v>12131344.800000001</v>
      </c>
      <c r="O137" s="25"/>
      <c r="P137" s="25"/>
    </row>
    <row r="138" spans="1:16" ht="25.5">
      <c r="A138" s="536">
        <f>A136+1</f>
        <v>8</v>
      </c>
      <c r="B138" s="534" t="s">
        <v>588</v>
      </c>
      <c r="C138" s="529">
        <f>'часть 1'!H898</f>
        <v>722</v>
      </c>
      <c r="D138" s="530">
        <f>'часть 1'!K898</f>
        <v>39</v>
      </c>
      <c r="E138" s="531">
        <v>0</v>
      </c>
      <c r="F138" s="531">
        <v>0</v>
      </c>
      <c r="G138" s="531">
        <v>0</v>
      </c>
      <c r="H138" s="531">
        <v>1</v>
      </c>
      <c r="I138" s="531">
        <f t="shared" si="36"/>
        <v>1</v>
      </c>
      <c r="J138" s="532">
        <v>0</v>
      </c>
      <c r="K138" s="532">
        <v>0</v>
      </c>
      <c r="L138" s="532">
        <v>0</v>
      </c>
      <c r="M138" s="532">
        <v>1753559</v>
      </c>
      <c r="N138" s="532">
        <f t="shared" ref="N138" si="51">M138</f>
        <v>1753559</v>
      </c>
      <c r="P138" s="25"/>
    </row>
    <row r="139" spans="1:16" ht="25.5">
      <c r="A139" s="236">
        <f>A138+1</f>
        <v>9</v>
      </c>
      <c r="B139" s="253" t="s">
        <v>188</v>
      </c>
      <c r="C139" s="249">
        <f>'часть 1'!H435</f>
        <v>4140.7</v>
      </c>
      <c r="D139" s="250">
        <f>'часть 1'!K435</f>
        <v>125</v>
      </c>
      <c r="E139" s="252">
        <v>0</v>
      </c>
      <c r="F139" s="252">
        <v>0</v>
      </c>
      <c r="G139" s="252">
        <v>0</v>
      </c>
      <c r="H139" s="252">
        <v>0</v>
      </c>
      <c r="I139" s="252">
        <f t="shared" si="36"/>
        <v>0</v>
      </c>
      <c r="J139" s="251">
        <v>0</v>
      </c>
      <c r="K139" s="251">
        <v>0</v>
      </c>
      <c r="L139" s="251">
        <f>'часть 1'!L435</f>
        <v>6762929</v>
      </c>
      <c r="M139" s="251">
        <v>0</v>
      </c>
      <c r="N139" s="251">
        <f>L139</f>
        <v>6762929</v>
      </c>
      <c r="P139" s="25"/>
    </row>
    <row r="140" spans="1:16" ht="25.5">
      <c r="A140" s="236">
        <f>A139+1</f>
        <v>10</v>
      </c>
      <c r="B140" s="253" t="s">
        <v>189</v>
      </c>
      <c r="C140" s="249">
        <f>'часть 1'!H438</f>
        <v>522.5</v>
      </c>
      <c r="D140" s="250">
        <f>'часть 1'!K438</f>
        <v>21</v>
      </c>
      <c r="E140" s="252">
        <v>0</v>
      </c>
      <c r="F140" s="252">
        <v>0</v>
      </c>
      <c r="G140" s="252">
        <v>0</v>
      </c>
      <c r="H140" s="252">
        <v>1</v>
      </c>
      <c r="I140" s="252">
        <f t="shared" si="36"/>
        <v>1</v>
      </c>
      <c r="J140" s="251">
        <v>0</v>
      </c>
      <c r="K140" s="251">
        <v>0</v>
      </c>
      <c r="L140" s="251">
        <v>0</v>
      </c>
      <c r="M140" s="251">
        <f>'часть 1'!L438</f>
        <v>1808957</v>
      </c>
      <c r="N140" s="251">
        <f>M140</f>
        <v>1808957</v>
      </c>
      <c r="P140" s="25"/>
    </row>
    <row r="141" spans="1:16" ht="25.5">
      <c r="A141" s="236">
        <f>A140+1</f>
        <v>11</v>
      </c>
      <c r="B141" s="253" t="s">
        <v>589</v>
      </c>
      <c r="C141" s="249">
        <f>'часть 1'!H906</f>
        <v>748.5</v>
      </c>
      <c r="D141" s="250">
        <f>'часть 1'!K906</f>
        <v>38</v>
      </c>
      <c r="E141" s="252">
        <v>0</v>
      </c>
      <c r="F141" s="252">
        <v>0</v>
      </c>
      <c r="G141" s="252">
        <v>1</v>
      </c>
      <c r="H141" s="252">
        <v>0</v>
      </c>
      <c r="I141" s="252">
        <f t="shared" si="36"/>
        <v>1</v>
      </c>
      <c r="J141" s="251">
        <v>0</v>
      </c>
      <c r="K141" s="251">
        <v>0</v>
      </c>
      <c r="L141" s="251">
        <v>1805899.8</v>
      </c>
      <c r="M141" s="251">
        <v>0</v>
      </c>
      <c r="N141" s="251">
        <v>1805899.8</v>
      </c>
      <c r="P141" s="25"/>
    </row>
    <row r="142" spans="1:16">
      <c r="A142" s="236"/>
      <c r="B142" s="255" t="s">
        <v>50</v>
      </c>
      <c r="C142" s="249">
        <f>C143</f>
        <v>10972.3</v>
      </c>
      <c r="D142" s="250">
        <f t="shared" ref="D142:N142" si="52">D143</f>
        <v>402</v>
      </c>
      <c r="E142" s="252">
        <f t="shared" si="52"/>
        <v>0</v>
      </c>
      <c r="F142" s="252">
        <f t="shared" si="52"/>
        <v>0</v>
      </c>
      <c r="G142" s="252">
        <f t="shared" si="52"/>
        <v>0</v>
      </c>
      <c r="H142" s="252">
        <f t="shared" si="52"/>
        <v>6</v>
      </c>
      <c r="I142" s="252">
        <f t="shared" si="36"/>
        <v>6</v>
      </c>
      <c r="J142" s="251">
        <f t="shared" si="52"/>
        <v>0</v>
      </c>
      <c r="K142" s="251">
        <f t="shared" si="52"/>
        <v>0</v>
      </c>
      <c r="L142" s="251">
        <f t="shared" si="52"/>
        <v>0</v>
      </c>
      <c r="M142" s="251">
        <f t="shared" si="52"/>
        <v>13535827</v>
      </c>
      <c r="N142" s="251">
        <f t="shared" si="52"/>
        <v>13535827</v>
      </c>
      <c r="O142" s="25"/>
      <c r="P142" s="25"/>
    </row>
    <row r="143" spans="1:16" ht="25.5">
      <c r="A143" s="236">
        <f>A141+1</f>
        <v>12</v>
      </c>
      <c r="B143" s="253" t="s">
        <v>106</v>
      </c>
      <c r="C143" s="249">
        <f>'часть 1'!H909</f>
        <v>10972.3</v>
      </c>
      <c r="D143" s="250">
        <f>'часть 1'!K909</f>
        <v>402</v>
      </c>
      <c r="E143" s="252">
        <v>0</v>
      </c>
      <c r="F143" s="252">
        <v>0</v>
      </c>
      <c r="G143" s="252">
        <v>0</v>
      </c>
      <c r="H143" s="252">
        <v>6</v>
      </c>
      <c r="I143" s="252">
        <f t="shared" si="36"/>
        <v>6</v>
      </c>
      <c r="J143" s="251">
        <v>0</v>
      </c>
      <c r="K143" s="251">
        <v>0</v>
      </c>
      <c r="L143" s="251">
        <v>0</v>
      </c>
      <c r="M143" s="251">
        <f>'часть 1'!L909</f>
        <v>13535827</v>
      </c>
      <c r="N143" s="251">
        <f>M143</f>
        <v>13535827</v>
      </c>
      <c r="P143" s="25"/>
    </row>
    <row r="144" spans="1:16">
      <c r="A144" s="236"/>
      <c r="B144" s="255" t="s">
        <v>51</v>
      </c>
      <c r="C144" s="249">
        <f>C145</f>
        <v>8644.4000000000015</v>
      </c>
      <c r="D144" s="250">
        <f t="shared" ref="D144:N144" si="53">D145</f>
        <v>283</v>
      </c>
      <c r="E144" s="252">
        <f t="shared" si="53"/>
        <v>0</v>
      </c>
      <c r="F144" s="252">
        <f t="shared" si="53"/>
        <v>0</v>
      </c>
      <c r="G144" s="252">
        <f t="shared" si="53"/>
        <v>0</v>
      </c>
      <c r="H144" s="252">
        <f t="shared" si="53"/>
        <v>8</v>
      </c>
      <c r="I144" s="252">
        <f t="shared" si="36"/>
        <v>8</v>
      </c>
      <c r="J144" s="251">
        <f t="shared" si="53"/>
        <v>0</v>
      </c>
      <c r="K144" s="251">
        <f t="shared" si="53"/>
        <v>0</v>
      </c>
      <c r="L144" s="251">
        <f t="shared" si="53"/>
        <v>0</v>
      </c>
      <c r="M144" s="251">
        <f t="shared" si="53"/>
        <v>11085155</v>
      </c>
      <c r="N144" s="251">
        <f t="shared" si="53"/>
        <v>11085155</v>
      </c>
      <c r="O144" s="25"/>
      <c r="P144" s="25"/>
    </row>
    <row r="145" spans="1:16" ht="25.5">
      <c r="A145" s="236">
        <f>A143+1</f>
        <v>13</v>
      </c>
      <c r="B145" s="253" t="s">
        <v>108</v>
      </c>
      <c r="C145" s="249">
        <f>'часть 1'!H917</f>
        <v>8644.4000000000015</v>
      </c>
      <c r="D145" s="250">
        <f>'часть 1'!K917</f>
        <v>283</v>
      </c>
      <c r="E145" s="252">
        <v>0</v>
      </c>
      <c r="F145" s="252">
        <v>0</v>
      </c>
      <c r="G145" s="252">
        <v>0</v>
      </c>
      <c r="H145" s="252">
        <v>8</v>
      </c>
      <c r="I145" s="252">
        <f t="shared" si="36"/>
        <v>8</v>
      </c>
      <c r="J145" s="251">
        <v>0</v>
      </c>
      <c r="K145" s="251">
        <v>0</v>
      </c>
      <c r="L145" s="251">
        <v>0</v>
      </c>
      <c r="M145" s="251">
        <f>'часть 1'!L917</f>
        <v>11085155</v>
      </c>
      <c r="N145" s="251">
        <f>M145</f>
        <v>11085155</v>
      </c>
      <c r="P145" s="25"/>
    </row>
    <row r="146" spans="1:16" ht="25.5">
      <c r="A146" s="536"/>
      <c r="B146" s="534" t="s">
        <v>882</v>
      </c>
      <c r="C146" s="529">
        <f>'часть 1'!H926</f>
        <v>1005.2</v>
      </c>
      <c r="D146" s="530">
        <f>'часть 1'!K926</f>
        <v>37</v>
      </c>
      <c r="E146" s="531">
        <v>0</v>
      </c>
      <c r="F146" s="531">
        <v>0</v>
      </c>
      <c r="G146" s="531">
        <v>1</v>
      </c>
      <c r="H146" s="531">
        <v>1</v>
      </c>
      <c r="I146" s="531">
        <v>2</v>
      </c>
      <c r="J146" s="532">
        <v>0</v>
      </c>
      <c r="K146" s="532">
        <v>0</v>
      </c>
      <c r="L146" s="532">
        <v>781716</v>
      </c>
      <c r="M146" s="532">
        <v>247569</v>
      </c>
      <c r="N146" s="532">
        <f>M146+L146+K146+J146</f>
        <v>1029285</v>
      </c>
      <c r="P146" s="25"/>
    </row>
    <row r="147" spans="1:16">
      <c r="A147" s="236"/>
      <c r="B147" s="255" t="s">
        <v>52</v>
      </c>
      <c r="C147" s="249">
        <f>C149+C148+C150</f>
        <v>6236.2000000000007</v>
      </c>
      <c r="D147" s="250">
        <f>D149+D148+D150</f>
        <v>209</v>
      </c>
      <c r="E147" s="252">
        <f>E149+E148</f>
        <v>0</v>
      </c>
      <c r="F147" s="252">
        <f t="shared" ref="F147:G147" si="54">F149+F148</f>
        <v>0</v>
      </c>
      <c r="G147" s="252">
        <f t="shared" si="54"/>
        <v>1</v>
      </c>
      <c r="H147" s="252">
        <f>H149+H148+H150</f>
        <v>2</v>
      </c>
      <c r="I147" s="252">
        <f t="shared" si="36"/>
        <v>3</v>
      </c>
      <c r="J147" s="251">
        <f t="shared" ref="J147:L147" si="55">J149</f>
        <v>0</v>
      </c>
      <c r="K147" s="251">
        <f t="shared" si="55"/>
        <v>0</v>
      </c>
      <c r="L147" s="251">
        <f t="shared" si="55"/>
        <v>0</v>
      </c>
      <c r="M147" s="251">
        <f>M149+M148+M150</f>
        <v>1313974</v>
      </c>
      <c r="N147" s="251">
        <f>M147</f>
        <v>1313974</v>
      </c>
      <c r="O147" s="25"/>
      <c r="P147" s="25"/>
    </row>
    <row r="148" spans="1:16" ht="25.5">
      <c r="A148" s="536">
        <f>A145+1</f>
        <v>14</v>
      </c>
      <c r="B148" s="534" t="s">
        <v>130</v>
      </c>
      <c r="C148" s="529">
        <v>704.6</v>
      </c>
      <c r="D148" s="530">
        <v>24</v>
      </c>
      <c r="E148" s="531">
        <v>0</v>
      </c>
      <c r="F148" s="531">
        <v>0</v>
      </c>
      <c r="G148" s="531">
        <v>1</v>
      </c>
      <c r="H148" s="531">
        <v>0</v>
      </c>
      <c r="I148" s="531">
        <v>1</v>
      </c>
      <c r="J148" s="532">
        <v>0</v>
      </c>
      <c r="K148" s="532">
        <v>0</v>
      </c>
      <c r="L148" s="532">
        <v>1851309</v>
      </c>
      <c r="M148" s="532">
        <v>0</v>
      </c>
      <c r="N148" s="532">
        <v>1851309</v>
      </c>
      <c r="O148" s="25"/>
      <c r="P148" s="25"/>
    </row>
    <row r="149" spans="1:16" ht="25.5">
      <c r="A149" s="236">
        <f>A148+1</f>
        <v>15</v>
      </c>
      <c r="B149" s="253" t="s">
        <v>109</v>
      </c>
      <c r="C149" s="249">
        <f>'часть 1'!H470</f>
        <v>4625.8</v>
      </c>
      <c r="D149" s="250">
        <f>'часть 1'!K470</f>
        <v>154</v>
      </c>
      <c r="E149" s="252">
        <v>0</v>
      </c>
      <c r="F149" s="252">
        <v>0</v>
      </c>
      <c r="G149" s="252">
        <v>0</v>
      </c>
      <c r="H149" s="252">
        <v>1</v>
      </c>
      <c r="I149" s="252">
        <f t="shared" si="36"/>
        <v>1</v>
      </c>
      <c r="J149" s="251">
        <v>0</v>
      </c>
      <c r="K149" s="251">
        <v>0</v>
      </c>
      <c r="L149" s="251">
        <v>0</v>
      </c>
      <c r="M149" s="251">
        <v>201010</v>
      </c>
      <c r="N149" s="251">
        <f>M149</f>
        <v>201010</v>
      </c>
      <c r="P149" s="25"/>
    </row>
    <row r="150" spans="1:16" ht="25.5">
      <c r="A150" s="236">
        <f>A149+1</f>
        <v>16</v>
      </c>
      <c r="B150" s="253" t="s">
        <v>198</v>
      </c>
      <c r="C150" s="249">
        <f>'часть 1'!H472</f>
        <v>905.8</v>
      </c>
      <c r="D150" s="250">
        <f>'часть 1'!K472</f>
        <v>31</v>
      </c>
      <c r="E150" s="252">
        <v>0</v>
      </c>
      <c r="F150" s="252">
        <v>0</v>
      </c>
      <c r="G150" s="252">
        <v>0</v>
      </c>
      <c r="H150" s="252">
        <v>1</v>
      </c>
      <c r="I150" s="252">
        <f t="shared" si="36"/>
        <v>1</v>
      </c>
      <c r="J150" s="251">
        <v>0</v>
      </c>
      <c r="K150" s="251">
        <v>0</v>
      </c>
      <c r="L150" s="251">
        <v>0</v>
      </c>
      <c r="M150" s="251">
        <f>'часть 1'!L472</f>
        <v>1112964</v>
      </c>
      <c r="N150" s="251">
        <f>M150</f>
        <v>1112964</v>
      </c>
      <c r="P150" s="25"/>
    </row>
    <row r="151" spans="1:16">
      <c r="A151" s="236"/>
      <c r="B151" s="255" t="s">
        <v>53</v>
      </c>
      <c r="C151" s="249">
        <f>'часть 1'!H477+'часть 1'!H594</f>
        <v>508.92</v>
      </c>
      <c r="D151" s="250">
        <f>'часть 1'!K477+'часть 1'!K594</f>
        <v>16</v>
      </c>
      <c r="E151" s="252">
        <f>E154+E157+E158+E152</f>
        <v>0</v>
      </c>
      <c r="F151" s="252">
        <f>F154+F157+F158+F152</f>
        <v>0</v>
      </c>
      <c r="G151" s="252">
        <f>G154+G157+G158+G152</f>
        <v>0</v>
      </c>
      <c r="H151" s="252">
        <f>H154+H157+H155+H158+H152+H153+H159</f>
        <v>16</v>
      </c>
      <c r="I151" s="252">
        <f t="shared" si="36"/>
        <v>16</v>
      </c>
      <c r="J151" s="251">
        <f>J154+J157+J158+J152</f>
        <v>0</v>
      </c>
      <c r="K151" s="251">
        <f>K154+K157+K158+K152</f>
        <v>0</v>
      </c>
      <c r="L151" s="251">
        <f>L154+L157+L158+L152</f>
        <v>0</v>
      </c>
      <c r="M151" s="251">
        <f>M154+M157+M155+M158+M152+M153+M159</f>
        <v>48749036</v>
      </c>
      <c r="N151" s="251">
        <f t="shared" ref="N151:N152" si="56">M151</f>
        <v>48749036</v>
      </c>
      <c r="O151" s="25"/>
      <c r="P151" s="25"/>
    </row>
    <row r="152" spans="1:16" ht="26.25" customHeight="1">
      <c r="A152" s="536">
        <f>A150+1</f>
        <v>17</v>
      </c>
      <c r="B152" s="534" t="s">
        <v>88</v>
      </c>
      <c r="C152" s="529">
        <f>'часть 1'!H938</f>
        <v>44029.100000000006</v>
      </c>
      <c r="D152" s="530">
        <f>'часть 1'!K938</f>
        <v>1255</v>
      </c>
      <c r="E152" s="531">
        <v>0</v>
      </c>
      <c r="F152" s="531">
        <v>0</v>
      </c>
      <c r="G152" s="531">
        <v>0</v>
      </c>
      <c r="H152" s="531">
        <v>6</v>
      </c>
      <c r="I152" s="531">
        <f t="shared" si="36"/>
        <v>6</v>
      </c>
      <c r="J152" s="532">
        <v>0</v>
      </c>
      <c r="K152" s="532">
        <v>0</v>
      </c>
      <c r="L152" s="532">
        <v>0</v>
      </c>
      <c r="M152" s="532">
        <f>'часть 1'!L938</f>
        <v>29383642</v>
      </c>
      <c r="N152" s="532">
        <f t="shared" si="56"/>
        <v>29383642</v>
      </c>
      <c r="P152" s="25"/>
    </row>
    <row r="153" spans="1:16" ht="26.25" customHeight="1">
      <c r="A153" s="536">
        <f t="shared" ref="A153:A159" si="57">A152+1</f>
        <v>18</v>
      </c>
      <c r="B153" s="534" t="s">
        <v>132</v>
      </c>
      <c r="C153" s="529">
        <f>'часть 1'!H945</f>
        <v>781</v>
      </c>
      <c r="D153" s="530">
        <f>'часть 1'!K945</f>
        <v>22</v>
      </c>
      <c r="E153" s="531">
        <v>0</v>
      </c>
      <c r="F153" s="531">
        <v>0</v>
      </c>
      <c r="G153" s="531">
        <v>0</v>
      </c>
      <c r="H153" s="531">
        <v>1</v>
      </c>
      <c r="I153" s="531">
        <f t="shared" si="36"/>
        <v>1</v>
      </c>
      <c r="J153" s="532">
        <v>0</v>
      </c>
      <c r="K153" s="532">
        <v>0</v>
      </c>
      <c r="L153" s="532">
        <v>0</v>
      </c>
      <c r="M153" s="532">
        <f>'часть 1'!L945</f>
        <v>1107622</v>
      </c>
      <c r="N153" s="532">
        <f>M153</f>
        <v>1107622</v>
      </c>
      <c r="P153" s="25"/>
    </row>
    <row r="154" spans="1:16" ht="26.25" customHeight="1">
      <c r="A154" s="536">
        <f t="shared" si="57"/>
        <v>19</v>
      </c>
      <c r="B154" s="534" t="s">
        <v>110</v>
      </c>
      <c r="C154" s="529">
        <f>'часть 1'!H948</f>
        <v>894.6</v>
      </c>
      <c r="D154" s="530">
        <f>'часть 1'!K948</f>
        <v>57</v>
      </c>
      <c r="E154" s="531">
        <v>0</v>
      </c>
      <c r="F154" s="531">
        <v>0</v>
      </c>
      <c r="G154" s="531">
        <v>0</v>
      </c>
      <c r="H154" s="531">
        <v>1</v>
      </c>
      <c r="I154" s="531">
        <f t="shared" si="36"/>
        <v>1</v>
      </c>
      <c r="J154" s="532">
        <v>0</v>
      </c>
      <c r="K154" s="532">
        <v>0</v>
      </c>
      <c r="L154" s="532">
        <v>0</v>
      </c>
      <c r="M154" s="532">
        <v>2348226</v>
      </c>
      <c r="N154" s="532">
        <f t="shared" ref="N154:N159" si="58">M154</f>
        <v>2348226</v>
      </c>
      <c r="P154" s="25"/>
    </row>
    <row r="155" spans="1:16" ht="26.25" customHeight="1">
      <c r="A155" s="536">
        <f t="shared" si="57"/>
        <v>20</v>
      </c>
      <c r="B155" s="534" t="s">
        <v>128</v>
      </c>
      <c r="C155" s="529">
        <f>'часть 1'!H949</f>
        <v>11540.800000000001</v>
      </c>
      <c r="D155" s="530">
        <f>'часть 1'!K949</f>
        <v>394</v>
      </c>
      <c r="E155" s="531">
        <v>0</v>
      </c>
      <c r="F155" s="531">
        <v>0</v>
      </c>
      <c r="G155" s="531">
        <v>0</v>
      </c>
      <c r="H155" s="531">
        <v>4</v>
      </c>
      <c r="I155" s="531">
        <f t="shared" si="36"/>
        <v>4</v>
      </c>
      <c r="J155" s="532">
        <v>0</v>
      </c>
      <c r="K155" s="532">
        <v>0</v>
      </c>
      <c r="L155" s="532">
        <v>0</v>
      </c>
      <c r="M155" s="532">
        <f>'часть 1'!L949</f>
        <v>9209860</v>
      </c>
      <c r="N155" s="532">
        <f t="shared" si="58"/>
        <v>9209860</v>
      </c>
      <c r="P155" s="25"/>
    </row>
    <row r="156" spans="1:16" ht="26.25" customHeight="1">
      <c r="A156" s="536"/>
      <c r="B156" s="534" t="s">
        <v>668</v>
      </c>
      <c r="C156" s="529">
        <v>687.8</v>
      </c>
      <c r="D156" s="530">
        <v>23</v>
      </c>
      <c r="E156" s="531">
        <v>0</v>
      </c>
      <c r="F156" s="531">
        <v>0</v>
      </c>
      <c r="G156" s="531">
        <v>0</v>
      </c>
      <c r="H156" s="531">
        <v>1</v>
      </c>
      <c r="I156" s="531">
        <f t="shared" si="36"/>
        <v>1</v>
      </c>
      <c r="J156" s="532">
        <v>0</v>
      </c>
      <c r="K156" s="532">
        <v>0</v>
      </c>
      <c r="L156" s="532">
        <v>0</v>
      </c>
      <c r="M156" s="532">
        <v>1720569</v>
      </c>
      <c r="N156" s="532">
        <v>1720569</v>
      </c>
      <c r="P156" s="25"/>
    </row>
    <row r="157" spans="1:16" ht="25.5">
      <c r="A157" s="236">
        <f>A155+1</f>
        <v>21</v>
      </c>
      <c r="B157" s="253" t="s">
        <v>994</v>
      </c>
      <c r="C157" s="249">
        <f>'часть 1'!H958</f>
        <v>932.40000000000009</v>
      </c>
      <c r="D157" s="250">
        <f>'часть 1'!K958</f>
        <v>55</v>
      </c>
      <c r="E157" s="252">
        <v>0</v>
      </c>
      <c r="F157" s="252">
        <v>0</v>
      </c>
      <c r="G157" s="252">
        <v>0</v>
      </c>
      <c r="H157" s="252">
        <v>2</v>
      </c>
      <c r="I157" s="252">
        <f t="shared" si="36"/>
        <v>2</v>
      </c>
      <c r="J157" s="251">
        <v>0</v>
      </c>
      <c r="K157" s="251">
        <v>0</v>
      </c>
      <c r="L157" s="251">
        <v>0</v>
      </c>
      <c r="M157" s="251">
        <f>'часть 1'!L958</f>
        <v>580386</v>
      </c>
      <c r="N157" s="251">
        <f t="shared" si="58"/>
        <v>580386</v>
      </c>
      <c r="P157" s="25"/>
    </row>
    <row r="158" spans="1:16" ht="27.75" customHeight="1">
      <c r="A158" s="236">
        <f t="shared" si="57"/>
        <v>22</v>
      </c>
      <c r="B158" s="253" t="s">
        <v>111</v>
      </c>
      <c r="C158" s="249">
        <f>'часть 1'!H506</f>
        <v>13232.03</v>
      </c>
      <c r="D158" s="250">
        <f>'часть 1'!K506</f>
        <v>487</v>
      </c>
      <c r="E158" s="252">
        <v>0</v>
      </c>
      <c r="F158" s="252">
        <v>0</v>
      </c>
      <c r="G158" s="252">
        <v>0</v>
      </c>
      <c r="H158" s="252">
        <v>1</v>
      </c>
      <c r="I158" s="252">
        <f t="shared" si="36"/>
        <v>1</v>
      </c>
      <c r="J158" s="251">
        <v>0</v>
      </c>
      <c r="K158" s="251">
        <v>0</v>
      </c>
      <c r="L158" s="251">
        <v>0</v>
      </c>
      <c r="M158" s="251">
        <f>'часть 1'!L506</f>
        <v>4688365</v>
      </c>
      <c r="N158" s="251">
        <f t="shared" si="58"/>
        <v>4688365</v>
      </c>
      <c r="P158" s="25"/>
    </row>
    <row r="159" spans="1:16" ht="27.75" customHeight="1">
      <c r="A159" s="536">
        <f t="shared" si="57"/>
        <v>23</v>
      </c>
      <c r="B159" s="534" t="s">
        <v>129</v>
      </c>
      <c r="C159" s="529">
        <f>'часть 1'!H963</f>
        <v>1028</v>
      </c>
      <c r="D159" s="530">
        <f>'часть 1'!K963</f>
        <v>47</v>
      </c>
      <c r="E159" s="531">
        <v>0</v>
      </c>
      <c r="F159" s="531">
        <v>0</v>
      </c>
      <c r="G159" s="531">
        <v>0</v>
      </c>
      <c r="H159" s="531">
        <v>1</v>
      </c>
      <c r="I159" s="531">
        <f t="shared" si="36"/>
        <v>1</v>
      </c>
      <c r="J159" s="532">
        <v>0</v>
      </c>
      <c r="K159" s="532">
        <v>0</v>
      </c>
      <c r="L159" s="532">
        <v>0</v>
      </c>
      <c r="M159" s="532">
        <f>'часть 1'!L963</f>
        <v>1430935</v>
      </c>
      <c r="N159" s="532">
        <f t="shared" si="58"/>
        <v>1430935</v>
      </c>
      <c r="P159" s="25"/>
    </row>
    <row r="160" spans="1:16">
      <c r="A160" s="236"/>
      <c r="B160" s="255" t="s">
        <v>54</v>
      </c>
      <c r="C160" s="249">
        <f>C161</f>
        <v>0</v>
      </c>
      <c r="D160" s="250">
        <f t="shared" ref="D160:N160" si="59">D161</f>
        <v>0</v>
      </c>
      <c r="E160" s="252">
        <f t="shared" si="59"/>
        <v>0</v>
      </c>
      <c r="F160" s="252">
        <f t="shared" si="59"/>
        <v>0</v>
      </c>
      <c r="G160" s="252">
        <f t="shared" si="59"/>
        <v>0</v>
      </c>
      <c r="H160" s="252" t="e">
        <f t="shared" si="59"/>
        <v>#REF!</v>
      </c>
      <c r="I160" s="252" t="e">
        <f t="shared" si="36"/>
        <v>#REF!</v>
      </c>
      <c r="J160" s="251">
        <f t="shared" si="59"/>
        <v>0</v>
      </c>
      <c r="K160" s="251">
        <f t="shared" si="59"/>
        <v>0</v>
      </c>
      <c r="L160" s="251">
        <f t="shared" si="59"/>
        <v>0</v>
      </c>
      <c r="M160" s="251">
        <f t="shared" si="59"/>
        <v>0</v>
      </c>
      <c r="N160" s="251">
        <f t="shared" si="59"/>
        <v>0</v>
      </c>
      <c r="O160" s="25"/>
      <c r="P160" s="25"/>
    </row>
    <row r="161" spans="1:16" ht="25.5">
      <c r="A161" s="236">
        <f>A159+1</f>
        <v>24</v>
      </c>
      <c r="B161" s="253" t="s">
        <v>112</v>
      </c>
      <c r="C161" s="249">
        <f>'часть 1'!H514</f>
        <v>0</v>
      </c>
      <c r="D161" s="250">
        <f>'часть 1'!K514</f>
        <v>0</v>
      </c>
      <c r="E161" s="252">
        <v>0</v>
      </c>
      <c r="F161" s="252">
        <v>0</v>
      </c>
      <c r="G161" s="252">
        <v>0</v>
      </c>
      <c r="H161" s="252" t="e">
        <f>'часть 2'!#REF!</f>
        <v>#REF!</v>
      </c>
      <c r="I161" s="252" t="e">
        <f t="shared" si="36"/>
        <v>#REF!</v>
      </c>
      <c r="J161" s="251">
        <v>0</v>
      </c>
      <c r="K161" s="251">
        <v>0</v>
      </c>
      <c r="L161" s="251">
        <v>0</v>
      </c>
      <c r="M161" s="251">
        <f>'часть 1'!L514</f>
        <v>0</v>
      </c>
      <c r="N161" s="251">
        <f>M161</f>
        <v>0</v>
      </c>
      <c r="P161" s="25"/>
    </row>
    <row r="162" spans="1:16">
      <c r="A162" s="236"/>
      <c r="B162" s="255" t="s">
        <v>55</v>
      </c>
      <c r="C162" s="249">
        <f>C163</f>
        <v>561.4</v>
      </c>
      <c r="D162" s="249">
        <f t="shared" ref="D162:N162" si="60">D163</f>
        <v>19</v>
      </c>
      <c r="E162" s="249">
        <f t="shared" si="60"/>
        <v>0</v>
      </c>
      <c r="F162" s="249">
        <f t="shared" si="60"/>
        <v>0</v>
      </c>
      <c r="G162" s="249">
        <f t="shared" si="60"/>
        <v>1</v>
      </c>
      <c r="H162" s="249">
        <f t="shared" si="60"/>
        <v>0</v>
      </c>
      <c r="I162" s="249">
        <f t="shared" si="60"/>
        <v>1</v>
      </c>
      <c r="J162" s="251">
        <f t="shared" si="60"/>
        <v>0</v>
      </c>
      <c r="K162" s="251">
        <f t="shared" si="60"/>
        <v>0</v>
      </c>
      <c r="L162" s="251">
        <f t="shared" si="60"/>
        <v>1739787</v>
      </c>
      <c r="M162" s="251">
        <f t="shared" si="60"/>
        <v>0</v>
      </c>
      <c r="N162" s="251">
        <f t="shared" si="60"/>
        <v>1739787</v>
      </c>
      <c r="O162" s="25"/>
      <c r="P162" s="25"/>
    </row>
    <row r="163" spans="1:16" ht="25.5">
      <c r="A163" s="536">
        <v>38</v>
      </c>
      <c r="B163" s="534" t="s">
        <v>590</v>
      </c>
      <c r="C163" s="529">
        <v>561.4</v>
      </c>
      <c r="D163" s="530">
        <v>19</v>
      </c>
      <c r="E163" s="531">
        <v>0</v>
      </c>
      <c r="F163" s="531">
        <v>0</v>
      </c>
      <c r="G163" s="531">
        <v>1</v>
      </c>
      <c r="H163" s="531">
        <v>0</v>
      </c>
      <c r="I163" s="531">
        <f t="shared" si="36"/>
        <v>1</v>
      </c>
      <c r="J163" s="532">
        <v>0</v>
      </c>
      <c r="K163" s="532">
        <v>0</v>
      </c>
      <c r="L163" s="532">
        <v>1739787</v>
      </c>
      <c r="M163" s="532">
        <v>0</v>
      </c>
      <c r="N163" s="532">
        <f>M163+L163+K163+J163</f>
        <v>1739787</v>
      </c>
      <c r="P163" s="25"/>
    </row>
    <row r="164" spans="1:16">
      <c r="A164" s="236"/>
      <c r="B164" s="255" t="s">
        <v>56</v>
      </c>
      <c r="C164" s="249">
        <f>'часть 1'!H523</f>
        <v>23801.1</v>
      </c>
      <c r="D164" s="250">
        <f>'часть 1'!K523</f>
        <v>702</v>
      </c>
      <c r="E164" s="252">
        <f t="shared" ref="E164:H164" si="61">E165+E166+E167</f>
        <v>0</v>
      </c>
      <c r="F164" s="252">
        <f t="shared" si="61"/>
        <v>0</v>
      </c>
      <c r="G164" s="252">
        <f t="shared" si="61"/>
        <v>0</v>
      </c>
      <c r="H164" s="252" t="e">
        <f t="shared" si="61"/>
        <v>#REF!</v>
      </c>
      <c r="I164" s="252" t="e">
        <f t="shared" si="36"/>
        <v>#REF!</v>
      </c>
      <c r="J164" s="251">
        <f t="shared" ref="J164:L164" si="62">J165+J166+J167</f>
        <v>0</v>
      </c>
      <c r="K164" s="251">
        <f t="shared" si="62"/>
        <v>0</v>
      </c>
      <c r="L164" s="251">
        <f t="shared" si="62"/>
        <v>0</v>
      </c>
      <c r="M164" s="251">
        <f>M165+M166+M167</f>
        <v>12623452</v>
      </c>
      <c r="N164" s="251">
        <f t="shared" ref="N164" si="63">N165+N166+N167</f>
        <v>12623452</v>
      </c>
      <c r="O164" s="25"/>
      <c r="P164" s="25"/>
    </row>
    <row r="165" spans="1:16" ht="25.5">
      <c r="A165" s="536">
        <v>39</v>
      </c>
      <c r="B165" s="534" t="s">
        <v>424</v>
      </c>
      <c r="C165" s="529">
        <f>'часть 1'!H979</f>
        <v>5703</v>
      </c>
      <c r="D165" s="530">
        <f>'часть 1'!K979</f>
        <v>262</v>
      </c>
      <c r="E165" s="531">
        <v>0</v>
      </c>
      <c r="F165" s="531">
        <v>0</v>
      </c>
      <c r="G165" s="531">
        <v>0</v>
      </c>
      <c r="H165" s="531">
        <v>6</v>
      </c>
      <c r="I165" s="531">
        <f t="shared" si="36"/>
        <v>6</v>
      </c>
      <c r="J165" s="532">
        <v>0</v>
      </c>
      <c r="K165" s="532">
        <v>0</v>
      </c>
      <c r="L165" s="532">
        <v>0</v>
      </c>
      <c r="M165" s="532">
        <f>'часть 1'!L979</f>
        <v>8669678</v>
      </c>
      <c r="N165" s="532">
        <f>M165</f>
        <v>8669678</v>
      </c>
      <c r="P165" s="25"/>
    </row>
    <row r="166" spans="1:16" ht="25.5">
      <c r="A166" s="236">
        <v>40</v>
      </c>
      <c r="B166" s="253" t="s">
        <v>121</v>
      </c>
      <c r="C166" s="249">
        <f>'часть 1'!H986</f>
        <v>1293.3000000000002</v>
      </c>
      <c r="D166" s="250">
        <f>'часть 1'!K986</f>
        <v>57</v>
      </c>
      <c r="E166" s="252">
        <v>0</v>
      </c>
      <c r="F166" s="252">
        <v>0</v>
      </c>
      <c r="G166" s="252">
        <v>0</v>
      </c>
      <c r="H166" s="252">
        <v>3</v>
      </c>
      <c r="I166" s="252">
        <f t="shared" si="36"/>
        <v>3</v>
      </c>
      <c r="J166" s="251">
        <v>0</v>
      </c>
      <c r="K166" s="251">
        <v>0</v>
      </c>
      <c r="L166" s="251">
        <v>0</v>
      </c>
      <c r="M166" s="251">
        <f>'часть 1'!L986</f>
        <v>2114731</v>
      </c>
      <c r="N166" s="251">
        <f>M166</f>
        <v>2114731</v>
      </c>
      <c r="O166" s="25"/>
      <c r="P166" s="25"/>
    </row>
    <row r="167" spans="1:16" ht="25.5">
      <c r="A167" s="236">
        <v>41</v>
      </c>
      <c r="B167" s="253" t="s">
        <v>120</v>
      </c>
      <c r="C167" s="249">
        <f>'часть 1'!H537</f>
        <v>4504.3</v>
      </c>
      <c r="D167" s="250">
        <f>'часть 1'!K537</f>
        <v>203</v>
      </c>
      <c r="E167" s="252">
        <v>0</v>
      </c>
      <c r="F167" s="252">
        <v>0</v>
      </c>
      <c r="G167" s="252">
        <v>0</v>
      </c>
      <c r="H167" s="252" t="e">
        <f>'часть 2'!#REF!</f>
        <v>#REF!</v>
      </c>
      <c r="I167" s="252" t="e">
        <f t="shared" si="36"/>
        <v>#REF!</v>
      </c>
      <c r="J167" s="251">
        <v>0</v>
      </c>
      <c r="K167" s="251">
        <v>0</v>
      </c>
      <c r="L167" s="251">
        <v>0</v>
      </c>
      <c r="M167" s="251">
        <f>'часть 1'!L537</f>
        <v>1839043</v>
      </c>
      <c r="N167" s="251">
        <f>M167</f>
        <v>1839043</v>
      </c>
      <c r="O167" s="25"/>
      <c r="P167" s="25"/>
    </row>
    <row r="168" spans="1:16">
      <c r="A168" s="236"/>
      <c r="B168" s="255" t="s">
        <v>57</v>
      </c>
      <c r="C168" s="249">
        <f>C169</f>
        <v>4519.1000000000004</v>
      </c>
      <c r="D168" s="250">
        <f t="shared" ref="D168:L168" si="64">D169</f>
        <v>141</v>
      </c>
      <c r="E168" s="252">
        <f t="shared" si="64"/>
        <v>0</v>
      </c>
      <c r="F168" s="252">
        <f t="shared" si="64"/>
        <v>0</v>
      </c>
      <c r="G168" s="252">
        <f t="shared" si="64"/>
        <v>0</v>
      </c>
      <c r="H168" s="252">
        <f t="shared" si="64"/>
        <v>2</v>
      </c>
      <c r="I168" s="252">
        <f t="shared" si="36"/>
        <v>2</v>
      </c>
      <c r="J168" s="251">
        <f t="shared" si="64"/>
        <v>0</v>
      </c>
      <c r="K168" s="251">
        <f t="shared" si="64"/>
        <v>0</v>
      </c>
      <c r="L168" s="251">
        <f t="shared" si="64"/>
        <v>0</v>
      </c>
      <c r="M168" s="251">
        <f>M169</f>
        <v>2547865</v>
      </c>
      <c r="N168" s="251">
        <f>N169</f>
        <v>2547865</v>
      </c>
      <c r="P168" s="25"/>
    </row>
    <row r="169" spans="1:16" ht="25.5">
      <c r="A169" s="236">
        <v>42</v>
      </c>
      <c r="B169" s="253" t="s">
        <v>119</v>
      </c>
      <c r="C169" s="249">
        <f>'часть 1'!H993</f>
        <v>4519.1000000000004</v>
      </c>
      <c r="D169" s="250">
        <f>'часть 1'!K993</f>
        <v>141</v>
      </c>
      <c r="E169" s="252">
        <v>0</v>
      </c>
      <c r="F169" s="252">
        <v>0</v>
      </c>
      <c r="G169" s="252">
        <v>0</v>
      </c>
      <c r="H169" s="252">
        <v>2</v>
      </c>
      <c r="I169" s="252">
        <f t="shared" si="36"/>
        <v>2</v>
      </c>
      <c r="J169" s="251">
        <v>0</v>
      </c>
      <c r="K169" s="251">
        <v>0</v>
      </c>
      <c r="L169" s="251">
        <v>0</v>
      </c>
      <c r="M169" s="251">
        <f>'часть 1'!L993</f>
        <v>2547865</v>
      </c>
      <c r="N169" s="251">
        <f>M169</f>
        <v>2547865</v>
      </c>
      <c r="P169" s="25"/>
    </row>
    <row r="170" spans="1:16">
      <c r="A170" s="236"/>
      <c r="B170" s="255" t="s">
        <v>58</v>
      </c>
      <c r="C170" s="249">
        <f>C171</f>
        <v>538.20000000000005</v>
      </c>
      <c r="D170" s="250">
        <f>'часть 1'!K543+'часть 1'!K603</f>
        <v>24</v>
      </c>
      <c r="E170" s="252">
        <f t="shared" ref="E170:N170" si="65">E171</f>
        <v>0</v>
      </c>
      <c r="F170" s="252">
        <f t="shared" si="65"/>
        <v>0</v>
      </c>
      <c r="G170" s="252">
        <f t="shared" si="65"/>
        <v>0</v>
      </c>
      <c r="H170" s="252" t="e">
        <f t="shared" si="65"/>
        <v>#REF!</v>
      </c>
      <c r="I170" s="252" t="e">
        <f t="shared" si="36"/>
        <v>#REF!</v>
      </c>
      <c r="J170" s="251">
        <f t="shared" si="65"/>
        <v>0</v>
      </c>
      <c r="K170" s="251">
        <f t="shared" si="65"/>
        <v>0</v>
      </c>
      <c r="L170" s="251">
        <f t="shared" si="65"/>
        <v>0</v>
      </c>
      <c r="M170" s="251">
        <f t="shared" si="65"/>
        <v>974618</v>
      </c>
      <c r="N170" s="251">
        <f t="shared" si="65"/>
        <v>974618</v>
      </c>
      <c r="P170" s="25"/>
    </row>
    <row r="171" spans="1:16" ht="27.75" customHeight="1">
      <c r="A171" s="236">
        <v>43</v>
      </c>
      <c r="B171" s="253" t="s">
        <v>87</v>
      </c>
      <c r="C171" s="249">
        <f>'часть 1'!H543+'часть 1'!H604</f>
        <v>538.20000000000005</v>
      </c>
      <c r="D171" s="250">
        <f>'часть 1'!K604+'часть 1'!K544</f>
        <v>45</v>
      </c>
      <c r="E171" s="252">
        <v>0</v>
      </c>
      <c r="F171" s="252">
        <v>0</v>
      </c>
      <c r="G171" s="252">
        <v>0</v>
      </c>
      <c r="H171" s="252" t="e">
        <f>'часть 2'!#REF!</f>
        <v>#REF!</v>
      </c>
      <c r="I171" s="252" t="e">
        <f t="shared" si="36"/>
        <v>#REF!</v>
      </c>
      <c r="J171" s="251">
        <v>0</v>
      </c>
      <c r="K171" s="251">
        <v>0</v>
      </c>
      <c r="L171" s="251">
        <v>0</v>
      </c>
      <c r="M171" s="251">
        <f>'часть 2'!C516</f>
        <v>974618</v>
      </c>
      <c r="N171" s="251">
        <f>M171</f>
        <v>974618</v>
      </c>
      <c r="P171" s="25"/>
    </row>
    <row r="172" spans="1:16" ht="30" customHeight="1">
      <c r="A172" s="536"/>
      <c r="B172" s="546" t="s">
        <v>59</v>
      </c>
      <c r="C172" s="529">
        <f>C173+C174</f>
        <v>0</v>
      </c>
      <c r="D172" s="529">
        <f t="shared" ref="D172:N172" si="66">D173+D174</f>
        <v>0</v>
      </c>
      <c r="E172" s="529">
        <f t="shared" si="66"/>
        <v>0</v>
      </c>
      <c r="F172" s="529">
        <f t="shared" si="66"/>
        <v>0</v>
      </c>
      <c r="G172" s="529">
        <f t="shared" si="66"/>
        <v>0</v>
      </c>
      <c r="H172" s="529">
        <f t="shared" si="66"/>
        <v>0</v>
      </c>
      <c r="I172" s="529">
        <f t="shared" si="66"/>
        <v>0</v>
      </c>
      <c r="J172" s="532">
        <f t="shared" si="66"/>
        <v>0</v>
      </c>
      <c r="K172" s="532">
        <f t="shared" si="66"/>
        <v>0</v>
      </c>
      <c r="L172" s="532">
        <f t="shared" si="66"/>
        <v>0</v>
      </c>
      <c r="M172" s="532">
        <f t="shared" si="66"/>
        <v>0</v>
      </c>
      <c r="N172" s="532">
        <f t="shared" si="66"/>
        <v>0</v>
      </c>
      <c r="P172" s="25"/>
    </row>
    <row r="173" spans="1:16" ht="25.5">
      <c r="A173" s="536">
        <v>44</v>
      </c>
      <c r="B173" s="534" t="s">
        <v>86</v>
      </c>
      <c r="C173" s="529">
        <f>'часть 1'!H607</f>
        <v>0</v>
      </c>
      <c r="D173" s="530">
        <f>'часть 1'!K607</f>
        <v>0</v>
      </c>
      <c r="E173" s="531">
        <v>0</v>
      </c>
      <c r="F173" s="531">
        <v>0</v>
      </c>
      <c r="G173" s="531">
        <v>0</v>
      </c>
      <c r="H173" s="531">
        <v>0</v>
      </c>
      <c r="I173" s="531">
        <v>0</v>
      </c>
      <c r="J173" s="532">
        <v>0</v>
      </c>
      <c r="K173" s="532">
        <v>0</v>
      </c>
      <c r="L173" s="532">
        <v>0</v>
      </c>
      <c r="M173" s="532">
        <v>0</v>
      </c>
      <c r="N173" s="532">
        <f>M173</f>
        <v>0</v>
      </c>
      <c r="P173" s="25"/>
    </row>
    <row r="174" spans="1:16" ht="25.5">
      <c r="A174" s="536">
        <v>45</v>
      </c>
      <c r="B174" s="534" t="s">
        <v>85</v>
      </c>
      <c r="C174" s="529">
        <f>'часть 1'!H662</f>
        <v>0</v>
      </c>
      <c r="D174" s="530">
        <f>'часть 1'!K662</f>
        <v>0</v>
      </c>
      <c r="E174" s="531">
        <v>0</v>
      </c>
      <c r="F174" s="531">
        <v>0</v>
      </c>
      <c r="G174" s="531">
        <v>0</v>
      </c>
      <c r="H174" s="531">
        <v>0</v>
      </c>
      <c r="I174" s="531">
        <f t="shared" ref="I174:I180" si="67">H174+G174</f>
        <v>0</v>
      </c>
      <c r="J174" s="532">
        <v>0</v>
      </c>
      <c r="K174" s="532">
        <v>0</v>
      </c>
      <c r="L174" s="532">
        <v>0</v>
      </c>
      <c r="M174" s="532">
        <v>0</v>
      </c>
      <c r="N174" s="532">
        <f>M174</f>
        <v>0</v>
      </c>
      <c r="P174" s="25"/>
    </row>
    <row r="175" spans="1:16">
      <c r="A175" s="236"/>
      <c r="B175" s="255" t="s">
        <v>60</v>
      </c>
      <c r="C175" s="249">
        <f>'часть 1'!H554</f>
        <v>640.4</v>
      </c>
      <c r="D175" s="250">
        <f>'часть 1'!K554</f>
        <v>19</v>
      </c>
      <c r="E175" s="252">
        <f t="shared" ref="E175:N175" si="68">E177</f>
        <v>0</v>
      </c>
      <c r="F175" s="252">
        <f t="shared" si="68"/>
        <v>0</v>
      </c>
      <c r="G175" s="252">
        <f t="shared" si="68"/>
        <v>3</v>
      </c>
      <c r="H175" s="252">
        <f t="shared" si="68"/>
        <v>0</v>
      </c>
      <c r="I175" s="252">
        <f t="shared" si="67"/>
        <v>3</v>
      </c>
      <c r="J175" s="251">
        <f t="shared" si="68"/>
        <v>0</v>
      </c>
      <c r="K175" s="251">
        <f t="shared" si="68"/>
        <v>0</v>
      </c>
      <c r="L175" s="251">
        <f t="shared" si="68"/>
        <v>4886972</v>
      </c>
      <c r="M175" s="251">
        <f t="shared" si="68"/>
        <v>0</v>
      </c>
      <c r="N175" s="251">
        <f t="shared" si="68"/>
        <v>4886972</v>
      </c>
      <c r="P175" s="25"/>
    </row>
    <row r="176" spans="1:16">
      <c r="A176" s="536"/>
      <c r="B176" s="546" t="s">
        <v>208</v>
      </c>
      <c r="C176" s="529">
        <f>'часть 1'!H1013</f>
        <v>274.14</v>
      </c>
      <c r="D176" s="530">
        <f>'часть 1'!K1015</f>
        <v>13</v>
      </c>
      <c r="E176" s="531">
        <v>0</v>
      </c>
      <c r="F176" s="531">
        <v>0</v>
      </c>
      <c r="G176" s="531">
        <v>0</v>
      </c>
      <c r="H176" s="531">
        <v>1</v>
      </c>
      <c r="I176" s="531">
        <f t="shared" si="67"/>
        <v>1</v>
      </c>
      <c r="J176" s="532">
        <v>0</v>
      </c>
      <c r="K176" s="532">
        <v>0</v>
      </c>
      <c r="L176" s="532">
        <v>0</v>
      </c>
      <c r="M176" s="532">
        <v>423156</v>
      </c>
      <c r="N176" s="532">
        <f>M176+L176+K176+J176</f>
        <v>423156</v>
      </c>
      <c r="P176" s="25"/>
    </row>
    <row r="177" spans="1:16">
      <c r="A177" s="536">
        <v>46</v>
      </c>
      <c r="B177" s="534" t="s">
        <v>61</v>
      </c>
      <c r="C177" s="529">
        <v>1469.14</v>
      </c>
      <c r="D177" s="530">
        <v>75</v>
      </c>
      <c r="E177" s="531">
        <v>0</v>
      </c>
      <c r="F177" s="531">
        <v>0</v>
      </c>
      <c r="G177" s="531">
        <v>3</v>
      </c>
      <c r="H177" s="531">
        <v>0</v>
      </c>
      <c r="I177" s="531">
        <f t="shared" si="67"/>
        <v>3</v>
      </c>
      <c r="J177" s="532">
        <v>0</v>
      </c>
      <c r="K177" s="532">
        <v>0</v>
      </c>
      <c r="L177" s="532">
        <v>4886972</v>
      </c>
      <c r="M177" s="532">
        <v>0</v>
      </c>
      <c r="N177" s="532">
        <f>M177+L177+K177+J177</f>
        <v>4886972</v>
      </c>
      <c r="P177" s="25"/>
    </row>
    <row r="178" spans="1:16">
      <c r="A178" s="236"/>
      <c r="B178" s="255" t="s">
        <v>649</v>
      </c>
      <c r="C178" s="249">
        <f>1391.4+1391.4</f>
        <v>2782.8</v>
      </c>
      <c r="D178" s="250">
        <f>39+37</f>
        <v>76</v>
      </c>
      <c r="E178" s="252">
        <v>0</v>
      </c>
      <c r="F178" s="252">
        <v>0</v>
      </c>
      <c r="G178" s="252">
        <v>2</v>
      </c>
      <c r="H178" s="252">
        <v>0</v>
      </c>
      <c r="I178" s="252">
        <v>2</v>
      </c>
      <c r="J178" s="251">
        <v>0</v>
      </c>
      <c r="K178" s="251">
        <v>0</v>
      </c>
      <c r="L178" s="251">
        <f>788836+788836</f>
        <v>1577672</v>
      </c>
      <c r="M178" s="251">
        <v>0</v>
      </c>
      <c r="N178" s="251">
        <f>788836+788836</f>
        <v>1577672</v>
      </c>
      <c r="P178" s="25"/>
    </row>
    <row r="179" spans="1:16">
      <c r="A179" s="536">
        <v>47</v>
      </c>
      <c r="B179" s="534" t="s">
        <v>62</v>
      </c>
      <c r="C179" s="529">
        <f>'часть 1'!H1026</f>
        <v>403.4</v>
      </c>
      <c r="D179" s="530">
        <v>17</v>
      </c>
      <c r="E179" s="531">
        <v>0</v>
      </c>
      <c r="F179" s="531">
        <v>0</v>
      </c>
      <c r="G179" s="531">
        <v>1</v>
      </c>
      <c r="H179" s="531">
        <v>0</v>
      </c>
      <c r="I179" s="531">
        <f t="shared" si="67"/>
        <v>1</v>
      </c>
      <c r="J179" s="532">
        <v>0</v>
      </c>
      <c r="K179" s="532">
        <v>0</v>
      </c>
      <c r="L179" s="532">
        <v>1134905</v>
      </c>
      <c r="M179" s="532">
        <v>0</v>
      </c>
      <c r="N179" s="532">
        <f>M179+L179+K179+J179</f>
        <v>1134905</v>
      </c>
      <c r="P179" s="25"/>
    </row>
    <row r="180" spans="1:16">
      <c r="A180" s="236"/>
      <c r="B180" s="255" t="s">
        <v>211</v>
      </c>
      <c r="C180" s="249">
        <f>'часть 1'!H1038</f>
        <v>1161.3</v>
      </c>
      <c r="D180" s="250">
        <f>'часть 1'!K1038</f>
        <v>32</v>
      </c>
      <c r="E180" s="252">
        <f>E182</f>
        <v>0</v>
      </c>
      <c r="F180" s="252">
        <f>F182</f>
        <v>0</v>
      </c>
      <c r="G180" s="252">
        <f>G182</f>
        <v>0</v>
      </c>
      <c r="H180" s="250">
        <v>2</v>
      </c>
      <c r="I180" s="252">
        <f t="shared" si="67"/>
        <v>2</v>
      </c>
      <c r="J180" s="251">
        <f>J182</f>
        <v>0</v>
      </c>
      <c r="K180" s="251">
        <f>K182</f>
        <v>0</v>
      </c>
      <c r="L180" s="251">
        <f>L182</f>
        <v>0</v>
      </c>
      <c r="M180" s="251">
        <f>'часть 1'!L1038</f>
        <v>3125223</v>
      </c>
      <c r="N180" s="251">
        <f>M180+L180+K180+J180</f>
        <v>3125223</v>
      </c>
      <c r="P180" s="25"/>
    </row>
    <row r="181" spans="1:16">
      <c r="A181" s="536"/>
      <c r="B181" s="546" t="s">
        <v>63</v>
      </c>
      <c r="C181" s="529">
        <f>'часть 1'!H1028</f>
        <v>1388.4</v>
      </c>
      <c r="D181" s="530">
        <f>'часть 1'!K1028</f>
        <v>39</v>
      </c>
      <c r="E181" s="531">
        <v>0</v>
      </c>
      <c r="F181" s="531">
        <v>0</v>
      </c>
      <c r="G181" s="531">
        <v>0</v>
      </c>
      <c r="H181" s="530">
        <v>2</v>
      </c>
      <c r="I181" s="531">
        <v>2</v>
      </c>
      <c r="J181" s="532">
        <v>0</v>
      </c>
      <c r="K181" s="532">
        <v>0</v>
      </c>
      <c r="L181" s="532">
        <v>0</v>
      </c>
      <c r="M181" s="532">
        <v>2751167</v>
      </c>
      <c r="N181" s="532">
        <f>M181+L181+K181+J181</f>
        <v>2751167</v>
      </c>
      <c r="P181" s="25"/>
    </row>
    <row r="182" spans="1:16" ht="20.45" customHeight="1">
      <c r="A182" s="236"/>
      <c r="B182" s="253" t="s">
        <v>64</v>
      </c>
      <c r="C182" s="249">
        <f>C183</f>
        <v>1981.8</v>
      </c>
      <c r="D182" s="249">
        <f t="shared" ref="D182:N182" si="69">D183</f>
        <v>66</v>
      </c>
      <c r="E182" s="249">
        <f t="shared" si="69"/>
        <v>0</v>
      </c>
      <c r="F182" s="249">
        <f t="shared" si="69"/>
        <v>0</v>
      </c>
      <c r="G182" s="249">
        <f t="shared" si="69"/>
        <v>0</v>
      </c>
      <c r="H182" s="249">
        <f t="shared" si="69"/>
        <v>4</v>
      </c>
      <c r="I182" s="249">
        <f t="shared" si="69"/>
        <v>4</v>
      </c>
      <c r="J182" s="251">
        <f t="shared" si="69"/>
        <v>0</v>
      </c>
      <c r="K182" s="251">
        <f t="shared" si="69"/>
        <v>0</v>
      </c>
      <c r="L182" s="251">
        <f t="shared" si="69"/>
        <v>0</v>
      </c>
      <c r="M182" s="251">
        <f t="shared" si="69"/>
        <v>5819333</v>
      </c>
      <c r="N182" s="251">
        <f t="shared" si="69"/>
        <v>5819333</v>
      </c>
      <c r="P182" s="25"/>
    </row>
    <row r="183" spans="1:16" ht="27" customHeight="1">
      <c r="A183" s="536">
        <v>49</v>
      </c>
      <c r="B183" s="534" t="s">
        <v>115</v>
      </c>
      <c r="C183" s="529">
        <v>1981.8</v>
      </c>
      <c r="D183" s="530">
        <v>66</v>
      </c>
      <c r="E183" s="531">
        <v>0</v>
      </c>
      <c r="F183" s="531">
        <v>0</v>
      </c>
      <c r="G183" s="531">
        <v>0</v>
      </c>
      <c r="H183" s="531">
        <v>4</v>
      </c>
      <c r="I183" s="531">
        <f t="shared" ref="I183:I185" si="70">H183+G183</f>
        <v>4</v>
      </c>
      <c r="J183" s="532">
        <v>0</v>
      </c>
      <c r="K183" s="532">
        <v>0</v>
      </c>
      <c r="L183" s="532">
        <v>0</v>
      </c>
      <c r="M183" s="532">
        <v>5819333</v>
      </c>
      <c r="N183" s="532">
        <f>M183</f>
        <v>5819333</v>
      </c>
      <c r="P183" s="25"/>
    </row>
    <row r="184" spans="1:16">
      <c r="A184" s="236"/>
      <c r="B184" s="255" t="s">
        <v>66</v>
      </c>
      <c r="C184" s="249">
        <f>C185</f>
        <v>1156.8</v>
      </c>
      <c r="D184" s="249">
        <f t="shared" ref="D184:N184" si="71">D185</f>
        <v>44</v>
      </c>
      <c r="E184" s="249">
        <f t="shared" si="71"/>
        <v>0</v>
      </c>
      <c r="F184" s="249">
        <f t="shared" si="71"/>
        <v>0</v>
      </c>
      <c r="G184" s="249">
        <f t="shared" si="71"/>
        <v>0</v>
      </c>
      <c r="H184" s="249">
        <f t="shared" si="71"/>
        <v>1</v>
      </c>
      <c r="I184" s="249">
        <f t="shared" si="71"/>
        <v>1</v>
      </c>
      <c r="J184" s="251">
        <f t="shared" si="71"/>
        <v>0</v>
      </c>
      <c r="K184" s="251">
        <f t="shared" si="71"/>
        <v>0</v>
      </c>
      <c r="L184" s="251">
        <f t="shared" si="71"/>
        <v>0</v>
      </c>
      <c r="M184" s="251">
        <f t="shared" si="71"/>
        <v>2792955</v>
      </c>
      <c r="N184" s="251">
        <f t="shared" si="71"/>
        <v>2792955</v>
      </c>
      <c r="P184" s="25"/>
    </row>
    <row r="185" spans="1:16" ht="25.5">
      <c r="A185" s="536"/>
      <c r="B185" s="534" t="s">
        <v>114</v>
      </c>
      <c r="C185" s="529">
        <v>1156.8</v>
      </c>
      <c r="D185" s="530">
        <v>44</v>
      </c>
      <c r="E185" s="531">
        <v>0</v>
      </c>
      <c r="F185" s="531">
        <v>0</v>
      </c>
      <c r="G185" s="531">
        <v>0</v>
      </c>
      <c r="H185" s="531">
        <v>1</v>
      </c>
      <c r="I185" s="531">
        <f t="shared" si="70"/>
        <v>1</v>
      </c>
      <c r="J185" s="532">
        <v>0</v>
      </c>
      <c r="K185" s="532">
        <v>0</v>
      </c>
      <c r="L185" s="532">
        <v>0</v>
      </c>
      <c r="M185" s="532">
        <v>2792955</v>
      </c>
      <c r="N185" s="532">
        <f t="shared" ref="N185" si="72">M185</f>
        <v>2792955</v>
      </c>
      <c r="P185" s="25"/>
    </row>
    <row r="186" spans="1:16">
      <c r="A186" s="536"/>
      <c r="B186" s="534"/>
      <c r="C186" s="529"/>
      <c r="D186" s="530"/>
      <c r="E186" s="530"/>
      <c r="F186" s="530"/>
      <c r="G186" s="530"/>
      <c r="H186" s="530"/>
      <c r="I186" s="531"/>
      <c r="J186" s="532"/>
      <c r="K186" s="532"/>
      <c r="L186" s="532"/>
      <c r="M186" s="532"/>
      <c r="N186" s="532"/>
      <c r="P186" s="25"/>
    </row>
    <row r="187" spans="1:16">
      <c r="A187" s="394"/>
      <c r="B187" s="258"/>
      <c r="C187" s="249"/>
      <c r="D187" s="250"/>
      <c r="E187" s="252"/>
      <c r="F187" s="252"/>
      <c r="G187" s="252"/>
      <c r="H187" s="252"/>
      <c r="I187" s="252"/>
      <c r="J187" s="251"/>
      <c r="K187" s="251"/>
      <c r="L187" s="251"/>
      <c r="M187" s="251"/>
      <c r="N187" s="251"/>
      <c r="P187" s="25"/>
    </row>
    <row r="188" spans="1:16" ht="27" customHeight="1">
      <c r="A188" s="236"/>
      <c r="B188" s="257"/>
      <c r="C188" s="249"/>
      <c r="D188" s="250"/>
      <c r="E188" s="252"/>
      <c r="F188" s="252"/>
      <c r="G188" s="252"/>
      <c r="H188" s="252"/>
      <c r="I188" s="252"/>
      <c r="J188" s="251"/>
      <c r="K188" s="251"/>
      <c r="L188" s="251"/>
      <c r="M188" s="251"/>
      <c r="N188" s="251"/>
      <c r="P188" s="25"/>
    </row>
    <row r="189" spans="1:16">
      <c r="A189" s="236"/>
      <c r="B189" s="253"/>
      <c r="C189" s="249"/>
      <c r="D189" s="250"/>
      <c r="E189" s="252"/>
      <c r="F189" s="252"/>
      <c r="G189" s="252"/>
      <c r="H189" s="252"/>
      <c r="I189" s="252"/>
      <c r="J189" s="251"/>
      <c r="K189" s="251"/>
      <c r="L189" s="251"/>
      <c r="M189" s="251"/>
      <c r="N189" s="251"/>
      <c r="P189" s="25"/>
    </row>
    <row r="190" spans="1:16" ht="29.25" customHeight="1">
      <c r="A190" s="236">
        <f>A188+1</f>
        <v>1</v>
      </c>
      <c r="B190" s="253" t="s">
        <v>212</v>
      </c>
      <c r="C190" s="249" t="e">
        <f>'часть 1'!#REF!</f>
        <v>#REF!</v>
      </c>
      <c r="D190" s="250" t="e">
        <f>'часть 1'!#REF!</f>
        <v>#REF!</v>
      </c>
      <c r="E190" s="252">
        <v>0</v>
      </c>
      <c r="F190" s="252">
        <v>0</v>
      </c>
      <c r="G190" s="252">
        <v>0</v>
      </c>
      <c r="H190" s="252">
        <v>1</v>
      </c>
      <c r="I190" s="252">
        <f t="shared" ref="I190:I191" si="73">H190+G190</f>
        <v>1</v>
      </c>
      <c r="J190" s="251">
        <v>0</v>
      </c>
      <c r="K190" s="251">
        <v>0</v>
      </c>
      <c r="L190" s="251">
        <v>0</v>
      </c>
      <c r="M190" s="251">
        <f>'часть 2'!C622</f>
        <v>1870046</v>
      </c>
      <c r="N190" s="251">
        <f>M190</f>
        <v>1870046</v>
      </c>
      <c r="P190" s="25"/>
    </row>
    <row r="191" spans="1:16" ht="27" customHeight="1">
      <c r="A191" s="236">
        <v>54</v>
      </c>
      <c r="B191" s="253" t="s">
        <v>213</v>
      </c>
      <c r="C191" s="249" t="e">
        <f>'часть 1'!#REF!</f>
        <v>#REF!</v>
      </c>
      <c r="D191" s="250" t="e">
        <f>'часть 1'!#REF!</f>
        <v>#REF!</v>
      </c>
      <c r="E191" s="252">
        <v>0</v>
      </c>
      <c r="F191" s="252">
        <v>0</v>
      </c>
      <c r="G191" s="252">
        <v>0</v>
      </c>
      <c r="H191" s="252">
        <v>1</v>
      </c>
      <c r="I191" s="252">
        <f t="shared" si="73"/>
        <v>1</v>
      </c>
      <c r="J191" s="251">
        <v>0</v>
      </c>
      <c r="K191" s="251">
        <v>0</v>
      </c>
      <c r="L191" s="251">
        <v>0</v>
      </c>
      <c r="M191" s="251">
        <f>'часть 2'!C624</f>
        <v>3687908</v>
      </c>
      <c r="N191" s="251">
        <f>M191</f>
        <v>3687908</v>
      </c>
      <c r="P191" s="25"/>
    </row>
    <row r="192" spans="1:16">
      <c r="A192" s="236"/>
      <c r="B192" s="255"/>
      <c r="C192" s="249"/>
      <c r="D192" s="250"/>
      <c r="E192" s="252"/>
      <c r="F192" s="252"/>
      <c r="G192" s="252"/>
      <c r="H192" s="252"/>
      <c r="I192" s="252"/>
      <c r="J192" s="251"/>
      <c r="K192" s="251"/>
      <c r="L192" s="251"/>
      <c r="M192" s="251"/>
      <c r="N192" s="251"/>
      <c r="P192" s="25"/>
    </row>
    <row r="193" spans="1:16">
      <c r="A193" s="536"/>
      <c r="B193" s="534"/>
      <c r="C193" s="529"/>
      <c r="D193" s="530"/>
      <c r="E193" s="531"/>
      <c r="F193" s="531"/>
      <c r="G193" s="531"/>
      <c r="H193" s="531"/>
      <c r="I193" s="531"/>
      <c r="J193" s="532"/>
      <c r="K193" s="532"/>
      <c r="L193" s="532"/>
      <c r="M193" s="532"/>
      <c r="N193" s="532"/>
      <c r="P193" s="25"/>
    </row>
    <row r="194" spans="1:16">
      <c r="A194" s="536">
        <v>56</v>
      </c>
      <c r="B194" s="534" t="s">
        <v>207</v>
      </c>
      <c r="C194" s="529">
        <v>53993.47</v>
      </c>
      <c r="D194" s="530">
        <v>1897</v>
      </c>
      <c r="E194" s="530">
        <v>0</v>
      </c>
      <c r="F194" s="530">
        <v>0</v>
      </c>
      <c r="G194" s="530">
        <v>0</v>
      </c>
      <c r="H194" s="530">
        <v>10</v>
      </c>
      <c r="I194" s="531">
        <f t="shared" ref="I194:I196" si="74">H194+G194</f>
        <v>10</v>
      </c>
      <c r="J194" s="532">
        <v>0</v>
      </c>
      <c r="K194" s="532">
        <v>0</v>
      </c>
      <c r="L194" s="532">
        <v>0</v>
      </c>
      <c r="M194" s="532">
        <v>22164555</v>
      </c>
      <c r="N194" s="532">
        <f>M194</f>
        <v>22164555</v>
      </c>
      <c r="P194" s="25"/>
    </row>
    <row r="195" spans="1:16">
      <c r="A195" s="394"/>
      <c r="B195" s="258" t="s">
        <v>67</v>
      </c>
      <c r="C195" s="249">
        <f>'часть 1'!H585</f>
        <v>0</v>
      </c>
      <c r="D195" s="250">
        <f>'часть 1'!K585</f>
        <v>0</v>
      </c>
      <c r="E195" s="252">
        <v>0</v>
      </c>
      <c r="F195" s="252">
        <v>0</v>
      </c>
      <c r="G195" s="252">
        <f>G196</f>
        <v>1</v>
      </c>
      <c r="H195" s="252">
        <f>H196+H197</f>
        <v>0</v>
      </c>
      <c r="I195" s="252">
        <f t="shared" si="74"/>
        <v>1</v>
      </c>
      <c r="J195" s="251">
        <v>0</v>
      </c>
      <c r="K195" s="251">
        <v>0</v>
      </c>
      <c r="L195" s="251">
        <f>L196</f>
        <v>9379653</v>
      </c>
      <c r="M195" s="251">
        <f>M196+M197</f>
        <v>0</v>
      </c>
      <c r="N195" s="251">
        <f>N196+N197</f>
        <v>9379653</v>
      </c>
      <c r="P195" s="25"/>
    </row>
    <row r="196" spans="1:16" ht="27" customHeight="1">
      <c r="A196" s="236">
        <v>57</v>
      </c>
      <c r="B196" s="257" t="s">
        <v>90</v>
      </c>
      <c r="C196" s="249">
        <f>'часть 1'!H586</f>
        <v>0</v>
      </c>
      <c r="D196" s="250">
        <f>'часть 1'!K586</f>
        <v>0</v>
      </c>
      <c r="E196" s="252">
        <v>0</v>
      </c>
      <c r="F196" s="252">
        <v>0</v>
      </c>
      <c r="G196" s="252">
        <v>1</v>
      </c>
      <c r="H196" s="252">
        <v>0</v>
      </c>
      <c r="I196" s="252">
        <f t="shared" si="74"/>
        <v>1</v>
      </c>
      <c r="J196" s="251">
        <v>0</v>
      </c>
      <c r="K196" s="251">
        <v>0</v>
      </c>
      <c r="L196" s="251">
        <f>'часть 1'!L586</f>
        <v>9379653</v>
      </c>
      <c r="M196" s="251">
        <v>0</v>
      </c>
      <c r="N196" s="251">
        <f>L196</f>
        <v>9379653</v>
      </c>
      <c r="P196" s="25"/>
    </row>
    <row r="197" spans="1:16" ht="25.5">
      <c r="A197" s="536">
        <v>58</v>
      </c>
      <c r="B197" s="534" t="s">
        <v>127</v>
      </c>
      <c r="C197" s="529">
        <v>0</v>
      </c>
      <c r="D197" s="530">
        <v>0</v>
      </c>
      <c r="E197" s="531">
        <v>0</v>
      </c>
      <c r="F197" s="531">
        <v>0</v>
      </c>
      <c r="G197" s="531">
        <v>0</v>
      </c>
      <c r="H197" s="531">
        <v>0</v>
      </c>
      <c r="I197" s="531">
        <v>0</v>
      </c>
      <c r="J197" s="532">
        <v>0</v>
      </c>
      <c r="K197" s="532">
        <v>0</v>
      </c>
      <c r="L197" s="532">
        <v>0</v>
      </c>
      <c r="M197" s="532">
        <v>0</v>
      </c>
      <c r="N197" s="532">
        <v>0</v>
      </c>
      <c r="P197" s="25"/>
    </row>
    <row r="198" spans="1:16" ht="15.75" customHeight="1">
      <c r="A198" s="537">
        <v>1</v>
      </c>
      <c r="B198" s="538" t="s">
        <v>89</v>
      </c>
      <c r="C198" s="539">
        <f>'часть 1'!H193</f>
        <v>1534.2</v>
      </c>
      <c r="D198" s="540">
        <f>'часть 1'!K193</f>
        <v>47</v>
      </c>
      <c r="E198" s="533">
        <v>0</v>
      </c>
      <c r="F198" s="533">
        <v>0</v>
      </c>
      <c r="G198" s="533">
        <v>0</v>
      </c>
      <c r="H198" s="533">
        <v>168</v>
      </c>
      <c r="I198" s="533">
        <f>H198+G198</f>
        <v>168</v>
      </c>
      <c r="J198" s="541">
        <v>0</v>
      </c>
      <c r="K198" s="541">
        <v>0</v>
      </c>
      <c r="L198" s="541">
        <v>0</v>
      </c>
      <c r="M198" s="541">
        <f>'часть 1'!L193</f>
        <v>2435193</v>
      </c>
      <c r="N198" s="541">
        <f t="shared" ref="N198:N200" si="75">M198</f>
        <v>2435193</v>
      </c>
      <c r="O198" s="25"/>
      <c r="P198" s="25"/>
    </row>
    <row r="199" spans="1:16" ht="26.25" customHeight="1">
      <c r="A199" s="189">
        <v>2</v>
      </c>
      <c r="B199" s="248" t="s">
        <v>91</v>
      </c>
      <c r="C199" s="249">
        <f>'часть 1'!H1255</f>
        <v>14224.600000000002</v>
      </c>
      <c r="D199" s="250">
        <f>'часть 1'!K1255</f>
        <v>391</v>
      </c>
      <c r="E199" s="252">
        <v>0</v>
      </c>
      <c r="F199" s="252">
        <v>0</v>
      </c>
      <c r="G199" s="252">
        <v>0</v>
      </c>
      <c r="H199" s="252">
        <v>11</v>
      </c>
      <c r="I199" s="252">
        <f t="shared" ref="I199:I264" si="76">H199+G199</f>
        <v>11</v>
      </c>
      <c r="J199" s="251">
        <v>0</v>
      </c>
      <c r="K199" s="251">
        <v>0</v>
      </c>
      <c r="L199" s="251">
        <v>0</v>
      </c>
      <c r="M199" s="251">
        <f>'часть 1'!L1255</f>
        <v>20085822.140000001</v>
      </c>
      <c r="N199" s="251">
        <f t="shared" si="75"/>
        <v>20085822.140000001</v>
      </c>
      <c r="O199" s="25"/>
      <c r="P199" s="25"/>
    </row>
    <row r="200" spans="1:16" ht="15.75" customHeight="1">
      <c r="A200" s="537">
        <v>3</v>
      </c>
      <c r="B200" s="538" t="s">
        <v>92</v>
      </c>
      <c r="C200" s="539">
        <v>0</v>
      </c>
      <c r="D200" s="540">
        <v>0</v>
      </c>
      <c r="E200" s="533">
        <v>0</v>
      </c>
      <c r="F200" s="533">
        <v>0</v>
      </c>
      <c r="G200" s="533">
        <v>0</v>
      </c>
      <c r="H200" s="533">
        <v>0</v>
      </c>
      <c r="I200" s="533">
        <f t="shared" si="76"/>
        <v>0</v>
      </c>
      <c r="J200" s="541">
        <v>0</v>
      </c>
      <c r="K200" s="541">
        <v>0</v>
      </c>
      <c r="L200" s="541">
        <v>0</v>
      </c>
      <c r="M200" s="703">
        <v>0</v>
      </c>
      <c r="N200" s="703">
        <f t="shared" si="75"/>
        <v>0</v>
      </c>
      <c r="P200" s="25"/>
    </row>
    <row r="201" spans="1:16" ht="15.75" customHeight="1">
      <c r="A201" s="537">
        <v>4</v>
      </c>
      <c r="B201" s="538" t="s">
        <v>93</v>
      </c>
      <c r="C201" s="539">
        <f>'часть 1'!H1269</f>
        <v>16121.400000000001</v>
      </c>
      <c r="D201" s="540">
        <f>'часть 1'!K1269</f>
        <v>400</v>
      </c>
      <c r="E201" s="533">
        <v>0</v>
      </c>
      <c r="F201" s="533">
        <v>0</v>
      </c>
      <c r="G201" s="533">
        <v>0</v>
      </c>
      <c r="H201" s="533">
        <v>4</v>
      </c>
      <c r="I201" s="533">
        <f t="shared" si="76"/>
        <v>4</v>
      </c>
      <c r="J201" s="541">
        <v>0</v>
      </c>
      <c r="K201" s="541">
        <v>0</v>
      </c>
      <c r="L201" s="541">
        <v>0</v>
      </c>
      <c r="M201" s="704">
        <f>'часть 1'!L1269</f>
        <v>12233600</v>
      </c>
      <c r="N201" s="703">
        <f>M201</f>
        <v>12233600</v>
      </c>
      <c r="P201" s="25"/>
    </row>
    <row r="202" spans="1:16" ht="16.5" customHeight="1">
      <c r="A202" s="537">
        <v>5</v>
      </c>
      <c r="B202" s="543" t="s">
        <v>94</v>
      </c>
      <c r="C202" s="539">
        <f>'часть 1'!H1295</f>
        <v>5185.7</v>
      </c>
      <c r="D202" s="540">
        <f>'часть 1'!K1295</f>
        <v>172</v>
      </c>
      <c r="E202" s="533">
        <v>0</v>
      </c>
      <c r="F202" s="533">
        <v>0</v>
      </c>
      <c r="G202" s="533">
        <v>0</v>
      </c>
      <c r="H202" s="533">
        <v>2</v>
      </c>
      <c r="I202" s="533">
        <f t="shared" si="76"/>
        <v>2</v>
      </c>
      <c r="J202" s="541">
        <v>0</v>
      </c>
      <c r="K202" s="541">
        <v>0</v>
      </c>
      <c r="L202" s="541">
        <v>0</v>
      </c>
      <c r="M202" s="703">
        <f>'часть 1'!L1295</f>
        <v>2634518</v>
      </c>
      <c r="N202" s="703">
        <f t="shared" ref="N202:N203" si="77">M202</f>
        <v>2634518</v>
      </c>
      <c r="O202" s="25"/>
      <c r="P202" s="25"/>
    </row>
    <row r="203" spans="1:16" s="3" customFormat="1">
      <c r="A203" s="537">
        <v>6</v>
      </c>
      <c r="B203" s="838" t="s">
        <v>123</v>
      </c>
      <c r="C203" s="839">
        <f>'часть 1'!H1308</f>
        <v>20881.099999999999</v>
      </c>
      <c r="D203" s="840">
        <f>'часть 1'!K1308</f>
        <v>629</v>
      </c>
      <c r="E203" s="882">
        <v>0</v>
      </c>
      <c r="F203" s="882">
        <v>0</v>
      </c>
      <c r="G203" s="882">
        <v>0</v>
      </c>
      <c r="H203" s="842">
        <v>3</v>
      </c>
      <c r="I203" s="533">
        <f t="shared" si="76"/>
        <v>3</v>
      </c>
      <c r="J203" s="841">
        <v>0</v>
      </c>
      <c r="K203" s="841">
        <v>0</v>
      </c>
      <c r="L203" s="841">
        <v>0</v>
      </c>
      <c r="M203" s="841">
        <f>'часть 1'!L1308</f>
        <v>10007426</v>
      </c>
      <c r="N203" s="841">
        <f t="shared" si="77"/>
        <v>10007426</v>
      </c>
      <c r="P203" s="25"/>
    </row>
    <row r="204" spans="1:16" s="3" customFormat="1">
      <c r="A204" s="537"/>
      <c r="B204" s="838" t="s">
        <v>864</v>
      </c>
      <c r="C204" s="839">
        <f>'часть 1'!H1320</f>
        <v>2514.6999999999998</v>
      </c>
      <c r="D204" s="840">
        <f>'часть 1'!K1320</f>
        <v>82</v>
      </c>
      <c r="E204" s="882">
        <v>0</v>
      </c>
      <c r="F204" s="882">
        <v>0</v>
      </c>
      <c r="G204" s="882">
        <v>1</v>
      </c>
      <c r="H204" s="842">
        <v>0</v>
      </c>
      <c r="I204" s="533">
        <f>H204+G204+F204+E204</f>
        <v>1</v>
      </c>
      <c r="J204" s="841">
        <v>0</v>
      </c>
      <c r="K204" s="841">
        <v>0</v>
      </c>
      <c r="L204" s="841">
        <v>1112894</v>
      </c>
      <c r="M204" s="841">
        <v>0</v>
      </c>
      <c r="N204" s="841">
        <v>1112894</v>
      </c>
      <c r="P204" s="25"/>
    </row>
    <row r="205" spans="1:16" s="3" customFormat="1">
      <c r="A205" s="837"/>
      <c r="B205" s="838" t="s">
        <v>72</v>
      </c>
      <c r="C205" s="839">
        <f>C206</f>
        <v>2066.4</v>
      </c>
      <c r="D205" s="840">
        <f t="shared" ref="D205:N205" si="78">D206</f>
        <v>80</v>
      </c>
      <c r="E205" s="840">
        <f t="shared" si="78"/>
        <v>0</v>
      </c>
      <c r="F205" s="840">
        <f t="shared" si="78"/>
        <v>0</v>
      </c>
      <c r="G205" s="840">
        <f t="shared" si="78"/>
        <v>0</v>
      </c>
      <c r="H205" s="840">
        <f t="shared" si="78"/>
        <v>4</v>
      </c>
      <c r="I205" s="840">
        <f t="shared" si="78"/>
        <v>4</v>
      </c>
      <c r="J205" s="841">
        <f t="shared" si="78"/>
        <v>0</v>
      </c>
      <c r="K205" s="841">
        <f t="shared" si="78"/>
        <v>0</v>
      </c>
      <c r="L205" s="841">
        <f t="shared" si="78"/>
        <v>0</v>
      </c>
      <c r="M205" s="841">
        <f t="shared" si="78"/>
        <v>4547991</v>
      </c>
      <c r="N205" s="841">
        <f t="shared" si="78"/>
        <v>4547991</v>
      </c>
      <c r="P205" s="25"/>
    </row>
    <row r="206" spans="1:16" s="3" customFormat="1" ht="25.5">
      <c r="A206" s="837">
        <v>7</v>
      </c>
      <c r="B206" s="838" t="s">
        <v>95</v>
      </c>
      <c r="C206" s="839">
        <f>'часть 1'!H1323</f>
        <v>2066.4</v>
      </c>
      <c r="D206" s="840">
        <f>'часть 1'!K1323</f>
        <v>80</v>
      </c>
      <c r="E206" s="533">
        <v>0</v>
      </c>
      <c r="F206" s="533">
        <v>0</v>
      </c>
      <c r="G206" s="533">
        <v>0</v>
      </c>
      <c r="H206" s="842">
        <v>4</v>
      </c>
      <c r="I206" s="533">
        <f t="shared" si="76"/>
        <v>4</v>
      </c>
      <c r="J206" s="841">
        <v>0</v>
      </c>
      <c r="K206" s="841">
        <v>0</v>
      </c>
      <c r="L206" s="841">
        <v>0</v>
      </c>
      <c r="M206" s="841">
        <f>'часть 1'!L1323</f>
        <v>4547991</v>
      </c>
      <c r="N206" s="841">
        <f>M206</f>
        <v>4547991</v>
      </c>
      <c r="P206" s="25"/>
    </row>
    <row r="207" spans="1:16">
      <c r="A207" s="394"/>
      <c r="B207" s="248" t="s">
        <v>41</v>
      </c>
      <c r="C207" s="249">
        <f>C208</f>
        <v>11641.5</v>
      </c>
      <c r="D207" s="249">
        <f t="shared" ref="D207:N207" si="79">D208</f>
        <v>480</v>
      </c>
      <c r="E207" s="249">
        <f t="shared" si="79"/>
        <v>0</v>
      </c>
      <c r="F207" s="249">
        <f t="shared" si="79"/>
        <v>0</v>
      </c>
      <c r="G207" s="249">
        <f t="shared" si="79"/>
        <v>0</v>
      </c>
      <c r="H207" s="249">
        <f t="shared" si="79"/>
        <v>4</v>
      </c>
      <c r="I207" s="249">
        <f t="shared" si="79"/>
        <v>4</v>
      </c>
      <c r="J207" s="249">
        <f t="shared" si="79"/>
        <v>0</v>
      </c>
      <c r="K207" s="249">
        <f t="shared" si="79"/>
        <v>0</v>
      </c>
      <c r="L207" s="249">
        <f t="shared" si="79"/>
        <v>0</v>
      </c>
      <c r="M207" s="249">
        <f t="shared" si="79"/>
        <v>12671361</v>
      </c>
      <c r="N207" s="249">
        <f t="shared" si="79"/>
        <v>12671361</v>
      </c>
      <c r="P207" s="25"/>
    </row>
    <row r="208" spans="1:16" ht="25.5">
      <c r="A208" s="544">
        <v>8</v>
      </c>
      <c r="B208" s="538" t="s">
        <v>96</v>
      </c>
      <c r="C208" s="539">
        <f>'часть 1'!H1332</f>
        <v>11641.5</v>
      </c>
      <c r="D208" s="540">
        <f>'часть 1'!K1332</f>
        <v>480</v>
      </c>
      <c r="E208" s="533">
        <v>0</v>
      </c>
      <c r="F208" s="533">
        <v>0</v>
      </c>
      <c r="G208" s="533">
        <v>0</v>
      </c>
      <c r="H208" s="533">
        <v>4</v>
      </c>
      <c r="I208" s="533">
        <f t="shared" si="76"/>
        <v>4</v>
      </c>
      <c r="J208" s="541">
        <v>0</v>
      </c>
      <c r="K208" s="541">
        <v>0</v>
      </c>
      <c r="L208" s="541">
        <v>0</v>
      </c>
      <c r="M208" s="541">
        <f>'часть 1'!L1332</f>
        <v>12671361</v>
      </c>
      <c r="N208" s="541">
        <f>M208</f>
        <v>12671361</v>
      </c>
      <c r="P208" s="25"/>
    </row>
    <row r="209" spans="1:16">
      <c r="A209" s="394"/>
      <c r="B209" s="248" t="s">
        <v>68</v>
      </c>
      <c r="C209" s="249">
        <f>C210</f>
        <v>0</v>
      </c>
      <c r="D209" s="250">
        <f t="shared" ref="D209:N209" si="80">D210</f>
        <v>0</v>
      </c>
      <c r="E209" s="252">
        <f t="shared" si="80"/>
        <v>0</v>
      </c>
      <c r="F209" s="252">
        <f t="shared" si="80"/>
        <v>0</v>
      </c>
      <c r="G209" s="252">
        <f t="shared" si="80"/>
        <v>0</v>
      </c>
      <c r="H209" s="252" t="e">
        <f>'часть 2'!#REF!</f>
        <v>#REF!</v>
      </c>
      <c r="I209" s="252" t="e">
        <f t="shared" si="76"/>
        <v>#REF!</v>
      </c>
      <c r="J209" s="251">
        <f t="shared" si="80"/>
        <v>0</v>
      </c>
      <c r="K209" s="251">
        <f t="shared" si="80"/>
        <v>0</v>
      </c>
      <c r="L209" s="251">
        <f t="shared" si="80"/>
        <v>0</v>
      </c>
      <c r="M209" s="251">
        <f>'часть 1'!L455</f>
        <v>1512903</v>
      </c>
      <c r="N209" s="251">
        <f t="shared" si="80"/>
        <v>0</v>
      </c>
      <c r="P209" s="25"/>
    </row>
    <row r="210" spans="1:16" ht="25.5">
      <c r="A210" s="544">
        <v>9</v>
      </c>
      <c r="B210" s="538" t="s">
        <v>97</v>
      </c>
      <c r="C210" s="539">
        <v>0</v>
      </c>
      <c r="D210" s="540">
        <v>0</v>
      </c>
      <c r="E210" s="533">
        <v>0</v>
      </c>
      <c r="F210" s="533">
        <v>0</v>
      </c>
      <c r="G210" s="533">
        <v>0</v>
      </c>
      <c r="H210" s="533">
        <v>0</v>
      </c>
      <c r="I210" s="533">
        <f t="shared" si="76"/>
        <v>0</v>
      </c>
      <c r="J210" s="541">
        <v>0</v>
      </c>
      <c r="K210" s="541">
        <v>0</v>
      </c>
      <c r="L210" s="541">
        <v>0</v>
      </c>
      <c r="M210" s="541">
        <v>0</v>
      </c>
      <c r="N210" s="541">
        <f>M210</f>
        <v>0</v>
      </c>
      <c r="P210" s="25"/>
    </row>
    <row r="211" spans="1:16" s="19" customFormat="1">
      <c r="A211" s="255"/>
      <c r="B211" s="255" t="s">
        <v>43</v>
      </c>
      <c r="C211" s="249">
        <f>C212+C213</f>
        <v>1600.52</v>
      </c>
      <c r="D211" s="256">
        <f>D212+D213</f>
        <v>49</v>
      </c>
      <c r="E211" s="252">
        <f>E212+E213</f>
        <v>0</v>
      </c>
      <c r="F211" s="252">
        <f t="shared" ref="F211:H211" si="81">F212+F213</f>
        <v>0</v>
      </c>
      <c r="G211" s="252">
        <f t="shared" si="81"/>
        <v>0</v>
      </c>
      <c r="H211" s="252" t="e">
        <f t="shared" si="81"/>
        <v>#REF!</v>
      </c>
      <c r="I211" s="252" t="e">
        <f t="shared" si="76"/>
        <v>#REF!</v>
      </c>
      <c r="J211" s="251">
        <f>J212+J213</f>
        <v>0</v>
      </c>
      <c r="K211" s="251">
        <f t="shared" ref="K211:N211" si="82">K212+K213</f>
        <v>0</v>
      </c>
      <c r="L211" s="251">
        <f t="shared" si="82"/>
        <v>0</v>
      </c>
      <c r="M211" s="251">
        <f t="shared" si="82"/>
        <v>2576038</v>
      </c>
      <c r="N211" s="251">
        <f t="shared" si="82"/>
        <v>2576038</v>
      </c>
      <c r="O211" s="84"/>
      <c r="P211" s="25"/>
    </row>
    <row r="212" spans="1:16" s="19" customFormat="1" ht="25.5">
      <c r="A212" s="394">
        <v>10</v>
      </c>
      <c r="B212" s="253" t="s">
        <v>125</v>
      </c>
      <c r="C212" s="249">
        <f>'часть 1'!H459</f>
        <v>1091.5999999999999</v>
      </c>
      <c r="D212" s="250">
        <f>'часть 1'!K459</f>
        <v>33</v>
      </c>
      <c r="E212" s="252">
        <v>0</v>
      </c>
      <c r="F212" s="252">
        <v>0</v>
      </c>
      <c r="G212" s="252">
        <v>0</v>
      </c>
      <c r="H212" s="252" t="e">
        <f>'часть 2'!#REF!</f>
        <v>#REF!</v>
      </c>
      <c r="I212" s="252" t="e">
        <f t="shared" si="76"/>
        <v>#REF!</v>
      </c>
      <c r="J212" s="251">
        <v>0</v>
      </c>
      <c r="K212" s="251">
        <v>0</v>
      </c>
      <c r="L212" s="251">
        <v>0</v>
      </c>
      <c r="M212" s="251">
        <f>'часть 1'!L459</f>
        <v>1361248</v>
      </c>
      <c r="N212" s="251">
        <f>M212</f>
        <v>1361248</v>
      </c>
      <c r="P212" s="25"/>
    </row>
    <row r="213" spans="1:16" s="19" customFormat="1" ht="25.5">
      <c r="A213" s="394">
        <v>11</v>
      </c>
      <c r="B213" s="253" t="s">
        <v>210</v>
      </c>
      <c r="C213" s="249">
        <f>'часть 1'!H477</f>
        <v>508.92</v>
      </c>
      <c r="D213" s="250">
        <f>'часть 1'!K477</f>
        <v>16</v>
      </c>
      <c r="E213" s="252">
        <v>0</v>
      </c>
      <c r="F213" s="252">
        <v>0</v>
      </c>
      <c r="G213" s="252">
        <v>0</v>
      </c>
      <c r="H213" s="252">
        <v>2</v>
      </c>
      <c r="I213" s="252">
        <f t="shared" si="76"/>
        <v>2</v>
      </c>
      <c r="J213" s="251">
        <v>0</v>
      </c>
      <c r="K213" s="251">
        <v>0</v>
      </c>
      <c r="L213" s="251">
        <v>0</v>
      </c>
      <c r="M213" s="251">
        <f>'часть 1'!L477</f>
        <v>1214790</v>
      </c>
      <c r="N213" s="251">
        <f>M213</f>
        <v>1214790</v>
      </c>
      <c r="P213" s="25"/>
    </row>
    <row r="214" spans="1:16">
      <c r="A214" s="394"/>
      <c r="B214" s="255" t="s">
        <v>44</v>
      </c>
      <c r="C214" s="249">
        <f>C215</f>
        <v>518.5</v>
      </c>
      <c r="D214" s="250">
        <f t="shared" ref="D214:N214" si="83">D215</f>
        <v>27</v>
      </c>
      <c r="E214" s="252">
        <f t="shared" si="83"/>
        <v>0</v>
      </c>
      <c r="F214" s="252">
        <f t="shared" si="83"/>
        <v>0</v>
      </c>
      <c r="G214" s="252">
        <f t="shared" si="83"/>
        <v>0</v>
      </c>
      <c r="H214" s="252">
        <f t="shared" si="83"/>
        <v>1</v>
      </c>
      <c r="I214" s="252">
        <f t="shared" si="76"/>
        <v>1</v>
      </c>
      <c r="J214" s="251">
        <f t="shared" si="83"/>
        <v>0</v>
      </c>
      <c r="K214" s="251">
        <f t="shared" si="83"/>
        <v>0</v>
      </c>
      <c r="L214" s="251">
        <f t="shared" si="83"/>
        <v>0</v>
      </c>
      <c r="M214" s="251">
        <f>'часть 1'!L480</f>
        <v>3037109</v>
      </c>
      <c r="N214" s="251">
        <f t="shared" si="83"/>
        <v>906976</v>
      </c>
      <c r="P214" s="25"/>
    </row>
    <row r="215" spans="1:16" s="18" customFormat="1" ht="25.5">
      <c r="A215" s="544">
        <f>A213+1</f>
        <v>12</v>
      </c>
      <c r="B215" s="543" t="s">
        <v>435</v>
      </c>
      <c r="C215" s="539">
        <f>'часть 1'!H1362</f>
        <v>518.5</v>
      </c>
      <c r="D215" s="540">
        <f>'часть 1'!K1361</f>
        <v>27</v>
      </c>
      <c r="E215" s="533">
        <v>0</v>
      </c>
      <c r="F215" s="533">
        <v>0</v>
      </c>
      <c r="G215" s="533">
        <v>0</v>
      </c>
      <c r="H215" s="533">
        <v>1</v>
      </c>
      <c r="I215" s="533">
        <v>1</v>
      </c>
      <c r="J215" s="541">
        <v>0</v>
      </c>
      <c r="K215" s="541">
        <v>0</v>
      </c>
      <c r="L215" s="541">
        <v>0</v>
      </c>
      <c r="M215" s="541">
        <f>'часть 1'!L1361</f>
        <v>906976</v>
      </c>
      <c r="N215" s="541">
        <f>M215</f>
        <v>906976</v>
      </c>
      <c r="P215" s="25"/>
    </row>
    <row r="216" spans="1:16">
      <c r="A216" s="394"/>
      <c r="B216" s="255" t="s">
        <v>45</v>
      </c>
      <c r="C216" s="249">
        <f>C217+C218+C219+C220+C221+C222+C223</f>
        <v>11088.41</v>
      </c>
      <c r="D216" s="249">
        <f t="shared" ref="D216:N216" si="84">D217+D218+D219+D220+D221+D222+D223</f>
        <v>381</v>
      </c>
      <c r="E216" s="249">
        <f t="shared" si="84"/>
        <v>0</v>
      </c>
      <c r="F216" s="249">
        <f t="shared" si="84"/>
        <v>0</v>
      </c>
      <c r="G216" s="249">
        <f t="shared" si="84"/>
        <v>1</v>
      </c>
      <c r="H216" s="249">
        <f t="shared" si="84"/>
        <v>5</v>
      </c>
      <c r="I216" s="249">
        <f t="shared" si="84"/>
        <v>6</v>
      </c>
      <c r="J216" s="251">
        <f t="shared" si="84"/>
        <v>0</v>
      </c>
      <c r="K216" s="251">
        <f t="shared" si="84"/>
        <v>0</v>
      </c>
      <c r="L216" s="251">
        <f t="shared" si="84"/>
        <v>1648047</v>
      </c>
      <c r="M216" s="251">
        <f t="shared" si="84"/>
        <v>9461519</v>
      </c>
      <c r="N216" s="251">
        <f t="shared" si="84"/>
        <v>11109566</v>
      </c>
      <c r="O216" s="25"/>
      <c r="P216" s="25"/>
    </row>
    <row r="217" spans="1:16" ht="25.5">
      <c r="A217" s="544">
        <f>A215+1</f>
        <v>13</v>
      </c>
      <c r="B217" s="595" t="s">
        <v>98</v>
      </c>
      <c r="C217" s="539">
        <f>'часть 1'!H1365</f>
        <v>3642.1</v>
      </c>
      <c r="D217" s="540">
        <f>'часть 1'!K1365</f>
        <v>158</v>
      </c>
      <c r="E217" s="533">
        <v>0</v>
      </c>
      <c r="F217" s="533">
        <v>0</v>
      </c>
      <c r="G217" s="533">
        <v>0</v>
      </c>
      <c r="H217" s="533">
        <v>1</v>
      </c>
      <c r="I217" s="533">
        <f t="shared" si="76"/>
        <v>1</v>
      </c>
      <c r="J217" s="541">
        <v>0</v>
      </c>
      <c r="K217" s="541">
        <v>0</v>
      </c>
      <c r="L217" s="541">
        <v>0</v>
      </c>
      <c r="M217" s="541">
        <f>'часть 1'!L1365</f>
        <v>2377747</v>
      </c>
      <c r="N217" s="541">
        <f>M217</f>
        <v>2377747</v>
      </c>
      <c r="P217" s="25"/>
    </row>
    <row r="218" spans="1:16" ht="25.5">
      <c r="A218" s="544"/>
      <c r="B218" s="595" t="s">
        <v>688</v>
      </c>
      <c r="C218" s="539">
        <f>'часть 1'!H1368</f>
        <v>489.41</v>
      </c>
      <c r="D218" s="540">
        <f>'часть 1'!K1368</f>
        <v>20</v>
      </c>
      <c r="E218" s="533">
        <v>0</v>
      </c>
      <c r="F218" s="533">
        <v>0</v>
      </c>
      <c r="G218" s="533">
        <v>0</v>
      </c>
      <c r="H218" s="533">
        <v>1</v>
      </c>
      <c r="I218" s="533">
        <v>1</v>
      </c>
      <c r="J218" s="541">
        <v>0</v>
      </c>
      <c r="K218" s="541">
        <v>0</v>
      </c>
      <c r="L218" s="541">
        <v>0</v>
      </c>
      <c r="M218" s="541">
        <v>901450</v>
      </c>
      <c r="N218" s="541">
        <f>M218+L218+K218+J218</f>
        <v>901450</v>
      </c>
      <c r="P218" s="25"/>
    </row>
    <row r="219" spans="1:16" ht="25.5">
      <c r="A219" s="544">
        <f>A217+1</f>
        <v>14</v>
      </c>
      <c r="B219" s="543" t="s">
        <v>99</v>
      </c>
      <c r="C219" s="479">
        <f>'часть 1'!H1369</f>
        <v>1025.3</v>
      </c>
      <c r="D219" s="516">
        <f>'часть 1'!K1369</f>
        <v>34</v>
      </c>
      <c r="E219" s="533">
        <v>0</v>
      </c>
      <c r="F219" s="533">
        <v>0</v>
      </c>
      <c r="G219" s="533">
        <v>0</v>
      </c>
      <c r="H219" s="515">
        <v>1</v>
      </c>
      <c r="I219" s="533">
        <f t="shared" si="76"/>
        <v>1</v>
      </c>
      <c r="J219" s="541">
        <v>0</v>
      </c>
      <c r="K219" s="541">
        <v>0</v>
      </c>
      <c r="L219" s="541">
        <v>0</v>
      </c>
      <c r="M219" s="541">
        <f>'часть 1'!L1369</f>
        <v>1696092</v>
      </c>
      <c r="N219" s="541">
        <f>M219</f>
        <v>1696092</v>
      </c>
      <c r="P219" s="25"/>
    </row>
    <row r="220" spans="1:16" ht="25.5">
      <c r="A220" s="544">
        <f>A219+1</f>
        <v>15</v>
      </c>
      <c r="B220" s="543" t="s">
        <v>100</v>
      </c>
      <c r="C220" s="539">
        <v>0</v>
      </c>
      <c r="D220" s="540">
        <v>0</v>
      </c>
      <c r="E220" s="533">
        <v>0</v>
      </c>
      <c r="F220" s="533">
        <v>0</v>
      </c>
      <c r="G220" s="533">
        <v>0</v>
      </c>
      <c r="H220" s="533">
        <v>0</v>
      </c>
      <c r="I220" s="533">
        <f t="shared" si="76"/>
        <v>0</v>
      </c>
      <c r="J220" s="541">
        <v>0</v>
      </c>
      <c r="K220" s="541">
        <v>0</v>
      </c>
      <c r="L220" s="541">
        <v>0</v>
      </c>
      <c r="M220" s="541">
        <v>0</v>
      </c>
      <c r="N220" s="541">
        <f>M220</f>
        <v>0</v>
      </c>
      <c r="P220" s="25"/>
    </row>
    <row r="221" spans="1:16" ht="25.5">
      <c r="A221" s="544">
        <f>A220+1</f>
        <v>16</v>
      </c>
      <c r="B221" s="543" t="s">
        <v>101</v>
      </c>
      <c r="C221" s="539">
        <f>'часть 1'!H1373</f>
        <v>1472.1</v>
      </c>
      <c r="D221" s="540">
        <f>'часть 1'!K1373</f>
        <v>29</v>
      </c>
      <c r="E221" s="533">
        <v>0</v>
      </c>
      <c r="F221" s="533">
        <v>0</v>
      </c>
      <c r="G221" s="533">
        <v>1</v>
      </c>
      <c r="H221" s="533">
        <v>0</v>
      </c>
      <c r="I221" s="533">
        <f t="shared" si="76"/>
        <v>1</v>
      </c>
      <c r="J221" s="541">
        <v>0</v>
      </c>
      <c r="K221" s="541">
        <v>0</v>
      </c>
      <c r="L221" s="541">
        <f>'часть 1'!L1373</f>
        <v>1648047</v>
      </c>
      <c r="M221" s="541">
        <v>0</v>
      </c>
      <c r="N221" s="541">
        <f>M221+L221+K221+J221</f>
        <v>1648047</v>
      </c>
      <c r="P221" s="25"/>
    </row>
    <row r="222" spans="1:16" ht="28.5" customHeight="1">
      <c r="A222" s="542">
        <f>A221+1</f>
        <v>17</v>
      </c>
      <c r="B222" s="543" t="s">
        <v>586</v>
      </c>
      <c r="C222" s="539">
        <f>'часть 1'!H1375</f>
        <v>874.2</v>
      </c>
      <c r="D222" s="540">
        <f>'часть 1'!K1375</f>
        <v>33</v>
      </c>
      <c r="E222" s="533">
        <v>0</v>
      </c>
      <c r="F222" s="533">
        <v>0</v>
      </c>
      <c r="G222" s="533">
        <v>0</v>
      </c>
      <c r="H222" s="533">
        <v>1</v>
      </c>
      <c r="I222" s="533">
        <f t="shared" si="76"/>
        <v>1</v>
      </c>
      <c r="J222" s="541">
        <v>0</v>
      </c>
      <c r="K222" s="541">
        <v>0</v>
      </c>
      <c r="L222" s="541">
        <v>0</v>
      </c>
      <c r="M222" s="541">
        <f>'часть 1'!L1375</f>
        <v>2577836</v>
      </c>
      <c r="N222" s="541">
        <f>M222</f>
        <v>2577836</v>
      </c>
      <c r="P222" s="25"/>
    </row>
    <row r="223" spans="1:16" ht="28.5" customHeight="1">
      <c r="A223" s="542"/>
      <c r="B223" s="543" t="s">
        <v>861</v>
      </c>
      <c r="C223" s="539">
        <f>'часть 1'!H1377</f>
        <v>3585.3</v>
      </c>
      <c r="D223" s="540">
        <f>'часть 1'!K1377</f>
        <v>107</v>
      </c>
      <c r="E223" s="533">
        <v>0</v>
      </c>
      <c r="F223" s="533">
        <v>0</v>
      </c>
      <c r="G223" s="533">
        <v>0</v>
      </c>
      <c r="H223" s="533">
        <v>1</v>
      </c>
      <c r="I223" s="533">
        <f t="shared" si="76"/>
        <v>1</v>
      </c>
      <c r="J223" s="541">
        <v>0</v>
      </c>
      <c r="K223" s="541">
        <v>0</v>
      </c>
      <c r="L223" s="541">
        <v>0</v>
      </c>
      <c r="M223" s="541">
        <f>'часть 1'!L1377</f>
        <v>1908394</v>
      </c>
      <c r="N223" s="541">
        <f>M223+L223+K223+J223</f>
        <v>1908394</v>
      </c>
      <c r="P223" s="25"/>
    </row>
    <row r="224" spans="1:16">
      <c r="A224" s="394"/>
      <c r="B224" s="255" t="s">
        <v>46</v>
      </c>
      <c r="C224" s="249">
        <f>C225</f>
        <v>466.2</v>
      </c>
      <c r="D224" s="249">
        <f t="shared" ref="D224:N224" si="85">D225</f>
        <v>17</v>
      </c>
      <c r="E224" s="249">
        <f t="shared" si="85"/>
        <v>0</v>
      </c>
      <c r="F224" s="249">
        <f t="shared" si="85"/>
        <v>0</v>
      </c>
      <c r="G224" s="249">
        <f t="shared" si="85"/>
        <v>0</v>
      </c>
      <c r="H224" s="249">
        <f t="shared" si="85"/>
        <v>1</v>
      </c>
      <c r="I224" s="249">
        <f t="shared" si="85"/>
        <v>1</v>
      </c>
      <c r="J224" s="251">
        <f t="shared" si="85"/>
        <v>0</v>
      </c>
      <c r="K224" s="251">
        <f t="shared" si="85"/>
        <v>0</v>
      </c>
      <c r="L224" s="251">
        <f t="shared" si="85"/>
        <v>0</v>
      </c>
      <c r="M224" s="251">
        <f t="shared" si="85"/>
        <v>684446</v>
      </c>
      <c r="N224" s="251">
        <f t="shared" si="85"/>
        <v>684446</v>
      </c>
      <c r="O224" s="25"/>
      <c r="P224" s="25"/>
    </row>
    <row r="225" spans="1:16" ht="25.5">
      <c r="A225" s="544">
        <f>A222+1</f>
        <v>18</v>
      </c>
      <c r="B225" s="543" t="s">
        <v>587</v>
      </c>
      <c r="C225" s="539">
        <v>466.2</v>
      </c>
      <c r="D225" s="540">
        <v>17</v>
      </c>
      <c r="E225" s="533">
        <v>0</v>
      </c>
      <c r="F225" s="533">
        <v>0</v>
      </c>
      <c r="G225" s="533">
        <v>0</v>
      </c>
      <c r="H225" s="533">
        <v>1</v>
      </c>
      <c r="I225" s="533">
        <f t="shared" si="76"/>
        <v>1</v>
      </c>
      <c r="J225" s="541">
        <v>0</v>
      </c>
      <c r="K225" s="541">
        <v>0</v>
      </c>
      <c r="L225" s="541">
        <v>0</v>
      </c>
      <c r="M225" s="541">
        <v>684446</v>
      </c>
      <c r="N225" s="541">
        <f>M225</f>
        <v>684446</v>
      </c>
      <c r="P225" s="25"/>
    </row>
    <row r="226" spans="1:16" ht="20.45" customHeight="1">
      <c r="A226" s="394"/>
      <c r="B226" s="255" t="s">
        <v>47</v>
      </c>
      <c r="C226" s="249">
        <f>C227</f>
        <v>930</v>
      </c>
      <c r="D226" s="249">
        <f t="shared" ref="D226:N226" si="86">D227</f>
        <v>45</v>
      </c>
      <c r="E226" s="249">
        <f t="shared" si="86"/>
        <v>0</v>
      </c>
      <c r="F226" s="249">
        <f t="shared" si="86"/>
        <v>0</v>
      </c>
      <c r="G226" s="249">
        <f t="shared" si="86"/>
        <v>0</v>
      </c>
      <c r="H226" s="249">
        <f t="shared" si="86"/>
        <v>1</v>
      </c>
      <c r="I226" s="249">
        <f t="shared" si="86"/>
        <v>1</v>
      </c>
      <c r="J226" s="251">
        <f t="shared" si="86"/>
        <v>0</v>
      </c>
      <c r="K226" s="251">
        <f t="shared" si="86"/>
        <v>0</v>
      </c>
      <c r="L226" s="251">
        <f t="shared" si="86"/>
        <v>0</v>
      </c>
      <c r="M226" s="251">
        <f t="shared" si="86"/>
        <v>2602688</v>
      </c>
      <c r="N226" s="251">
        <f t="shared" si="86"/>
        <v>2602688</v>
      </c>
      <c r="O226" s="25"/>
      <c r="P226" s="25"/>
    </row>
    <row r="227" spans="1:16" ht="25.5">
      <c r="A227" s="542">
        <f>A225+1</f>
        <v>19</v>
      </c>
      <c r="B227" s="543" t="s">
        <v>103</v>
      </c>
      <c r="C227" s="539">
        <f>'часть 1'!H1384</f>
        <v>930</v>
      </c>
      <c r="D227" s="540">
        <f>'часть 1'!K1384</f>
        <v>45</v>
      </c>
      <c r="E227" s="533">
        <v>0</v>
      </c>
      <c r="F227" s="533">
        <v>0</v>
      </c>
      <c r="G227" s="533">
        <v>0</v>
      </c>
      <c r="H227" s="533">
        <v>1</v>
      </c>
      <c r="I227" s="533">
        <f t="shared" si="76"/>
        <v>1</v>
      </c>
      <c r="J227" s="541">
        <v>0</v>
      </c>
      <c r="K227" s="541">
        <v>0</v>
      </c>
      <c r="L227" s="541">
        <v>0</v>
      </c>
      <c r="M227" s="541">
        <f>'часть 1'!L1384</f>
        <v>2602688</v>
      </c>
      <c r="N227" s="541">
        <f>M227</f>
        <v>2602688</v>
      </c>
      <c r="P227" s="25"/>
    </row>
    <row r="228" spans="1:16" s="9" customFormat="1">
      <c r="A228" s="394"/>
      <c r="B228" s="255" t="s">
        <v>48</v>
      </c>
      <c r="C228" s="249">
        <f>'часть 1'!H513</f>
        <v>0</v>
      </c>
      <c r="D228" s="250">
        <f>'часть 1'!K513</f>
        <v>0</v>
      </c>
      <c r="E228" s="252">
        <f t="shared" ref="E228:G228" si="87">E229+E230</f>
        <v>0</v>
      </c>
      <c r="F228" s="252">
        <f t="shared" si="87"/>
        <v>0</v>
      </c>
      <c r="G228" s="252">
        <f t="shared" si="87"/>
        <v>0</v>
      </c>
      <c r="H228" s="252" t="e">
        <f>H229+H230</f>
        <v>#REF!</v>
      </c>
      <c r="I228" s="252" t="e">
        <f t="shared" si="76"/>
        <v>#REF!</v>
      </c>
      <c r="J228" s="251">
        <f t="shared" ref="J228:N228" si="88">J229+J230</f>
        <v>0</v>
      </c>
      <c r="K228" s="251">
        <f t="shared" si="88"/>
        <v>0</v>
      </c>
      <c r="L228" s="251">
        <f t="shared" si="88"/>
        <v>0</v>
      </c>
      <c r="M228" s="251">
        <f t="shared" si="88"/>
        <v>4233663</v>
      </c>
      <c r="N228" s="251">
        <f t="shared" si="88"/>
        <v>4233663</v>
      </c>
      <c r="O228" s="39"/>
      <c r="P228" s="25"/>
    </row>
    <row r="229" spans="1:16" ht="25.5">
      <c r="A229" s="542">
        <f>A227+1</f>
        <v>20</v>
      </c>
      <c r="B229" s="543" t="s">
        <v>107</v>
      </c>
      <c r="C229" s="539">
        <f>'часть 1'!H1387</f>
        <v>1876</v>
      </c>
      <c r="D229" s="540">
        <f>'часть 1'!K1387</f>
        <v>41</v>
      </c>
      <c r="E229" s="533">
        <v>0</v>
      </c>
      <c r="F229" s="533">
        <v>0</v>
      </c>
      <c r="G229" s="533">
        <v>0</v>
      </c>
      <c r="H229" s="533">
        <v>1</v>
      </c>
      <c r="I229" s="533">
        <f t="shared" si="76"/>
        <v>1</v>
      </c>
      <c r="J229" s="541">
        <v>0</v>
      </c>
      <c r="K229" s="541">
        <v>0</v>
      </c>
      <c r="L229" s="541">
        <v>0</v>
      </c>
      <c r="M229" s="541">
        <f>'часть 1'!L1387</f>
        <v>2102577</v>
      </c>
      <c r="N229" s="541">
        <f t="shared" ref="N229:N230" si="89">M229</f>
        <v>2102577</v>
      </c>
      <c r="P229" s="25"/>
    </row>
    <row r="230" spans="1:16" ht="27" customHeight="1">
      <c r="A230" s="236">
        <f>A229+1</f>
        <v>21</v>
      </c>
      <c r="B230" s="253" t="s">
        <v>104</v>
      </c>
      <c r="C230" s="249">
        <f>'часть 1'!H518</f>
        <v>3286.8</v>
      </c>
      <c r="D230" s="250">
        <f>'часть 1'!K518</f>
        <v>100</v>
      </c>
      <c r="E230" s="252">
        <v>0</v>
      </c>
      <c r="F230" s="252">
        <v>0</v>
      </c>
      <c r="G230" s="252">
        <v>0</v>
      </c>
      <c r="H230" s="252" t="e">
        <f>'часть 2'!#REF!</f>
        <v>#REF!</v>
      </c>
      <c r="I230" s="252" t="e">
        <f t="shared" si="76"/>
        <v>#REF!</v>
      </c>
      <c r="J230" s="251">
        <v>0</v>
      </c>
      <c r="K230" s="251">
        <v>0</v>
      </c>
      <c r="L230" s="251">
        <v>0</v>
      </c>
      <c r="M230" s="251">
        <f>'часть 1'!L518</f>
        <v>2131086</v>
      </c>
      <c r="N230" s="251">
        <f t="shared" si="89"/>
        <v>2131086</v>
      </c>
      <c r="P230" s="25"/>
    </row>
    <row r="231" spans="1:16">
      <c r="A231" s="236"/>
      <c r="B231" s="255" t="s">
        <v>49</v>
      </c>
      <c r="C231" s="249">
        <f>'часть 1'!H520</f>
        <v>0</v>
      </c>
      <c r="D231" s="250">
        <f>'часть 1'!K520</f>
        <v>0</v>
      </c>
      <c r="E231" s="252">
        <f t="shared" ref="E231:K231" si="90">E232</f>
        <v>0</v>
      </c>
      <c r="F231" s="252">
        <f t="shared" si="90"/>
        <v>0</v>
      </c>
      <c r="G231" s="252">
        <f>G232+G233+G234+G235</f>
        <v>1</v>
      </c>
      <c r="H231" s="252">
        <f>H232+H233+H234+H235</f>
        <v>2</v>
      </c>
      <c r="I231" s="252">
        <f t="shared" si="76"/>
        <v>3</v>
      </c>
      <c r="J231" s="251">
        <f t="shared" si="90"/>
        <v>0</v>
      </c>
      <c r="K231" s="251">
        <f t="shared" si="90"/>
        <v>0</v>
      </c>
      <c r="L231" s="251">
        <f>L233</f>
        <v>2447351.64</v>
      </c>
      <c r="M231" s="251">
        <f>SUM(M232:M235)</f>
        <v>2041028.6400000001</v>
      </c>
      <c r="N231" s="251">
        <f>SUM(N232:N235)</f>
        <v>7291362.5800000001</v>
      </c>
      <c r="O231" s="25"/>
      <c r="P231" s="25"/>
    </row>
    <row r="232" spans="1:16" ht="25.5">
      <c r="A232" s="542">
        <f>A230+1</f>
        <v>22</v>
      </c>
      <c r="B232" s="543" t="s">
        <v>588</v>
      </c>
      <c r="C232" s="539">
        <f>'часть 1'!H1393</f>
        <v>637.1</v>
      </c>
      <c r="D232" s="540">
        <f>'часть 1'!K1393</f>
        <v>24</v>
      </c>
      <c r="E232" s="533">
        <v>0</v>
      </c>
      <c r="F232" s="533">
        <v>0</v>
      </c>
      <c r="G232" s="533">
        <v>0</v>
      </c>
      <c r="H232" s="533">
        <v>1</v>
      </c>
      <c r="I232" s="533">
        <f t="shared" si="76"/>
        <v>1</v>
      </c>
      <c r="J232" s="541">
        <v>0</v>
      </c>
      <c r="K232" s="541">
        <v>0</v>
      </c>
      <c r="L232" s="541">
        <v>0</v>
      </c>
      <c r="M232" s="541">
        <v>1551685</v>
      </c>
      <c r="N232" s="541">
        <f t="shared" ref="N232" si="91">M232</f>
        <v>1551685</v>
      </c>
      <c r="P232" s="25"/>
    </row>
    <row r="233" spans="1:16" ht="25.5">
      <c r="A233" s="236">
        <f>A232+1</f>
        <v>23</v>
      </c>
      <c r="B233" s="253" t="s">
        <v>188</v>
      </c>
      <c r="C233" s="249">
        <f>'часть 1'!H524</f>
        <v>23801.1</v>
      </c>
      <c r="D233" s="250">
        <f>'часть 1'!K524</f>
        <v>702</v>
      </c>
      <c r="E233" s="252">
        <v>0</v>
      </c>
      <c r="F233" s="252">
        <v>0</v>
      </c>
      <c r="G233" s="252">
        <v>0</v>
      </c>
      <c r="H233" s="252">
        <v>0</v>
      </c>
      <c r="I233" s="252">
        <f t="shared" si="76"/>
        <v>0</v>
      </c>
      <c r="J233" s="251">
        <v>0</v>
      </c>
      <c r="K233" s="251">
        <v>0</v>
      </c>
      <c r="L233" s="251">
        <f>'часть 1'!L524</f>
        <v>2447351.64</v>
      </c>
      <c r="M233" s="251">
        <v>0</v>
      </c>
      <c r="N233" s="251">
        <f>L233</f>
        <v>2447351.64</v>
      </c>
      <c r="P233" s="25"/>
    </row>
    <row r="234" spans="1:16" ht="25.5">
      <c r="A234" s="236">
        <f>A233+1</f>
        <v>24</v>
      </c>
      <c r="B234" s="253" t="s">
        <v>189</v>
      </c>
      <c r="C234" s="249">
        <f>'часть 1'!H527</f>
        <v>5460.1</v>
      </c>
      <c r="D234" s="250">
        <f>'часть 1'!K527</f>
        <v>132</v>
      </c>
      <c r="E234" s="252">
        <v>0</v>
      </c>
      <c r="F234" s="252">
        <v>0</v>
      </c>
      <c r="G234" s="252">
        <v>0</v>
      </c>
      <c r="H234" s="252">
        <v>1</v>
      </c>
      <c r="I234" s="252">
        <f t="shared" si="76"/>
        <v>1</v>
      </c>
      <c r="J234" s="251">
        <v>0</v>
      </c>
      <c r="K234" s="251">
        <v>0</v>
      </c>
      <c r="L234" s="251">
        <v>0</v>
      </c>
      <c r="M234" s="251">
        <f>'часть 1'!L527</f>
        <v>489343.64</v>
      </c>
      <c r="N234" s="251">
        <f>M234</f>
        <v>489343.64</v>
      </c>
      <c r="P234" s="25"/>
    </row>
    <row r="235" spans="1:16" ht="25.5">
      <c r="A235" s="236">
        <f>A234+1</f>
        <v>25</v>
      </c>
      <c r="B235" s="253" t="s">
        <v>589</v>
      </c>
      <c r="C235" s="249">
        <f>'часть 1'!H1401</f>
        <v>2818.6</v>
      </c>
      <c r="D235" s="250">
        <f>'часть 1'!K1401</f>
        <v>156</v>
      </c>
      <c r="E235" s="252">
        <v>0</v>
      </c>
      <c r="F235" s="252">
        <v>0</v>
      </c>
      <c r="G235" s="252">
        <v>1</v>
      </c>
      <c r="H235" s="252">
        <v>0</v>
      </c>
      <c r="I235" s="252">
        <f>H235+G235</f>
        <v>1</v>
      </c>
      <c r="J235" s="251">
        <v>0</v>
      </c>
      <c r="K235" s="251">
        <v>0</v>
      </c>
      <c r="L235" s="251">
        <v>2802982.3</v>
      </c>
      <c r="M235" s="251">
        <v>0</v>
      </c>
      <c r="N235" s="251">
        <v>2802982.3</v>
      </c>
      <c r="P235" s="25"/>
    </row>
    <row r="236" spans="1:16" ht="12.6" customHeight="1">
      <c r="A236" s="236"/>
      <c r="B236" s="255" t="s">
        <v>50</v>
      </c>
      <c r="C236" s="249">
        <f>C237</f>
        <v>7969.19</v>
      </c>
      <c r="D236" s="250">
        <f t="shared" ref="D236:N236" si="92">D237</f>
        <v>301</v>
      </c>
      <c r="E236" s="252">
        <f t="shared" si="92"/>
        <v>0</v>
      </c>
      <c r="F236" s="252">
        <f t="shared" si="92"/>
        <v>0</v>
      </c>
      <c r="G236" s="252">
        <f t="shared" si="92"/>
        <v>0</v>
      </c>
      <c r="H236" s="252">
        <f t="shared" si="92"/>
        <v>9</v>
      </c>
      <c r="I236" s="252">
        <f t="shared" si="76"/>
        <v>9</v>
      </c>
      <c r="J236" s="251">
        <f t="shared" si="92"/>
        <v>0</v>
      </c>
      <c r="K236" s="251">
        <f t="shared" si="92"/>
        <v>0</v>
      </c>
      <c r="L236" s="251">
        <f t="shared" si="92"/>
        <v>0</v>
      </c>
      <c r="M236" s="251">
        <f t="shared" si="92"/>
        <v>13218958</v>
      </c>
      <c r="N236" s="251">
        <f t="shared" si="92"/>
        <v>13218958</v>
      </c>
      <c r="O236" s="25"/>
      <c r="P236" s="25"/>
    </row>
    <row r="237" spans="1:16" ht="25.5">
      <c r="A237" s="236">
        <f>A235+1</f>
        <v>26</v>
      </c>
      <c r="B237" s="253" t="s">
        <v>106</v>
      </c>
      <c r="C237" s="249">
        <f>'часть 1'!H1404</f>
        <v>7969.19</v>
      </c>
      <c r="D237" s="250">
        <f>'часть 1'!K1404</f>
        <v>301</v>
      </c>
      <c r="E237" s="252">
        <v>0</v>
      </c>
      <c r="F237" s="252">
        <v>0</v>
      </c>
      <c r="G237" s="252">
        <v>0</v>
      </c>
      <c r="H237" s="252">
        <v>9</v>
      </c>
      <c r="I237" s="252">
        <f t="shared" si="76"/>
        <v>9</v>
      </c>
      <c r="J237" s="251">
        <v>0</v>
      </c>
      <c r="K237" s="251">
        <v>0</v>
      </c>
      <c r="L237" s="251">
        <v>0</v>
      </c>
      <c r="M237" s="251">
        <f>'часть 1'!L1404</f>
        <v>13218958</v>
      </c>
      <c r="N237" s="251">
        <f>M237</f>
        <v>13218958</v>
      </c>
      <c r="P237" s="25"/>
    </row>
    <row r="238" spans="1:16">
      <c r="A238" s="236"/>
      <c r="B238" s="255" t="s">
        <v>51</v>
      </c>
      <c r="C238" s="249">
        <f>C239</f>
        <v>8727.8000000000011</v>
      </c>
      <c r="D238" s="250">
        <f t="shared" ref="D238:N238" si="93">D239</f>
        <v>328</v>
      </c>
      <c r="E238" s="252">
        <f t="shared" si="93"/>
        <v>0</v>
      </c>
      <c r="F238" s="252">
        <f t="shared" si="93"/>
        <v>0</v>
      </c>
      <c r="G238" s="252">
        <f t="shared" si="93"/>
        <v>0</v>
      </c>
      <c r="H238" s="252">
        <f t="shared" si="93"/>
        <v>7</v>
      </c>
      <c r="I238" s="252">
        <f t="shared" si="76"/>
        <v>7</v>
      </c>
      <c r="J238" s="251">
        <f t="shared" si="93"/>
        <v>0</v>
      </c>
      <c r="K238" s="251">
        <f t="shared" si="93"/>
        <v>0</v>
      </c>
      <c r="L238" s="251">
        <f t="shared" si="93"/>
        <v>0</v>
      </c>
      <c r="M238" s="251">
        <f t="shared" si="93"/>
        <v>10822736</v>
      </c>
      <c r="N238" s="251">
        <f t="shared" si="93"/>
        <v>10822736</v>
      </c>
      <c r="O238" s="25"/>
      <c r="P238" s="25"/>
    </row>
    <row r="239" spans="1:16" ht="25.5">
      <c r="A239" s="236">
        <f>A237+1</f>
        <v>27</v>
      </c>
      <c r="B239" s="253" t="s">
        <v>108</v>
      </c>
      <c r="C239" s="249">
        <f>'часть 1'!H1415</f>
        <v>8727.8000000000011</v>
      </c>
      <c r="D239" s="250">
        <f>'часть 1'!K1415</f>
        <v>328</v>
      </c>
      <c r="E239" s="252">
        <v>0</v>
      </c>
      <c r="F239" s="252">
        <v>0</v>
      </c>
      <c r="G239" s="252">
        <v>0</v>
      </c>
      <c r="H239" s="252">
        <v>7</v>
      </c>
      <c r="I239" s="252">
        <f t="shared" si="76"/>
        <v>7</v>
      </c>
      <c r="J239" s="251">
        <v>0</v>
      </c>
      <c r="K239" s="251">
        <v>0</v>
      </c>
      <c r="L239" s="251">
        <v>0</v>
      </c>
      <c r="M239" s="251">
        <f>'часть 1'!L1415</f>
        <v>10822736</v>
      </c>
      <c r="N239" s="251">
        <f>M239</f>
        <v>10822736</v>
      </c>
      <c r="P239" s="25"/>
    </row>
    <row r="240" spans="1:16" ht="25.5">
      <c r="A240" s="542"/>
      <c r="B240" s="543" t="s">
        <v>882</v>
      </c>
      <c r="C240" s="539">
        <f>'часть 1'!H1423</f>
        <v>1097.9000000000001</v>
      </c>
      <c r="D240" s="540">
        <f>'часть 1'!K1423</f>
        <v>43</v>
      </c>
      <c r="E240" s="533">
        <v>0</v>
      </c>
      <c r="F240" s="533">
        <v>0</v>
      </c>
      <c r="G240" s="533">
        <v>1</v>
      </c>
      <c r="H240" s="533">
        <v>1</v>
      </c>
      <c r="I240" s="533">
        <v>2</v>
      </c>
      <c r="J240" s="541">
        <v>0</v>
      </c>
      <c r="K240" s="541">
        <v>0</v>
      </c>
      <c r="L240" s="541">
        <v>1625233</v>
      </c>
      <c r="M240" s="541">
        <v>292645</v>
      </c>
      <c r="N240" s="541">
        <f>M240+L240+K240+J240</f>
        <v>1917878</v>
      </c>
      <c r="P240" s="25"/>
    </row>
    <row r="241" spans="1:16">
      <c r="A241" s="236"/>
      <c r="B241" s="255" t="s">
        <v>52</v>
      </c>
      <c r="C241" s="249">
        <f>C243+C242+C244</f>
        <v>2049.2000000000003</v>
      </c>
      <c r="D241" s="250">
        <f>D243+D242+D244</f>
        <v>62</v>
      </c>
      <c r="E241" s="252">
        <f>E243+E242</f>
        <v>0</v>
      </c>
      <c r="F241" s="252">
        <f t="shared" ref="F241:G241" si="94">F243+F242</f>
        <v>0</v>
      </c>
      <c r="G241" s="252">
        <f t="shared" si="94"/>
        <v>1</v>
      </c>
      <c r="H241" s="252">
        <f>H243+H242+H244</f>
        <v>2</v>
      </c>
      <c r="I241" s="252">
        <f t="shared" si="76"/>
        <v>3</v>
      </c>
      <c r="J241" s="251">
        <f t="shared" ref="J241:L241" si="95">J243</f>
        <v>0</v>
      </c>
      <c r="K241" s="251">
        <f t="shared" si="95"/>
        <v>0</v>
      </c>
      <c r="L241" s="251">
        <f t="shared" si="95"/>
        <v>0</v>
      </c>
      <c r="M241" s="251">
        <f>M243+M242+M244</f>
        <v>282612</v>
      </c>
      <c r="N241" s="251">
        <f>M241</f>
        <v>282612</v>
      </c>
      <c r="O241" s="25"/>
      <c r="P241" s="25"/>
    </row>
    <row r="242" spans="1:16" ht="25.5">
      <c r="A242" s="542">
        <f>A239+1</f>
        <v>28</v>
      </c>
      <c r="B242" s="543" t="s">
        <v>130</v>
      </c>
      <c r="C242" s="539">
        <v>747.7</v>
      </c>
      <c r="D242" s="540">
        <v>18</v>
      </c>
      <c r="E242" s="533">
        <v>0</v>
      </c>
      <c r="F242" s="533">
        <v>0</v>
      </c>
      <c r="G242" s="533">
        <v>1</v>
      </c>
      <c r="H242" s="533">
        <v>0</v>
      </c>
      <c r="I242" s="533">
        <f t="shared" si="76"/>
        <v>1</v>
      </c>
      <c r="J242" s="541">
        <v>0</v>
      </c>
      <c r="K242" s="541">
        <v>0</v>
      </c>
      <c r="L242" s="541">
        <v>2385226</v>
      </c>
      <c r="M242" s="541">
        <v>0</v>
      </c>
      <c r="N242" s="541">
        <f>M242+L242+K242+J242</f>
        <v>2385226</v>
      </c>
      <c r="O242" s="25"/>
      <c r="P242" s="25"/>
    </row>
    <row r="243" spans="1:16" ht="25.5">
      <c r="A243" s="236">
        <f>A242+1</f>
        <v>29</v>
      </c>
      <c r="B243" s="253" t="s">
        <v>109</v>
      </c>
      <c r="C243" s="249">
        <f>'часть 1'!H564</f>
        <v>778.6</v>
      </c>
      <c r="D243" s="250">
        <f>'часть 1'!K564</f>
        <v>28</v>
      </c>
      <c r="E243" s="252">
        <v>0</v>
      </c>
      <c r="F243" s="252">
        <v>0</v>
      </c>
      <c r="G243" s="252">
        <v>0</v>
      </c>
      <c r="H243" s="252">
        <v>1</v>
      </c>
      <c r="I243" s="252">
        <f t="shared" si="76"/>
        <v>1</v>
      </c>
      <c r="J243" s="251">
        <v>0</v>
      </c>
      <c r="K243" s="251">
        <v>0</v>
      </c>
      <c r="L243" s="251">
        <v>0</v>
      </c>
      <c r="M243" s="251">
        <v>201010</v>
      </c>
      <c r="N243" s="251">
        <f>M243</f>
        <v>201010</v>
      </c>
      <c r="P243" s="25"/>
    </row>
    <row r="244" spans="1:16" ht="25.5">
      <c r="A244" s="236">
        <f>A243+1</f>
        <v>30</v>
      </c>
      <c r="B244" s="253" t="s">
        <v>198</v>
      </c>
      <c r="C244" s="249">
        <f>'часть 1'!H566</f>
        <v>522.9</v>
      </c>
      <c r="D244" s="250">
        <f>'часть 1'!K566</f>
        <v>16</v>
      </c>
      <c r="E244" s="252">
        <v>0</v>
      </c>
      <c r="F244" s="252">
        <v>0</v>
      </c>
      <c r="G244" s="252">
        <v>0</v>
      </c>
      <c r="H244" s="252">
        <v>1</v>
      </c>
      <c r="I244" s="252">
        <f t="shared" si="76"/>
        <v>1</v>
      </c>
      <c r="J244" s="251">
        <v>0</v>
      </c>
      <c r="K244" s="251">
        <v>0</v>
      </c>
      <c r="L244" s="251">
        <v>0</v>
      </c>
      <c r="M244" s="251">
        <f>'часть 1'!L566</f>
        <v>81602</v>
      </c>
      <c r="N244" s="251">
        <f>M244</f>
        <v>81602</v>
      </c>
      <c r="P244" s="25"/>
    </row>
    <row r="245" spans="1:16">
      <c r="A245" s="236"/>
      <c r="B245" s="255" t="s">
        <v>53</v>
      </c>
      <c r="C245" s="249">
        <f>'часть 1'!H568+'часть 1'!H681</f>
        <v>772.5</v>
      </c>
      <c r="D245" s="250">
        <f>'часть 1'!K568+'часть 1'!K681</f>
        <v>19</v>
      </c>
      <c r="E245" s="252">
        <f t="shared" ref="E245:G245" si="96">E248+E250+E251+E246</f>
        <v>0</v>
      </c>
      <c r="F245" s="252">
        <f t="shared" si="96"/>
        <v>0</v>
      </c>
      <c r="G245" s="252">
        <f t="shared" si="96"/>
        <v>0</v>
      </c>
      <c r="H245" s="252">
        <f>H248+H250+H249+H251+H246+H247+H252</f>
        <v>18</v>
      </c>
      <c r="I245" s="252">
        <f t="shared" si="76"/>
        <v>18</v>
      </c>
      <c r="J245" s="251">
        <f t="shared" ref="J245:L245" si="97">J248+J250+J251+J246</f>
        <v>0</v>
      </c>
      <c r="K245" s="251">
        <f t="shared" si="97"/>
        <v>0</v>
      </c>
      <c r="L245" s="251">
        <f t="shared" si="97"/>
        <v>0</v>
      </c>
      <c r="M245" s="251" t="e">
        <f>M248+M250+M249+M251+M246+M247+M252</f>
        <v>#REF!</v>
      </c>
      <c r="N245" s="251" t="e">
        <f t="shared" ref="N245:N246" si="98">M245</f>
        <v>#REF!</v>
      </c>
      <c r="O245" s="25"/>
      <c r="P245" s="25"/>
    </row>
    <row r="246" spans="1:16" ht="26.25" customHeight="1">
      <c r="A246" s="542">
        <f>A244+1</f>
        <v>31</v>
      </c>
      <c r="B246" s="543" t="s">
        <v>88</v>
      </c>
      <c r="C246" s="539">
        <f>'часть 1'!H1435</f>
        <v>56547.399999999987</v>
      </c>
      <c r="D246" s="540">
        <f>'часть 1'!K1435</f>
        <v>1705</v>
      </c>
      <c r="E246" s="533">
        <v>0</v>
      </c>
      <c r="F246" s="533">
        <v>0</v>
      </c>
      <c r="G246" s="533">
        <v>0</v>
      </c>
      <c r="H246" s="533">
        <v>11</v>
      </c>
      <c r="I246" s="533">
        <f t="shared" si="76"/>
        <v>11</v>
      </c>
      <c r="J246" s="541">
        <v>0</v>
      </c>
      <c r="K246" s="541">
        <v>0</v>
      </c>
      <c r="L246" s="541">
        <v>0</v>
      </c>
      <c r="M246" s="541">
        <f>'часть 1'!L1435</f>
        <v>29036828</v>
      </c>
      <c r="N246" s="541">
        <f t="shared" si="98"/>
        <v>29036828</v>
      </c>
      <c r="P246" s="25"/>
    </row>
    <row r="247" spans="1:16" ht="26.25" customHeight="1">
      <c r="A247" s="542">
        <f t="shared" ref="A247:A252" si="99">A246+1</f>
        <v>32</v>
      </c>
      <c r="B247" s="543" t="s">
        <v>132</v>
      </c>
      <c r="C247" s="539">
        <f>'часть 1'!H1447</f>
        <v>834</v>
      </c>
      <c r="D247" s="540">
        <f>'часть 1'!K1447</f>
        <v>47</v>
      </c>
      <c r="E247" s="533">
        <v>0</v>
      </c>
      <c r="F247" s="533">
        <v>0</v>
      </c>
      <c r="G247" s="533">
        <v>0</v>
      </c>
      <c r="H247" s="533">
        <v>1</v>
      </c>
      <c r="I247" s="533">
        <f t="shared" si="76"/>
        <v>1</v>
      </c>
      <c r="J247" s="541">
        <v>0</v>
      </c>
      <c r="K247" s="541">
        <v>0</v>
      </c>
      <c r="L247" s="541">
        <v>0</v>
      </c>
      <c r="M247" s="541">
        <f>'часть 1'!L1447</f>
        <v>1854126</v>
      </c>
      <c r="N247" s="541">
        <f>M247</f>
        <v>1854126</v>
      </c>
      <c r="P247" s="25"/>
    </row>
    <row r="248" spans="1:16" ht="26.25" customHeight="1">
      <c r="A248" s="542">
        <f t="shared" si="99"/>
        <v>33</v>
      </c>
      <c r="B248" s="543" t="s">
        <v>110</v>
      </c>
      <c r="C248" s="539">
        <f>'часть 1'!H1450</f>
        <v>1394.2</v>
      </c>
      <c r="D248" s="540">
        <f>'часть 1'!K1450</f>
        <v>60</v>
      </c>
      <c r="E248" s="533">
        <v>0</v>
      </c>
      <c r="F248" s="533">
        <v>0</v>
      </c>
      <c r="G248" s="533">
        <v>0</v>
      </c>
      <c r="H248" s="533">
        <v>1</v>
      </c>
      <c r="I248" s="533">
        <f t="shared" si="76"/>
        <v>1</v>
      </c>
      <c r="J248" s="541">
        <v>0</v>
      </c>
      <c r="K248" s="541">
        <v>0</v>
      </c>
      <c r="L248" s="541">
        <v>0</v>
      </c>
      <c r="M248" s="541">
        <v>2569441</v>
      </c>
      <c r="N248" s="541">
        <f t="shared" ref="N248:N252" si="100">M248</f>
        <v>2569441</v>
      </c>
      <c r="P248" s="25"/>
    </row>
    <row r="249" spans="1:16" ht="26.25" customHeight="1">
      <c r="A249" s="542">
        <f t="shared" si="99"/>
        <v>34</v>
      </c>
      <c r="B249" s="543" t="s">
        <v>128</v>
      </c>
      <c r="C249" s="539">
        <f>'часть 1'!H1451</f>
        <v>12875.8</v>
      </c>
      <c r="D249" s="540">
        <f>'часть 1'!K1451</f>
        <v>521</v>
      </c>
      <c r="E249" s="533">
        <v>0</v>
      </c>
      <c r="F249" s="533">
        <v>0</v>
      </c>
      <c r="G249" s="533">
        <v>0</v>
      </c>
      <c r="H249" s="533">
        <v>3</v>
      </c>
      <c r="I249" s="533">
        <f t="shared" si="76"/>
        <v>3</v>
      </c>
      <c r="J249" s="541">
        <v>0</v>
      </c>
      <c r="K249" s="541">
        <v>0</v>
      </c>
      <c r="L249" s="541">
        <v>0</v>
      </c>
      <c r="M249" s="541">
        <f>'часть 1'!L1451</f>
        <v>9681670</v>
      </c>
      <c r="N249" s="541">
        <f t="shared" si="100"/>
        <v>9681670</v>
      </c>
      <c r="P249" s="25"/>
    </row>
    <row r="250" spans="1:16" ht="25.5">
      <c r="A250" s="236">
        <f t="shared" si="99"/>
        <v>35</v>
      </c>
      <c r="B250" s="253" t="s">
        <v>994</v>
      </c>
      <c r="C250" s="249">
        <f>'часть 1'!H1458</f>
        <v>0</v>
      </c>
      <c r="D250" s="250">
        <v>0</v>
      </c>
      <c r="E250" s="252">
        <v>0</v>
      </c>
      <c r="F250" s="252">
        <v>0</v>
      </c>
      <c r="G250" s="252">
        <v>0</v>
      </c>
      <c r="H250" s="252">
        <v>0</v>
      </c>
      <c r="I250" s="252">
        <f t="shared" si="76"/>
        <v>0</v>
      </c>
      <c r="J250" s="251">
        <v>0</v>
      </c>
      <c r="K250" s="251">
        <v>0</v>
      </c>
      <c r="L250" s="251">
        <v>0</v>
      </c>
      <c r="M250" s="251">
        <v>0</v>
      </c>
      <c r="N250" s="251">
        <f t="shared" si="100"/>
        <v>0</v>
      </c>
      <c r="P250" s="25"/>
    </row>
    <row r="251" spans="1:16" ht="27.75" customHeight="1">
      <c r="A251" s="236">
        <f t="shared" si="99"/>
        <v>36</v>
      </c>
      <c r="B251" s="253" t="s">
        <v>111</v>
      </c>
      <c r="C251" s="249" t="e">
        <f>'часть 1'!#REF!</f>
        <v>#REF!</v>
      </c>
      <c r="D251" s="250" t="e">
        <f>'часть 1'!#REF!</f>
        <v>#REF!</v>
      </c>
      <c r="E251" s="252">
        <v>0</v>
      </c>
      <c r="F251" s="252">
        <v>0</v>
      </c>
      <c r="G251" s="252">
        <v>0</v>
      </c>
      <c r="H251" s="252">
        <v>1</v>
      </c>
      <c r="I251" s="252">
        <f t="shared" si="76"/>
        <v>1</v>
      </c>
      <c r="J251" s="251">
        <v>0</v>
      </c>
      <c r="K251" s="251">
        <v>0</v>
      </c>
      <c r="L251" s="251">
        <v>0</v>
      </c>
      <c r="M251" s="251" t="e">
        <f>'часть 1'!#REF!</f>
        <v>#REF!</v>
      </c>
      <c r="N251" s="251" t="e">
        <f t="shared" si="100"/>
        <v>#REF!</v>
      </c>
      <c r="P251" s="25"/>
    </row>
    <row r="252" spans="1:16" ht="27.75" customHeight="1">
      <c r="A252" s="542">
        <f t="shared" si="99"/>
        <v>37</v>
      </c>
      <c r="B252" s="543" t="s">
        <v>129</v>
      </c>
      <c r="C252" s="539">
        <f>'часть 1'!H1461</f>
        <v>1039.2</v>
      </c>
      <c r="D252" s="540">
        <f>'часть 1'!K1461</f>
        <v>48</v>
      </c>
      <c r="E252" s="533">
        <v>0</v>
      </c>
      <c r="F252" s="533">
        <v>0</v>
      </c>
      <c r="G252" s="533">
        <v>0</v>
      </c>
      <c r="H252" s="533">
        <v>1</v>
      </c>
      <c r="I252" s="533">
        <f t="shared" si="76"/>
        <v>1</v>
      </c>
      <c r="J252" s="541">
        <v>0</v>
      </c>
      <c r="K252" s="541">
        <v>0</v>
      </c>
      <c r="L252" s="541">
        <v>0</v>
      </c>
      <c r="M252" s="541">
        <f>'часть 1'!L1461</f>
        <v>1586995</v>
      </c>
      <c r="N252" s="541">
        <f t="shared" si="100"/>
        <v>1586995</v>
      </c>
      <c r="P252" s="25"/>
    </row>
    <row r="253" spans="1:16">
      <c r="A253" s="236"/>
      <c r="B253" s="255" t="s">
        <v>54</v>
      </c>
      <c r="C253" s="249">
        <f>C254</f>
        <v>0</v>
      </c>
      <c r="D253" s="250">
        <f t="shared" ref="D253:N253" si="101">D254</f>
        <v>0</v>
      </c>
      <c r="E253" s="252">
        <f t="shared" si="101"/>
        <v>0</v>
      </c>
      <c r="F253" s="252">
        <f t="shared" si="101"/>
        <v>0</v>
      </c>
      <c r="G253" s="252">
        <f t="shared" si="101"/>
        <v>0</v>
      </c>
      <c r="H253" s="252" t="e">
        <f t="shared" si="101"/>
        <v>#REF!</v>
      </c>
      <c r="I253" s="252" t="e">
        <f t="shared" si="76"/>
        <v>#REF!</v>
      </c>
      <c r="J253" s="251">
        <f t="shared" si="101"/>
        <v>0</v>
      </c>
      <c r="K253" s="251">
        <f t="shared" si="101"/>
        <v>0</v>
      </c>
      <c r="L253" s="251">
        <f t="shared" si="101"/>
        <v>0</v>
      </c>
      <c r="M253" s="251">
        <f t="shared" si="101"/>
        <v>336230870.63</v>
      </c>
      <c r="N253" s="251">
        <f t="shared" si="101"/>
        <v>336230870.63</v>
      </c>
      <c r="O253" s="25"/>
      <c r="P253" s="25"/>
    </row>
    <row r="254" spans="1:16" ht="25.5">
      <c r="A254" s="236">
        <f>A252+1</f>
        <v>38</v>
      </c>
      <c r="B254" s="253" t="s">
        <v>112</v>
      </c>
      <c r="C254" s="249">
        <f>'часть 1'!H584</f>
        <v>0</v>
      </c>
      <c r="D254" s="250">
        <f>'часть 1'!K584</f>
        <v>0</v>
      </c>
      <c r="E254" s="252">
        <v>0</v>
      </c>
      <c r="F254" s="252">
        <v>0</v>
      </c>
      <c r="G254" s="252">
        <v>0</v>
      </c>
      <c r="H254" s="252" t="e">
        <f>'часть 2'!#REF!</f>
        <v>#REF!</v>
      </c>
      <c r="I254" s="252" t="e">
        <f t="shared" si="76"/>
        <v>#REF!</v>
      </c>
      <c r="J254" s="251">
        <v>0</v>
      </c>
      <c r="K254" s="251">
        <v>0</v>
      </c>
      <c r="L254" s="251">
        <v>0</v>
      </c>
      <c r="M254" s="251">
        <f>'часть 1'!L584</f>
        <v>336230870.63</v>
      </c>
      <c r="N254" s="251">
        <f>M254</f>
        <v>336230870.63</v>
      </c>
      <c r="P254" s="25"/>
    </row>
    <row r="255" spans="1:16">
      <c r="A255" s="236"/>
      <c r="B255" s="255" t="s">
        <v>55</v>
      </c>
      <c r="C255" s="249">
        <f>C256</f>
        <v>988.7</v>
      </c>
      <c r="D255" s="249">
        <f t="shared" ref="D255:N255" si="102">D256</f>
        <v>17</v>
      </c>
      <c r="E255" s="249">
        <f t="shared" si="102"/>
        <v>0</v>
      </c>
      <c r="F255" s="249">
        <f t="shared" si="102"/>
        <v>0</v>
      </c>
      <c r="G255" s="249">
        <f t="shared" si="102"/>
        <v>1</v>
      </c>
      <c r="H255" s="249">
        <f t="shared" si="102"/>
        <v>0</v>
      </c>
      <c r="I255" s="249">
        <f t="shared" si="102"/>
        <v>1</v>
      </c>
      <c r="J255" s="251">
        <f t="shared" si="102"/>
        <v>0</v>
      </c>
      <c r="K255" s="251">
        <f t="shared" si="102"/>
        <v>0</v>
      </c>
      <c r="L255" s="251">
        <f t="shared" si="102"/>
        <v>2451868</v>
      </c>
      <c r="M255" s="251">
        <f t="shared" si="102"/>
        <v>0</v>
      </c>
      <c r="N255" s="251">
        <f t="shared" si="102"/>
        <v>2451868</v>
      </c>
      <c r="O255" s="25"/>
      <c r="P255" s="25"/>
    </row>
    <row r="256" spans="1:16" ht="25.5">
      <c r="A256" s="542">
        <v>38</v>
      </c>
      <c r="B256" s="543" t="s">
        <v>590</v>
      </c>
      <c r="C256" s="539">
        <v>988.7</v>
      </c>
      <c r="D256" s="540">
        <v>17</v>
      </c>
      <c r="E256" s="533">
        <v>0</v>
      </c>
      <c r="F256" s="533">
        <v>0</v>
      </c>
      <c r="G256" s="533">
        <v>1</v>
      </c>
      <c r="H256" s="533">
        <v>0</v>
      </c>
      <c r="I256" s="533">
        <f t="shared" si="76"/>
        <v>1</v>
      </c>
      <c r="J256" s="541">
        <v>0</v>
      </c>
      <c r="K256" s="541">
        <v>0</v>
      </c>
      <c r="L256" s="541">
        <v>2451868</v>
      </c>
      <c r="M256" s="541">
        <v>0</v>
      </c>
      <c r="N256" s="541">
        <f>M256+L256+K256+J256</f>
        <v>2451868</v>
      </c>
      <c r="P256" s="25"/>
    </row>
    <row r="257" spans="1:16">
      <c r="A257" s="236"/>
      <c r="B257" s="255" t="s">
        <v>56</v>
      </c>
      <c r="C257" s="249">
        <f>'часть 1'!H593</f>
        <v>0</v>
      </c>
      <c r="D257" s="250">
        <f>'часть 1'!K593</f>
        <v>0</v>
      </c>
      <c r="E257" s="252">
        <f t="shared" ref="E257:H257" si="103">E258+E259+E260</f>
        <v>0</v>
      </c>
      <c r="F257" s="252">
        <f t="shared" si="103"/>
        <v>1</v>
      </c>
      <c r="G257" s="252">
        <f t="shared" si="103"/>
        <v>0</v>
      </c>
      <c r="H257" s="252">
        <f t="shared" si="103"/>
        <v>6</v>
      </c>
      <c r="I257" s="252">
        <f t="shared" si="76"/>
        <v>6</v>
      </c>
      <c r="J257" s="251">
        <f t="shared" ref="J257:L257" si="104">J258+J259+J260</f>
        <v>0</v>
      </c>
      <c r="K257" s="251">
        <f t="shared" si="104"/>
        <v>588419</v>
      </c>
      <c r="L257" s="251">
        <f t="shared" si="104"/>
        <v>0</v>
      </c>
      <c r="M257" s="251">
        <f>M258+M259+M260</f>
        <v>11293784</v>
      </c>
      <c r="N257" s="251">
        <f t="shared" ref="N257" si="105">N258+N259+N260</f>
        <v>11882203</v>
      </c>
      <c r="O257" s="25"/>
      <c r="P257" s="25"/>
    </row>
    <row r="258" spans="1:16" ht="25.5">
      <c r="A258" s="542">
        <v>39</v>
      </c>
      <c r="B258" s="543" t="s">
        <v>424</v>
      </c>
      <c r="C258" s="539">
        <f>'часть 1'!H1477</f>
        <v>4232.5</v>
      </c>
      <c r="D258" s="540">
        <f>'часть 1'!K1477</f>
        <v>175</v>
      </c>
      <c r="E258" s="533">
        <v>0</v>
      </c>
      <c r="F258" s="533">
        <v>0</v>
      </c>
      <c r="G258" s="533">
        <v>0</v>
      </c>
      <c r="H258" s="533">
        <v>5</v>
      </c>
      <c r="I258" s="533">
        <f t="shared" si="76"/>
        <v>5</v>
      </c>
      <c r="J258" s="541">
        <v>0</v>
      </c>
      <c r="K258" s="541">
        <v>0</v>
      </c>
      <c r="L258" s="541">
        <v>0</v>
      </c>
      <c r="M258" s="541">
        <f>'часть 1'!L1477</f>
        <v>9225003</v>
      </c>
      <c r="N258" s="541">
        <f>M258</f>
        <v>9225003</v>
      </c>
      <c r="P258" s="25"/>
    </row>
    <row r="259" spans="1:16" ht="25.5">
      <c r="A259" s="236">
        <v>40</v>
      </c>
      <c r="B259" s="253" t="s">
        <v>121</v>
      </c>
      <c r="C259" s="249">
        <f>'часть 1'!H1483</f>
        <v>3954</v>
      </c>
      <c r="D259" s="250">
        <f>'часть 1'!K1483</f>
        <v>93</v>
      </c>
      <c r="E259" s="252">
        <v>0</v>
      </c>
      <c r="F259" s="252">
        <v>0</v>
      </c>
      <c r="G259" s="252">
        <v>0</v>
      </c>
      <c r="H259" s="252">
        <v>1</v>
      </c>
      <c r="I259" s="252">
        <f t="shared" si="76"/>
        <v>1</v>
      </c>
      <c r="J259" s="251">
        <v>0</v>
      </c>
      <c r="K259" s="251">
        <v>0</v>
      </c>
      <c r="L259" s="251">
        <v>0</v>
      </c>
      <c r="M259" s="251">
        <f>'часть 1'!L1483</f>
        <v>2068781</v>
      </c>
      <c r="N259" s="251">
        <f>M259</f>
        <v>2068781</v>
      </c>
      <c r="O259" s="25"/>
      <c r="P259" s="25"/>
    </row>
    <row r="260" spans="1:16" ht="25.5">
      <c r="A260" s="236">
        <v>41</v>
      </c>
      <c r="B260" s="253" t="s">
        <v>807</v>
      </c>
      <c r="C260" s="249">
        <f>'часть 1'!H1485</f>
        <v>654.20000000000005</v>
      </c>
      <c r="D260" s="250">
        <f>'часть 1'!K1485</f>
        <v>36</v>
      </c>
      <c r="E260" s="252">
        <v>0</v>
      </c>
      <c r="F260" s="252">
        <v>1</v>
      </c>
      <c r="G260" s="252">
        <v>0</v>
      </c>
      <c r="H260" s="252">
        <v>0</v>
      </c>
      <c r="I260" s="252">
        <v>1</v>
      </c>
      <c r="J260" s="251">
        <v>0</v>
      </c>
      <c r="K260" s="251">
        <v>588419</v>
      </c>
      <c r="L260" s="251">
        <v>0</v>
      </c>
      <c r="M260" s="251">
        <v>0</v>
      </c>
      <c r="N260" s="251">
        <f>K260</f>
        <v>588419</v>
      </c>
      <c r="O260" s="25"/>
      <c r="P260" s="25"/>
    </row>
    <row r="261" spans="1:16">
      <c r="A261" s="236"/>
      <c r="B261" s="255" t="s">
        <v>57</v>
      </c>
      <c r="C261" s="249">
        <f>C262</f>
        <v>821.12</v>
      </c>
      <c r="D261" s="250">
        <f t="shared" ref="D261:L261" si="106">D262</f>
        <v>21</v>
      </c>
      <c r="E261" s="252">
        <f t="shared" si="106"/>
        <v>0</v>
      </c>
      <c r="F261" s="252">
        <f t="shared" si="106"/>
        <v>0</v>
      </c>
      <c r="G261" s="252">
        <f t="shared" si="106"/>
        <v>0</v>
      </c>
      <c r="H261" s="252">
        <f t="shared" si="106"/>
        <v>1</v>
      </c>
      <c r="I261" s="252">
        <f t="shared" si="76"/>
        <v>1</v>
      </c>
      <c r="J261" s="251">
        <f t="shared" si="106"/>
        <v>0</v>
      </c>
      <c r="K261" s="251">
        <f t="shared" si="106"/>
        <v>0</v>
      </c>
      <c r="L261" s="251">
        <f t="shared" si="106"/>
        <v>0</v>
      </c>
      <c r="M261" s="251">
        <f>M262</f>
        <v>1788296</v>
      </c>
      <c r="N261" s="251">
        <f>N262</f>
        <v>1788296</v>
      </c>
      <c r="P261" s="25"/>
    </row>
    <row r="262" spans="1:16" ht="25.5">
      <c r="A262" s="236">
        <v>42</v>
      </c>
      <c r="B262" s="253" t="s">
        <v>119</v>
      </c>
      <c r="C262" s="249">
        <f>'часть 1'!H1488</f>
        <v>821.12</v>
      </c>
      <c r="D262" s="250">
        <f>'часть 1'!K1488</f>
        <v>21</v>
      </c>
      <c r="E262" s="252">
        <v>0</v>
      </c>
      <c r="F262" s="252">
        <v>0</v>
      </c>
      <c r="G262" s="252">
        <v>0</v>
      </c>
      <c r="H262" s="252">
        <v>1</v>
      </c>
      <c r="I262" s="252">
        <f t="shared" si="76"/>
        <v>1</v>
      </c>
      <c r="J262" s="251">
        <v>0</v>
      </c>
      <c r="K262" s="251">
        <v>0</v>
      </c>
      <c r="L262" s="251">
        <v>0</v>
      </c>
      <c r="M262" s="251">
        <f>'часть 1'!L1488</f>
        <v>1788296</v>
      </c>
      <c r="N262" s="251">
        <f>M262</f>
        <v>1788296</v>
      </c>
      <c r="P262" s="25"/>
    </row>
    <row r="263" spans="1:16">
      <c r="A263" s="236"/>
      <c r="B263" s="255" t="s">
        <v>58</v>
      </c>
      <c r="C263" s="249">
        <f>C264</f>
        <v>0</v>
      </c>
      <c r="D263" s="250">
        <f>'часть 1'!K613+'часть 1'!K690</f>
        <v>0</v>
      </c>
      <c r="E263" s="252">
        <f t="shared" ref="E263:N263" si="107">E264</f>
        <v>0</v>
      </c>
      <c r="F263" s="252">
        <f t="shared" si="107"/>
        <v>0</v>
      </c>
      <c r="G263" s="252">
        <f t="shared" si="107"/>
        <v>0</v>
      </c>
      <c r="H263" s="252" t="e">
        <f t="shared" si="107"/>
        <v>#REF!</v>
      </c>
      <c r="I263" s="252" t="e">
        <f t="shared" si="76"/>
        <v>#REF!</v>
      </c>
      <c r="J263" s="251">
        <f t="shared" si="107"/>
        <v>0</v>
      </c>
      <c r="K263" s="251">
        <f t="shared" si="107"/>
        <v>0</v>
      </c>
      <c r="L263" s="251">
        <f t="shared" si="107"/>
        <v>0</v>
      </c>
      <c r="M263" s="251">
        <f t="shared" si="107"/>
        <v>869880</v>
      </c>
      <c r="N263" s="251">
        <f t="shared" si="107"/>
        <v>869880</v>
      </c>
      <c r="P263" s="25"/>
    </row>
    <row r="264" spans="1:16" ht="27.75" customHeight="1">
      <c r="A264" s="236">
        <v>43</v>
      </c>
      <c r="B264" s="253" t="s">
        <v>87</v>
      </c>
      <c r="C264" s="249">
        <f>'часть 1'!H613+'часть 1'!H691</f>
        <v>0</v>
      </c>
      <c r="D264" s="250">
        <f>'часть 1'!K691+'часть 1'!K614</f>
        <v>0</v>
      </c>
      <c r="E264" s="252">
        <v>0</v>
      </c>
      <c r="F264" s="252">
        <v>0</v>
      </c>
      <c r="G264" s="252">
        <v>0</v>
      </c>
      <c r="H264" s="252" t="e">
        <f>'часть 2'!#REF!</f>
        <v>#REF!</v>
      </c>
      <c r="I264" s="252" t="e">
        <f t="shared" si="76"/>
        <v>#REF!</v>
      </c>
      <c r="J264" s="251">
        <v>0</v>
      </c>
      <c r="K264" s="251">
        <v>0</v>
      </c>
      <c r="L264" s="251">
        <v>0</v>
      </c>
      <c r="M264" s="251">
        <f>'часть 2'!C608</f>
        <v>869880</v>
      </c>
      <c r="N264" s="251">
        <f>M264</f>
        <v>869880</v>
      </c>
      <c r="P264" s="25"/>
    </row>
    <row r="265" spans="1:16" ht="25.15" customHeight="1">
      <c r="A265" s="542"/>
      <c r="B265" s="547" t="s">
        <v>59</v>
      </c>
      <c r="C265" s="539">
        <f>C266+C267</f>
        <v>0</v>
      </c>
      <c r="D265" s="539">
        <f t="shared" ref="D265:N265" si="108">D266+D267</f>
        <v>0</v>
      </c>
      <c r="E265" s="539">
        <f t="shared" si="108"/>
        <v>0</v>
      </c>
      <c r="F265" s="539">
        <f t="shared" si="108"/>
        <v>0</v>
      </c>
      <c r="G265" s="539">
        <f t="shared" si="108"/>
        <v>0</v>
      </c>
      <c r="H265" s="539">
        <f t="shared" si="108"/>
        <v>0</v>
      </c>
      <c r="I265" s="539">
        <f t="shared" si="108"/>
        <v>0</v>
      </c>
      <c r="J265" s="541">
        <f t="shared" si="108"/>
        <v>0</v>
      </c>
      <c r="K265" s="541">
        <f t="shared" si="108"/>
        <v>0</v>
      </c>
      <c r="L265" s="541">
        <f t="shared" si="108"/>
        <v>0</v>
      </c>
      <c r="M265" s="541">
        <f t="shared" si="108"/>
        <v>0</v>
      </c>
      <c r="N265" s="541">
        <f t="shared" si="108"/>
        <v>0</v>
      </c>
      <c r="P265" s="25"/>
    </row>
    <row r="266" spans="1:16" ht="25.5">
      <c r="A266" s="542">
        <v>44</v>
      </c>
      <c r="B266" s="543" t="s">
        <v>86</v>
      </c>
      <c r="C266" s="539">
        <v>0</v>
      </c>
      <c r="D266" s="540">
        <v>0</v>
      </c>
      <c r="E266" s="533">
        <v>0</v>
      </c>
      <c r="F266" s="533">
        <v>0</v>
      </c>
      <c r="G266" s="533">
        <v>0</v>
      </c>
      <c r="H266" s="533">
        <v>0</v>
      </c>
      <c r="I266" s="533">
        <v>0</v>
      </c>
      <c r="J266" s="541">
        <v>0</v>
      </c>
      <c r="K266" s="541">
        <v>0</v>
      </c>
      <c r="L266" s="541">
        <v>0</v>
      </c>
      <c r="M266" s="541">
        <v>0</v>
      </c>
      <c r="N266" s="541">
        <f>M266</f>
        <v>0</v>
      </c>
      <c r="P266" s="25"/>
    </row>
    <row r="267" spans="1:16" ht="25.5">
      <c r="A267" s="542">
        <v>45</v>
      </c>
      <c r="B267" s="543" t="s">
        <v>85</v>
      </c>
      <c r="C267" s="539">
        <v>0</v>
      </c>
      <c r="D267" s="540">
        <v>0</v>
      </c>
      <c r="E267" s="533">
        <v>0</v>
      </c>
      <c r="F267" s="533">
        <v>0</v>
      </c>
      <c r="G267" s="533">
        <v>0</v>
      </c>
      <c r="H267" s="533">
        <v>0</v>
      </c>
      <c r="I267" s="533">
        <v>0</v>
      </c>
      <c r="J267" s="541">
        <v>0</v>
      </c>
      <c r="K267" s="541">
        <v>0</v>
      </c>
      <c r="L267" s="541">
        <v>0</v>
      </c>
      <c r="M267" s="541">
        <v>0</v>
      </c>
      <c r="N267" s="541">
        <f>M267</f>
        <v>0</v>
      </c>
      <c r="P267" s="25"/>
    </row>
    <row r="268" spans="1:16">
      <c r="A268" s="236"/>
      <c r="B268" s="255" t="s">
        <v>60</v>
      </c>
      <c r="C268" s="249">
        <f>'часть 1'!H624</f>
        <v>0</v>
      </c>
      <c r="D268" s="250">
        <f>'часть 1'!K624</f>
        <v>0</v>
      </c>
      <c r="E268" s="252">
        <f t="shared" ref="E268:N268" si="109">E270</f>
        <v>0</v>
      </c>
      <c r="F268" s="252">
        <f t="shared" si="109"/>
        <v>2</v>
      </c>
      <c r="G268" s="252">
        <f t="shared" si="109"/>
        <v>2</v>
      </c>
      <c r="H268" s="252">
        <f t="shared" si="109"/>
        <v>0</v>
      </c>
      <c r="I268" s="252">
        <f t="shared" ref="I268:I273" si="110">H268+G268</f>
        <v>2</v>
      </c>
      <c r="J268" s="251">
        <f t="shared" si="109"/>
        <v>0</v>
      </c>
      <c r="K268" s="251">
        <f t="shared" si="109"/>
        <v>1585646</v>
      </c>
      <c r="L268" s="251">
        <f t="shared" si="109"/>
        <v>2750663</v>
      </c>
      <c r="M268" s="251">
        <f t="shared" si="109"/>
        <v>0</v>
      </c>
      <c r="N268" s="251">
        <f t="shared" si="109"/>
        <v>4336309</v>
      </c>
      <c r="P268" s="25"/>
    </row>
    <row r="269" spans="1:16">
      <c r="A269" s="542"/>
      <c r="B269" s="547" t="s">
        <v>208</v>
      </c>
      <c r="C269" s="539">
        <f>'часть 1'!H1507</f>
        <v>340.3</v>
      </c>
      <c r="D269" s="540">
        <f>'часть 1'!K1507</f>
        <v>14</v>
      </c>
      <c r="E269" s="533">
        <v>0</v>
      </c>
      <c r="F269" s="533">
        <v>0</v>
      </c>
      <c r="G269" s="533">
        <v>0</v>
      </c>
      <c r="H269" s="533">
        <v>1</v>
      </c>
      <c r="I269" s="533">
        <f t="shared" si="110"/>
        <v>1</v>
      </c>
      <c r="J269" s="541">
        <v>0</v>
      </c>
      <c r="K269" s="541">
        <v>0</v>
      </c>
      <c r="L269" s="541">
        <v>0</v>
      </c>
      <c r="M269" s="541">
        <v>512860</v>
      </c>
      <c r="N269" s="541">
        <f>M269+L269+K269+J269</f>
        <v>512860</v>
      </c>
      <c r="P269" s="25"/>
    </row>
    <row r="270" spans="1:16">
      <c r="A270" s="542">
        <v>46</v>
      </c>
      <c r="B270" s="543" t="s">
        <v>61</v>
      </c>
      <c r="C270" s="539">
        <v>2833.3</v>
      </c>
      <c r="D270" s="540">
        <v>119</v>
      </c>
      <c r="E270" s="533">
        <v>0</v>
      </c>
      <c r="F270" s="533">
        <v>2</v>
      </c>
      <c r="G270" s="533">
        <v>2</v>
      </c>
      <c r="H270" s="533">
        <v>0</v>
      </c>
      <c r="I270" s="533">
        <f>H270+G270+F270+E270</f>
        <v>4</v>
      </c>
      <c r="J270" s="541">
        <v>0</v>
      </c>
      <c r="K270" s="541">
        <v>1585646</v>
      </c>
      <c r="L270" s="541">
        <v>2750663</v>
      </c>
      <c r="M270" s="541">
        <v>0</v>
      </c>
      <c r="N270" s="541">
        <f>M270+L270+K270+J270</f>
        <v>4336309</v>
      </c>
      <c r="P270" s="25"/>
    </row>
    <row r="271" spans="1:16">
      <c r="A271" s="236"/>
      <c r="B271" s="255" t="s">
        <v>649</v>
      </c>
      <c r="C271" s="249">
        <v>952.2</v>
      </c>
      <c r="D271" s="250">
        <v>41</v>
      </c>
      <c r="E271" s="252">
        <v>0</v>
      </c>
      <c r="F271" s="252">
        <v>0</v>
      </c>
      <c r="G271" s="252">
        <v>1</v>
      </c>
      <c r="H271" s="252">
        <v>0</v>
      </c>
      <c r="I271" s="252">
        <v>1</v>
      </c>
      <c r="J271" s="251">
        <v>0</v>
      </c>
      <c r="K271" s="251">
        <v>0</v>
      </c>
      <c r="L271" s="251">
        <v>1490380</v>
      </c>
      <c r="M271" s="251">
        <v>0</v>
      </c>
      <c r="N271" s="251">
        <v>1490380</v>
      </c>
      <c r="P271" s="25"/>
    </row>
    <row r="272" spans="1:16">
      <c r="A272" s="542">
        <v>47</v>
      </c>
      <c r="B272" s="543" t="s">
        <v>62</v>
      </c>
      <c r="C272" s="539">
        <f>'часть 1'!H1520</f>
        <v>445.14</v>
      </c>
      <c r="D272" s="540">
        <v>18</v>
      </c>
      <c r="E272" s="533">
        <v>0</v>
      </c>
      <c r="F272" s="533">
        <v>0</v>
      </c>
      <c r="G272" s="533">
        <v>1</v>
      </c>
      <c r="H272" s="533">
        <v>0</v>
      </c>
      <c r="I272" s="533">
        <f t="shared" si="110"/>
        <v>1</v>
      </c>
      <c r="J272" s="541">
        <v>0</v>
      </c>
      <c r="K272" s="541">
        <v>0</v>
      </c>
      <c r="L272" s="541">
        <v>1175875</v>
      </c>
      <c r="M272" s="541">
        <v>0</v>
      </c>
      <c r="N272" s="541">
        <f>M272+L272+K272+J272</f>
        <v>1175875</v>
      </c>
      <c r="P272" s="25"/>
    </row>
    <row r="273" spans="1:16">
      <c r="A273" s="236"/>
      <c r="B273" s="255" t="s">
        <v>211</v>
      </c>
      <c r="C273" s="249">
        <f>'часть 1'!H1533</f>
        <v>2953.2000000000003</v>
      </c>
      <c r="D273" s="250">
        <f>'часть 1'!K1533</f>
        <v>85</v>
      </c>
      <c r="E273" s="252">
        <f>E277</f>
        <v>0</v>
      </c>
      <c r="F273" s="252">
        <f>F277</f>
        <v>0</v>
      </c>
      <c r="G273" s="252">
        <f>G277</f>
        <v>0</v>
      </c>
      <c r="H273" s="250">
        <v>2</v>
      </c>
      <c r="I273" s="252">
        <f t="shared" si="110"/>
        <v>2</v>
      </c>
      <c r="J273" s="251">
        <f>J277</f>
        <v>0</v>
      </c>
      <c r="K273" s="251">
        <f>K277</f>
        <v>0</v>
      </c>
      <c r="L273" s="251">
        <f>L277</f>
        <v>0</v>
      </c>
      <c r="M273" s="251">
        <f>'часть 1'!L1533</f>
        <v>3398521</v>
      </c>
      <c r="N273" s="251">
        <f>M273+L273+K273+J273</f>
        <v>3398521</v>
      </c>
      <c r="P273" s="25"/>
    </row>
    <row r="274" spans="1:16">
      <c r="A274" s="542"/>
      <c r="B274" s="547" t="s">
        <v>63</v>
      </c>
      <c r="C274" s="539">
        <f>'часть 1'!H1522</f>
        <v>571.1</v>
      </c>
      <c r="D274" s="540">
        <f>'часть 1'!K1522</f>
        <v>28</v>
      </c>
      <c r="E274" s="533">
        <v>0</v>
      </c>
      <c r="F274" s="533">
        <v>0</v>
      </c>
      <c r="G274" s="533">
        <v>0</v>
      </c>
      <c r="H274" s="540">
        <v>1</v>
      </c>
      <c r="I274" s="533">
        <v>1</v>
      </c>
      <c r="J274" s="541">
        <v>0</v>
      </c>
      <c r="K274" s="541">
        <v>0</v>
      </c>
      <c r="L274" s="541">
        <v>0</v>
      </c>
      <c r="M274" s="541">
        <v>1608623</v>
      </c>
      <c r="N274" s="541">
        <f>M274+L274+K274+J274</f>
        <v>1608623</v>
      </c>
      <c r="P274" s="25"/>
    </row>
    <row r="275" spans="1:16">
      <c r="A275" s="542"/>
      <c r="B275" s="547" t="s">
        <v>663</v>
      </c>
      <c r="C275" s="539">
        <f>C276</f>
        <v>783.2</v>
      </c>
      <c r="D275" s="539">
        <f t="shared" ref="D275:N275" si="111">D276</f>
        <v>32</v>
      </c>
      <c r="E275" s="539">
        <f t="shared" si="111"/>
        <v>0</v>
      </c>
      <c r="F275" s="539">
        <f t="shared" si="111"/>
        <v>0</v>
      </c>
      <c r="G275" s="539">
        <f t="shared" si="111"/>
        <v>1</v>
      </c>
      <c r="H275" s="539">
        <f t="shared" si="111"/>
        <v>0</v>
      </c>
      <c r="I275" s="539">
        <f t="shared" si="111"/>
        <v>1</v>
      </c>
      <c r="J275" s="539">
        <f t="shared" si="111"/>
        <v>0</v>
      </c>
      <c r="K275" s="539">
        <f t="shared" si="111"/>
        <v>0</v>
      </c>
      <c r="L275" s="539">
        <f t="shared" si="111"/>
        <v>1457324</v>
      </c>
      <c r="M275" s="541">
        <f t="shared" si="111"/>
        <v>0</v>
      </c>
      <c r="N275" s="541">
        <f t="shared" si="111"/>
        <v>1457324</v>
      </c>
      <c r="P275" s="25"/>
    </row>
    <row r="276" spans="1:16" ht="25.5">
      <c r="A276" s="542"/>
      <c r="B276" s="543" t="s">
        <v>667</v>
      </c>
      <c r="C276" s="539">
        <f>'часть 1'!H1526</f>
        <v>783.2</v>
      </c>
      <c r="D276" s="540">
        <f>'часть 1'!K1526</f>
        <v>32</v>
      </c>
      <c r="E276" s="533">
        <v>0</v>
      </c>
      <c r="F276" s="533">
        <v>0</v>
      </c>
      <c r="G276" s="533">
        <v>1</v>
      </c>
      <c r="H276" s="540">
        <v>0</v>
      </c>
      <c r="I276" s="533">
        <v>1</v>
      </c>
      <c r="J276" s="541">
        <v>0</v>
      </c>
      <c r="K276" s="541">
        <v>0</v>
      </c>
      <c r="L276" s="541">
        <v>1457324</v>
      </c>
      <c r="M276" s="541">
        <v>0</v>
      </c>
      <c r="N276" s="541">
        <v>1457324</v>
      </c>
      <c r="P276" s="25"/>
    </row>
    <row r="277" spans="1:16" ht="17.45" customHeight="1">
      <c r="A277" s="236"/>
      <c r="B277" s="253" t="s">
        <v>64</v>
      </c>
      <c r="C277" s="249">
        <f>C278</f>
        <v>3434.5</v>
      </c>
      <c r="D277" s="249">
        <f t="shared" ref="D277:N277" si="112">D278</f>
        <v>113</v>
      </c>
      <c r="E277" s="249">
        <f t="shared" si="112"/>
        <v>0</v>
      </c>
      <c r="F277" s="249">
        <f t="shared" si="112"/>
        <v>0</v>
      </c>
      <c r="G277" s="249">
        <f t="shared" si="112"/>
        <v>0</v>
      </c>
      <c r="H277" s="249">
        <f t="shared" si="112"/>
        <v>2</v>
      </c>
      <c r="I277" s="249">
        <f t="shared" si="112"/>
        <v>2</v>
      </c>
      <c r="J277" s="251">
        <f t="shared" si="112"/>
        <v>0</v>
      </c>
      <c r="K277" s="251">
        <f t="shared" si="112"/>
        <v>0</v>
      </c>
      <c r="L277" s="251">
        <f t="shared" si="112"/>
        <v>0</v>
      </c>
      <c r="M277" s="251">
        <f t="shared" si="112"/>
        <v>5448472</v>
      </c>
      <c r="N277" s="251">
        <f t="shared" si="112"/>
        <v>5448472</v>
      </c>
      <c r="P277" s="25"/>
    </row>
    <row r="278" spans="1:16" ht="27" customHeight="1">
      <c r="A278" s="542">
        <v>49</v>
      </c>
      <c r="B278" s="543" t="s">
        <v>115</v>
      </c>
      <c r="C278" s="539">
        <v>3434.5</v>
      </c>
      <c r="D278" s="540">
        <v>113</v>
      </c>
      <c r="E278" s="533">
        <v>0</v>
      </c>
      <c r="F278" s="533">
        <v>0</v>
      </c>
      <c r="G278" s="533">
        <v>0</v>
      </c>
      <c r="H278" s="533">
        <v>2</v>
      </c>
      <c r="I278" s="533">
        <f t="shared" ref="I278:I281" si="113">H278+G278</f>
        <v>2</v>
      </c>
      <c r="J278" s="541">
        <v>0</v>
      </c>
      <c r="K278" s="541">
        <v>0</v>
      </c>
      <c r="L278" s="541">
        <v>0</v>
      </c>
      <c r="M278" s="541">
        <v>5448472</v>
      </c>
      <c r="N278" s="541">
        <f>M278</f>
        <v>5448472</v>
      </c>
      <c r="P278" s="25"/>
    </row>
    <row r="279" spans="1:16">
      <c r="A279" s="236"/>
      <c r="B279" s="255" t="s">
        <v>66</v>
      </c>
      <c r="C279" s="249">
        <f>C281+C280</f>
        <v>1902.9</v>
      </c>
      <c r="D279" s="249">
        <f t="shared" ref="D279:N279" si="114">D281+D280</f>
        <v>48</v>
      </c>
      <c r="E279" s="249">
        <f t="shared" si="114"/>
        <v>0</v>
      </c>
      <c r="F279" s="249">
        <f t="shared" si="114"/>
        <v>0</v>
      </c>
      <c r="G279" s="249">
        <f t="shared" si="114"/>
        <v>0</v>
      </c>
      <c r="H279" s="249">
        <f t="shared" si="114"/>
        <v>3</v>
      </c>
      <c r="I279" s="249">
        <f t="shared" si="114"/>
        <v>3</v>
      </c>
      <c r="J279" s="251">
        <f t="shared" si="114"/>
        <v>0</v>
      </c>
      <c r="K279" s="251">
        <f t="shared" si="114"/>
        <v>0</v>
      </c>
      <c r="L279" s="251">
        <f t="shared" si="114"/>
        <v>0</v>
      </c>
      <c r="M279" s="251">
        <f t="shared" si="114"/>
        <v>4103443</v>
      </c>
      <c r="N279" s="251">
        <f t="shared" si="114"/>
        <v>4103443</v>
      </c>
      <c r="P279" s="25"/>
    </row>
    <row r="280" spans="1:16" ht="25.5">
      <c r="A280" s="542"/>
      <c r="B280" s="543" t="s">
        <v>641</v>
      </c>
      <c r="C280" s="539">
        <f>'часть 1'!H1539</f>
        <v>689.6</v>
      </c>
      <c r="D280" s="539">
        <f>'часть 1'!K1539</f>
        <v>19</v>
      </c>
      <c r="E280" s="539">
        <v>0</v>
      </c>
      <c r="F280" s="539">
        <v>0</v>
      </c>
      <c r="G280" s="539">
        <v>0</v>
      </c>
      <c r="H280" s="539">
        <v>1</v>
      </c>
      <c r="I280" s="539">
        <v>1</v>
      </c>
      <c r="J280" s="541">
        <v>0</v>
      </c>
      <c r="K280" s="541">
        <v>0</v>
      </c>
      <c r="L280" s="541">
        <v>0</v>
      </c>
      <c r="M280" s="541">
        <v>357985</v>
      </c>
      <c r="N280" s="541">
        <f>M280+L280+K280+J280</f>
        <v>357985</v>
      </c>
      <c r="P280" s="25"/>
    </row>
    <row r="281" spans="1:16" ht="25.5">
      <c r="A281" s="542"/>
      <c r="B281" s="543" t="s">
        <v>114</v>
      </c>
      <c r="C281" s="539">
        <v>1213.3</v>
      </c>
      <c r="D281" s="540">
        <v>29</v>
      </c>
      <c r="E281" s="533">
        <v>0</v>
      </c>
      <c r="F281" s="533">
        <v>0</v>
      </c>
      <c r="G281" s="533">
        <v>0</v>
      </c>
      <c r="H281" s="533">
        <v>2</v>
      </c>
      <c r="I281" s="533">
        <f t="shared" si="113"/>
        <v>2</v>
      </c>
      <c r="J281" s="541">
        <v>0</v>
      </c>
      <c r="K281" s="541">
        <v>0</v>
      </c>
      <c r="L281" s="541">
        <v>0</v>
      </c>
      <c r="M281" s="541">
        <v>3745458</v>
      </c>
      <c r="N281" s="541">
        <f t="shared" ref="N281" si="115">M281</f>
        <v>3745458</v>
      </c>
      <c r="P281" s="25"/>
    </row>
    <row r="282" spans="1:16">
      <c r="A282" s="542"/>
      <c r="B282" s="543"/>
      <c r="C282" s="539"/>
      <c r="D282" s="540"/>
      <c r="E282" s="540"/>
      <c r="F282" s="540"/>
      <c r="G282" s="540"/>
      <c r="H282" s="540"/>
      <c r="I282" s="533"/>
      <c r="J282" s="541"/>
      <c r="K282" s="541"/>
      <c r="L282" s="541"/>
      <c r="M282" s="541"/>
      <c r="N282" s="541"/>
      <c r="P282" s="25"/>
    </row>
    <row r="283" spans="1:16">
      <c r="A283" s="394"/>
      <c r="B283" s="258"/>
      <c r="C283" s="249"/>
      <c r="D283" s="250"/>
      <c r="E283" s="252"/>
      <c r="F283" s="252"/>
      <c r="G283" s="252"/>
      <c r="H283" s="252"/>
      <c r="I283" s="252"/>
      <c r="J283" s="251"/>
      <c r="K283" s="251"/>
      <c r="L283" s="251"/>
      <c r="M283" s="251"/>
      <c r="N283" s="251"/>
      <c r="P283" s="25"/>
    </row>
    <row r="284" spans="1:16" ht="27" customHeight="1">
      <c r="A284" s="236"/>
      <c r="B284" s="257"/>
      <c r="C284" s="249"/>
      <c r="D284" s="250"/>
      <c r="E284" s="252"/>
      <c r="F284" s="252"/>
      <c r="G284" s="252"/>
      <c r="H284" s="252"/>
      <c r="I284" s="252"/>
      <c r="J284" s="251"/>
      <c r="K284" s="251"/>
      <c r="L284" s="251"/>
      <c r="M284" s="251"/>
      <c r="N284" s="251"/>
      <c r="P284" s="25"/>
    </row>
    <row r="285" spans="1:16">
      <c r="A285" s="236"/>
      <c r="B285" s="253"/>
      <c r="C285" s="249"/>
      <c r="D285" s="250"/>
      <c r="E285" s="252"/>
      <c r="F285" s="252"/>
      <c r="G285" s="252"/>
      <c r="H285" s="252"/>
      <c r="I285" s="252"/>
      <c r="J285" s="251"/>
      <c r="K285" s="251"/>
      <c r="L285" s="251"/>
      <c r="M285" s="251"/>
      <c r="N285" s="251"/>
      <c r="P285" s="25"/>
    </row>
    <row r="286" spans="1:16" ht="29.25" customHeight="1">
      <c r="A286" s="236">
        <f>A284+1</f>
        <v>1</v>
      </c>
      <c r="B286" s="253" t="s">
        <v>212</v>
      </c>
      <c r="C286" s="249">
        <f>'часть 1'!H651</f>
        <v>0</v>
      </c>
      <c r="D286" s="250">
        <f>'часть 1'!K651</f>
        <v>0</v>
      </c>
      <c r="E286" s="252">
        <v>0</v>
      </c>
      <c r="F286" s="252">
        <v>0</v>
      </c>
      <c r="G286" s="252">
        <v>0</v>
      </c>
      <c r="H286" s="252">
        <v>1</v>
      </c>
      <c r="I286" s="252">
        <f t="shared" ref="I286:I287" si="116">H286+G286</f>
        <v>1</v>
      </c>
      <c r="J286" s="251">
        <v>0</v>
      </c>
      <c r="K286" s="251">
        <v>0</v>
      </c>
      <c r="L286" s="251">
        <v>0</v>
      </c>
      <c r="M286" s="251">
        <f>'часть 2'!C709</f>
        <v>1118494</v>
      </c>
      <c r="N286" s="251">
        <f>M286</f>
        <v>1118494</v>
      </c>
      <c r="P286" s="25"/>
    </row>
    <row r="287" spans="1:16" ht="27" customHeight="1">
      <c r="A287" s="236">
        <v>54</v>
      </c>
      <c r="B287" s="253" t="s">
        <v>213</v>
      </c>
      <c r="C287" s="249">
        <f>'часть 1'!H653</f>
        <v>0</v>
      </c>
      <c r="D287" s="250">
        <f>'часть 1'!K653</f>
        <v>0</v>
      </c>
      <c r="E287" s="252">
        <v>0</v>
      </c>
      <c r="F287" s="252">
        <v>0</v>
      </c>
      <c r="G287" s="252">
        <v>0</v>
      </c>
      <c r="H287" s="252">
        <v>1</v>
      </c>
      <c r="I287" s="252">
        <f t="shared" si="116"/>
        <v>1</v>
      </c>
      <c r="J287" s="251">
        <v>0</v>
      </c>
      <c r="K287" s="251">
        <v>0</v>
      </c>
      <c r="L287" s="251">
        <v>0</v>
      </c>
      <c r="M287" s="251">
        <f>'часть 2'!C711</f>
        <v>2253297</v>
      </c>
      <c r="N287" s="251">
        <f>M287</f>
        <v>2253297</v>
      </c>
      <c r="P287" s="25"/>
    </row>
    <row r="288" spans="1:16">
      <c r="A288" s="236"/>
      <c r="B288" s="255"/>
      <c r="C288" s="249"/>
      <c r="D288" s="250"/>
      <c r="E288" s="252"/>
      <c r="F288" s="252"/>
      <c r="G288" s="252"/>
      <c r="H288" s="252"/>
      <c r="I288" s="252"/>
      <c r="J288" s="251"/>
      <c r="K288" s="251"/>
      <c r="L288" s="251"/>
      <c r="M288" s="251"/>
      <c r="N288" s="251"/>
      <c r="P288" s="25"/>
    </row>
    <row r="289" spans="1:16">
      <c r="A289" s="542"/>
      <c r="B289" s="543"/>
      <c r="C289" s="539"/>
      <c r="D289" s="540"/>
      <c r="E289" s="533"/>
      <c r="F289" s="533"/>
      <c r="G289" s="533"/>
      <c r="H289" s="533"/>
      <c r="I289" s="533"/>
      <c r="J289" s="541"/>
      <c r="K289" s="541"/>
      <c r="L289" s="541"/>
      <c r="M289" s="541"/>
      <c r="N289" s="541"/>
      <c r="P289" s="25"/>
    </row>
    <row r="290" spans="1:16">
      <c r="A290" s="542">
        <v>56</v>
      </c>
      <c r="B290" s="543" t="s">
        <v>207</v>
      </c>
      <c r="C290" s="539">
        <v>53715.519999999997</v>
      </c>
      <c r="D290" s="540">
        <v>2022</v>
      </c>
      <c r="E290" s="540">
        <v>0</v>
      </c>
      <c r="F290" s="540">
        <v>0</v>
      </c>
      <c r="G290" s="540">
        <v>0</v>
      </c>
      <c r="H290" s="540">
        <v>7</v>
      </c>
      <c r="I290" s="533">
        <f t="shared" ref="I290:I293" si="117">H290+G290</f>
        <v>7</v>
      </c>
      <c r="J290" s="541">
        <v>0</v>
      </c>
      <c r="K290" s="541">
        <v>0</v>
      </c>
      <c r="L290" s="541">
        <v>0</v>
      </c>
      <c r="M290" s="541">
        <v>21360482</v>
      </c>
      <c r="N290" s="541">
        <f>M290</f>
        <v>21360482</v>
      </c>
      <c r="P290" s="25"/>
    </row>
    <row r="291" spans="1:16">
      <c r="A291" s="394"/>
      <c r="B291" s="258" t="s">
        <v>67</v>
      </c>
      <c r="C291" s="249">
        <f>'часть 1'!H672</f>
        <v>0</v>
      </c>
      <c r="D291" s="250">
        <f>'часть 1'!K672</f>
        <v>0</v>
      </c>
      <c r="E291" s="252">
        <v>0</v>
      </c>
      <c r="F291" s="252">
        <v>0</v>
      </c>
      <c r="G291" s="252">
        <f>G292</f>
        <v>1</v>
      </c>
      <c r="H291" s="252">
        <f>H292+H293</f>
        <v>1</v>
      </c>
      <c r="I291" s="252">
        <f t="shared" si="117"/>
        <v>2</v>
      </c>
      <c r="J291" s="251">
        <v>0</v>
      </c>
      <c r="K291" s="251">
        <v>0</v>
      </c>
      <c r="L291" s="251">
        <f>L292</f>
        <v>359651</v>
      </c>
      <c r="M291" s="251">
        <f>M292+M293</f>
        <v>2254298</v>
      </c>
      <c r="N291" s="251">
        <f>N292+N293</f>
        <v>2613949</v>
      </c>
      <c r="P291" s="25"/>
    </row>
    <row r="292" spans="1:16" ht="27" customHeight="1">
      <c r="A292" s="236">
        <v>57</v>
      </c>
      <c r="B292" s="257" t="s">
        <v>90</v>
      </c>
      <c r="C292" s="249">
        <f>'часть 1'!H673</f>
        <v>0</v>
      </c>
      <c r="D292" s="250">
        <f>'часть 1'!K673</f>
        <v>0</v>
      </c>
      <c r="E292" s="252">
        <v>0</v>
      </c>
      <c r="F292" s="252">
        <v>0</v>
      </c>
      <c r="G292" s="252">
        <v>1</v>
      </c>
      <c r="H292" s="252">
        <v>0</v>
      </c>
      <c r="I292" s="252">
        <f t="shared" si="117"/>
        <v>1</v>
      </c>
      <c r="J292" s="251">
        <v>0</v>
      </c>
      <c r="K292" s="251">
        <v>0</v>
      </c>
      <c r="L292" s="251">
        <f>'часть 1'!L673</f>
        <v>359651</v>
      </c>
      <c r="M292" s="251">
        <v>0</v>
      </c>
      <c r="N292" s="251">
        <f>L292</f>
        <v>359651</v>
      </c>
      <c r="P292" s="25"/>
    </row>
    <row r="293" spans="1:16" ht="25.5">
      <c r="A293" s="542">
        <v>58</v>
      </c>
      <c r="B293" s="543" t="s">
        <v>127</v>
      </c>
      <c r="C293" s="539">
        <f>'часть 1'!H1560</f>
        <v>3387.4</v>
      </c>
      <c r="D293" s="540">
        <f>'часть 1'!K1560</f>
        <v>105</v>
      </c>
      <c r="E293" s="533">
        <v>0</v>
      </c>
      <c r="F293" s="533">
        <v>0</v>
      </c>
      <c r="G293" s="533">
        <v>0</v>
      </c>
      <c r="H293" s="533">
        <v>1</v>
      </c>
      <c r="I293" s="533">
        <f t="shared" si="117"/>
        <v>1</v>
      </c>
      <c r="J293" s="541">
        <v>0</v>
      </c>
      <c r="K293" s="541">
        <v>0</v>
      </c>
      <c r="L293" s="541">
        <v>0</v>
      </c>
      <c r="M293" s="541">
        <f>'часть 1'!L1560</f>
        <v>2254298</v>
      </c>
      <c r="N293" s="541">
        <f>M293</f>
        <v>2254298</v>
      </c>
      <c r="P293" s="25"/>
    </row>
  </sheetData>
  <autoFilter ref="A5:P185" xr:uid="{00000000-0009-0000-0000-000002000000}"/>
  <customSheetViews>
    <customSheetView guid="{DC88C499-913F-4D15-846E-E5B9D5E047D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"/>
      <headerFooter>
        <oddHeader>&amp;C&amp;P</oddHeader>
      </headerFooter>
      <autoFilter ref="A5:P185" xr:uid="{00000000-0000-0000-0000-000000000000}"/>
    </customSheetView>
    <customSheetView guid="{A6187BD3-0BA4-497C-8924-4FA3D77530F0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2"/>
      <headerFooter>
        <oddHeader>&amp;C&amp;P</oddHeader>
      </headerFooter>
      <autoFilter ref="A5:P185" xr:uid="{00000000-0000-0000-0000-000000000000}"/>
    </customSheetView>
    <customSheetView guid="{7A75CCE7-0E84-47E6-A162-5AC0354F296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3"/>
      <headerFooter>
        <oddHeader>&amp;C&amp;P</oddHeader>
      </headerFooter>
      <autoFilter ref="A5:P185" xr:uid="{00000000-0000-0000-0000-000000000000}"/>
    </customSheetView>
    <customSheetView guid="{144E5A37-1CF2-41F0-BEF8-CB5D4D392E2A}" scale="72" showPageBreaks="1" fitToPage="1" showAutoFilter="1" state="hidden" view="pageBreakPreview">
      <pane xSplit="1.7430555555555556" ySplit="5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4"/>
      <headerFooter>
        <oddHeader>&amp;C&amp;P</oddHeader>
      </headerFooter>
      <autoFilter ref="A5:P185" xr:uid="{00000000-0000-0000-0000-000000000000}"/>
    </customSheetView>
    <customSheetView guid="{A28C0ADC-4E0C-4A0A-ACB1-DA409183476D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5"/>
      <headerFooter>
        <oddHeader>&amp;C&amp;P</oddHeader>
      </headerFooter>
      <autoFilter ref="A5:P185" xr:uid="{00000000-0000-0000-0000-000000000000}"/>
    </customSheetView>
    <customSheetView guid="{B1841E62-04AF-4786-8B2B-B1F42C88E6D1}" scale="72" showPageBreaks="1" fitToPage="1" showAutoFilter="1" state="hidden" view="pageBreakPreview">
      <pane xSplit="2" ySplit="5.666666666666667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6"/>
      <headerFooter>
        <oddHeader>&amp;C&amp;P</oddHeader>
      </headerFooter>
      <autoFilter ref="A5:P104" xr:uid="{00000000-0000-0000-0000-000000000000}"/>
    </customSheetView>
    <customSheetView guid="{570403C4-1D93-4175-B4D8-BD47D46CE99C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7"/>
      <headerFooter>
        <oddHeader>&amp;C&amp;P</oddHeader>
      </headerFooter>
      <autoFilter ref="A5:P185" xr:uid="{00000000-0000-0000-0000-000000000000}"/>
    </customSheetView>
    <customSheetView guid="{4C44C113-DA02-468D-99C5-83FA6693F42F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8"/>
      <headerFooter>
        <oddHeader>&amp;C&amp;P</oddHeader>
      </headerFooter>
      <autoFilter ref="A5:P185" xr:uid="{00000000-0000-0000-0000-000000000000}"/>
    </customSheetView>
    <customSheetView guid="{DFE5B545-478C-4B86-847C-1FEE882C6F69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9"/>
      <headerFooter>
        <oddHeader>&amp;C&amp;P</oddHeader>
      </headerFooter>
      <autoFilter ref="A5:P185" xr:uid="{00000000-0000-0000-0000-000000000000}"/>
    </customSheetView>
    <customSheetView guid="{971AA6D5-B469-4A54-816C-1252CCB6D265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0"/>
      <headerFooter>
        <oddHeader>&amp;C&amp;P</oddHeader>
      </headerFooter>
      <autoFilter ref="A5:P185" xr:uid="{00000000-0000-0000-0000-000000000000}"/>
    </customSheetView>
  </customSheetViews>
  <mergeCells count="7">
    <mergeCell ref="A1:N1"/>
    <mergeCell ref="A2:A4"/>
    <mergeCell ref="B2:B4"/>
    <mergeCell ref="C2:C3"/>
    <mergeCell ref="D2:D3"/>
    <mergeCell ref="E2:I2"/>
    <mergeCell ref="J2:N2"/>
  </mergeCells>
  <printOptions horizontalCentered="1"/>
  <pageMargins left="0.23622047244094491" right="0.23622047244094491" top="0.98425196850393704" bottom="0.39370078740157483" header="0.7" footer="0.31496062992125984"/>
  <pageSetup paperSize="9" scale="75" firstPageNumber="38" fitToHeight="0" orientation="landscape" useFirstPageNumber="1" r:id="rId1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"/>
  <sheetViews>
    <sheetView workbookViewId="0">
      <selection activeCell="L21" sqref="L21"/>
    </sheetView>
  </sheetViews>
  <sheetFormatPr defaultColWidth="8.85546875" defaultRowHeight="15"/>
  <cols>
    <col min="1" max="1" width="4.28515625" style="1" customWidth="1"/>
    <col min="2" max="2" width="23.28515625" style="67" customWidth="1"/>
    <col min="3" max="3" width="1.5703125" style="1" customWidth="1"/>
    <col min="4" max="4" width="24.85546875" style="1" customWidth="1"/>
    <col min="5" max="5" width="2" style="1" customWidth="1"/>
    <col min="6" max="6" width="26.7109375" style="1" customWidth="1"/>
    <col min="7" max="16384" width="8.85546875" style="1"/>
  </cols>
  <sheetData>
    <row r="1" spans="2:6" ht="15.75" thickBot="1">
      <c r="B1" s="82" t="s">
        <v>199</v>
      </c>
      <c r="C1" s="30"/>
      <c r="D1" s="82" t="s">
        <v>200</v>
      </c>
      <c r="E1" s="30"/>
      <c r="F1" s="82" t="s">
        <v>201</v>
      </c>
    </row>
    <row r="2" spans="2:6">
      <c r="B2" s="68" t="s">
        <v>133</v>
      </c>
      <c r="D2" s="74" t="s">
        <v>154</v>
      </c>
      <c r="F2" s="74" t="s">
        <v>174</v>
      </c>
    </row>
    <row r="3" spans="2:6" s="3" customFormat="1">
      <c r="B3" s="69" t="s">
        <v>134</v>
      </c>
      <c r="D3" s="75" t="s">
        <v>155</v>
      </c>
      <c r="F3" s="75" t="s">
        <v>175</v>
      </c>
    </row>
    <row r="4" spans="2:6" s="3" customFormat="1" ht="15.75" thickBot="1">
      <c r="B4" s="69" t="s">
        <v>135</v>
      </c>
      <c r="D4" s="75" t="s">
        <v>156</v>
      </c>
      <c r="F4" s="76" t="s">
        <v>176</v>
      </c>
    </row>
    <row r="5" spans="2:6" s="3" customFormat="1">
      <c r="B5" s="69" t="s">
        <v>136</v>
      </c>
      <c r="D5" s="75" t="s">
        <v>157</v>
      </c>
      <c r="F5" s="75" t="s">
        <v>158</v>
      </c>
    </row>
    <row r="6" spans="2:6" ht="15.75" thickBot="1">
      <c r="B6" s="69" t="s">
        <v>137</v>
      </c>
      <c r="D6" s="77" t="s">
        <v>204</v>
      </c>
      <c r="F6" s="75" t="s">
        <v>159</v>
      </c>
    </row>
    <row r="7" spans="2:6">
      <c r="B7" s="74" t="s">
        <v>138</v>
      </c>
      <c r="D7" s="74" t="s">
        <v>169</v>
      </c>
      <c r="F7" s="75" t="s">
        <v>160</v>
      </c>
    </row>
    <row r="8" spans="2:6">
      <c r="B8" s="75" t="s">
        <v>192</v>
      </c>
      <c r="D8" s="75" t="s">
        <v>168</v>
      </c>
      <c r="F8" s="75" t="s">
        <v>161</v>
      </c>
    </row>
    <row r="9" spans="2:6" s="19" customFormat="1" ht="12.75">
      <c r="B9" s="75" t="s">
        <v>139</v>
      </c>
      <c r="D9" s="75" t="s">
        <v>170</v>
      </c>
      <c r="F9" s="75" t="s">
        <v>162</v>
      </c>
    </row>
    <row r="10" spans="2:6" ht="15.75" thickBot="1">
      <c r="B10" s="75" t="s">
        <v>140</v>
      </c>
      <c r="D10" s="76" t="s">
        <v>171</v>
      </c>
      <c r="F10" s="75" t="s">
        <v>163</v>
      </c>
    </row>
    <row r="11" spans="2:6" s="18" customFormat="1" ht="18" customHeight="1">
      <c r="B11" s="75" t="s">
        <v>141</v>
      </c>
      <c r="D11" s="69" t="s">
        <v>172</v>
      </c>
      <c r="F11" s="75" t="s">
        <v>164</v>
      </c>
    </row>
    <row r="12" spans="2:6" ht="15.75" thickBot="1">
      <c r="B12" s="75" t="s">
        <v>142</v>
      </c>
      <c r="D12" s="69" t="s">
        <v>173</v>
      </c>
      <c r="F12" s="76" t="s">
        <v>165</v>
      </c>
    </row>
    <row r="13" spans="2:6">
      <c r="B13" s="884" t="s">
        <v>143</v>
      </c>
      <c r="D13" s="69" t="s">
        <v>1022</v>
      </c>
    </row>
    <row r="14" spans="2:6" hidden="1">
      <c r="B14" s="884"/>
    </row>
    <row r="15" spans="2:6" hidden="1">
      <c r="B15" s="884"/>
    </row>
    <row r="16" spans="2:6" ht="15.75" thickBot="1">
      <c r="B16" s="884" t="s">
        <v>944</v>
      </c>
      <c r="D16" s="984" t="s">
        <v>1021</v>
      </c>
    </row>
    <row r="17" spans="2:6" ht="18.75" customHeight="1" thickBot="1">
      <c r="B17" s="883" t="s">
        <v>945</v>
      </c>
      <c r="D17" s="82" t="s">
        <v>202</v>
      </c>
      <c r="E17" s="30"/>
      <c r="F17" s="82" t="s">
        <v>203</v>
      </c>
    </row>
    <row r="18" spans="2:6" hidden="1">
      <c r="B18" s="69"/>
    </row>
    <row r="19" spans="2:6" ht="15.75" hidden="1" thickBot="1">
      <c r="B19" s="69"/>
    </row>
    <row r="20" spans="2:6" ht="16.5" customHeight="1" thickBot="1">
      <c r="B20" s="69"/>
      <c r="D20" s="68" t="s">
        <v>177</v>
      </c>
      <c r="F20" s="73" t="s">
        <v>178</v>
      </c>
    </row>
    <row r="21" spans="2:6" ht="16.5" customHeight="1" thickBot="1">
      <c r="B21" s="69"/>
      <c r="D21" s="69" t="s">
        <v>946</v>
      </c>
      <c r="F21" s="70"/>
    </row>
    <row r="22" spans="2:6" ht="15.75" thickBot="1">
      <c r="B22" s="69"/>
      <c r="D22" s="69" t="s">
        <v>153</v>
      </c>
      <c r="F22" s="72" t="s">
        <v>195</v>
      </c>
    </row>
    <row r="23" spans="2:6">
      <c r="B23" s="69"/>
      <c r="D23" s="69" t="s">
        <v>179</v>
      </c>
      <c r="F23" s="69" t="s">
        <v>144</v>
      </c>
    </row>
    <row r="24" spans="2:6" ht="15.75" thickBot="1">
      <c r="B24" s="69"/>
      <c r="D24" s="69" t="s">
        <v>182</v>
      </c>
      <c r="F24" s="69" t="s">
        <v>145</v>
      </c>
    </row>
    <row r="25" spans="2:6">
      <c r="B25" s="69"/>
      <c r="D25" s="69" t="s">
        <v>181</v>
      </c>
      <c r="F25" s="74" t="s">
        <v>147</v>
      </c>
    </row>
    <row r="26" spans="2:6">
      <c r="B26" s="69"/>
      <c r="D26" s="69" t="s">
        <v>180</v>
      </c>
      <c r="F26" s="75" t="s">
        <v>146</v>
      </c>
    </row>
    <row r="27" spans="2:6" ht="15.75" thickBot="1">
      <c r="B27" s="69"/>
      <c r="D27" s="71" t="s">
        <v>196</v>
      </c>
      <c r="F27" s="76" t="s">
        <v>148</v>
      </c>
    </row>
    <row r="28" spans="2:6">
      <c r="B28" s="69">
        <v>3</v>
      </c>
      <c r="D28" s="69" t="s">
        <v>183</v>
      </c>
      <c r="F28" s="75" t="s">
        <v>149</v>
      </c>
    </row>
    <row r="29" spans="2:6" s="9" customFormat="1" ht="13.5" thickBot="1">
      <c r="B29" s="81"/>
      <c r="D29" s="69" t="s">
        <v>184</v>
      </c>
      <c r="F29" s="75" t="s">
        <v>150</v>
      </c>
    </row>
    <row r="30" spans="2:6" s="9" customFormat="1" ht="17.25" customHeight="1">
      <c r="B30" s="81"/>
      <c r="D30" s="74" t="s">
        <v>185</v>
      </c>
      <c r="F30" s="75" t="s">
        <v>193</v>
      </c>
    </row>
    <row r="31" spans="2:6" s="9" customFormat="1" ht="12.75">
      <c r="B31" s="81"/>
      <c r="D31" s="75" t="s">
        <v>186</v>
      </c>
      <c r="F31" s="75" t="s">
        <v>194</v>
      </c>
    </row>
    <row r="32" spans="2:6" ht="18" customHeight="1" thickBot="1">
      <c r="B32" s="70"/>
      <c r="D32" s="76" t="s">
        <v>187</v>
      </c>
      <c r="F32" s="76" t="s">
        <v>151</v>
      </c>
    </row>
    <row r="33" spans="1:6">
      <c r="B33" s="68"/>
      <c r="F33" s="68" t="s">
        <v>152</v>
      </c>
    </row>
    <row r="34" spans="1:6">
      <c r="B34" s="69"/>
      <c r="F34" s="69" t="s">
        <v>166</v>
      </c>
    </row>
    <row r="35" spans="1:6" ht="15.75" thickBot="1">
      <c r="A35" s="78"/>
      <c r="B35" s="69"/>
      <c r="C35" s="78"/>
      <c r="D35" s="78"/>
      <c r="F35" s="70" t="s">
        <v>167</v>
      </c>
    </row>
    <row r="36" spans="1:6" s="10" customFormat="1" ht="14.45" customHeight="1">
      <c r="A36" s="80"/>
      <c r="B36" s="69" t="s">
        <v>179</v>
      </c>
      <c r="C36" s="80"/>
      <c r="D36" s="1425" t="s">
        <v>197</v>
      </c>
    </row>
    <row r="37" spans="1:6" s="10" customFormat="1" ht="14.45" customHeight="1">
      <c r="A37" s="80"/>
      <c r="B37" s="69" t="s">
        <v>182</v>
      </c>
      <c r="C37" s="80"/>
      <c r="D37" s="1425"/>
    </row>
    <row r="38" spans="1:6" s="10" customFormat="1">
      <c r="A38" s="80"/>
      <c r="B38" s="69" t="s">
        <v>181</v>
      </c>
      <c r="C38" s="80"/>
      <c r="D38" s="80"/>
    </row>
    <row r="39" spans="1:6" s="10" customFormat="1" ht="14.45" customHeight="1">
      <c r="A39" s="80"/>
      <c r="B39" s="69" t="s">
        <v>180</v>
      </c>
      <c r="C39" s="80"/>
      <c r="D39" s="1425" t="s">
        <v>197</v>
      </c>
    </row>
    <row r="40" spans="1:6" s="10" customFormat="1" ht="14.45" customHeight="1">
      <c r="A40" s="80"/>
      <c r="B40" s="69" t="s">
        <v>947</v>
      </c>
      <c r="C40" s="80"/>
      <c r="D40" s="1425"/>
    </row>
    <row r="41" spans="1:6" s="10" customFormat="1">
      <c r="A41" s="80"/>
      <c r="B41" s="69" t="s">
        <v>183</v>
      </c>
      <c r="C41" s="80"/>
      <c r="D41" s="80"/>
    </row>
    <row r="42" spans="1:6" s="10" customFormat="1" ht="15.75" thickBot="1">
      <c r="A42" s="80"/>
      <c r="B42" s="70" t="s">
        <v>184</v>
      </c>
      <c r="C42" s="80"/>
      <c r="D42" s="80"/>
    </row>
    <row r="43" spans="1:6">
      <c r="A43" s="78"/>
      <c r="B43" s="79"/>
      <c r="C43" s="78"/>
      <c r="D43" s="78"/>
    </row>
    <row r="62" ht="15.75" customHeight="1"/>
    <row r="63" ht="15.75" customHeight="1"/>
  </sheetData>
  <customSheetViews>
    <customSheetView guid="{DC88C499-913F-4D15-846E-E5B9D5E047D7}" hiddenRows="1" state="hidden">
      <selection activeCell="L21" sqref="L21"/>
      <pageMargins left="0.7" right="0.7" top="0.75" bottom="0.75" header="0.3" footer="0.3"/>
      <pageSetup paperSize="9" orientation="portrait" r:id="rId1"/>
    </customSheetView>
    <customSheetView guid="{A6187BD3-0BA4-497C-8924-4FA3D77530F0}" hiddenRows="1" state="hidden">
      <selection activeCell="L21" sqref="L21"/>
      <pageMargins left="0.7" right="0.7" top="0.75" bottom="0.75" header="0.3" footer="0.3"/>
      <pageSetup paperSize="9" orientation="portrait" r:id="rId2"/>
    </customSheetView>
    <customSheetView guid="{7A75CCE7-0E84-47E6-A162-5AC0354F2967}" hiddenRows="1" state="hidden">
      <selection activeCell="L21" sqref="L21"/>
      <pageMargins left="0.7" right="0.7" top="0.75" bottom="0.75" header="0.3" footer="0.3"/>
      <pageSetup paperSize="9" orientation="portrait" r:id="rId3"/>
    </customSheetView>
    <customSheetView guid="{144E5A37-1CF2-41F0-BEF8-CB5D4D392E2A}" hiddenRows="1" state="hidden">
      <selection activeCell="L21" sqref="L21"/>
      <pageMargins left="0.7" right="0.7" top="0.75" bottom="0.75" header="0.3" footer="0.3"/>
      <pageSetup paperSize="9" orientation="portrait" r:id="rId4"/>
    </customSheetView>
    <customSheetView guid="{A28C0ADC-4E0C-4A0A-ACB1-DA409183476D}" hiddenRows="1" state="hidden">
      <selection activeCell="L21" sqref="L21"/>
      <pageMargins left="0.7" right="0.7" top="0.75" bottom="0.75" header="0.3" footer="0.3"/>
      <pageSetup paperSize="9" orientation="portrait" r:id="rId5"/>
    </customSheetView>
    <customSheetView guid="{B1841E62-04AF-4786-8B2B-B1F42C88E6D1}" hiddenRows="1" state="hidden">
      <selection activeCell="L21" sqref="L21"/>
      <pageMargins left="0.7" right="0.7" top="0.75" bottom="0.75" header="0.3" footer="0.3"/>
      <pageSetup paperSize="9" orientation="portrait" r:id="rId6"/>
    </customSheetView>
    <customSheetView guid="{570403C4-1D93-4175-B4D8-BD47D46CE99C}" hiddenRows="1" state="hidden">
      <selection activeCell="L21" sqref="L21"/>
      <pageMargins left="0.7" right="0.7" top="0.75" bottom="0.75" header="0.3" footer="0.3"/>
      <pageSetup paperSize="9" orientation="portrait" r:id="rId7"/>
    </customSheetView>
    <customSheetView guid="{4C44C113-DA02-468D-99C5-83FA6693F42F}" hiddenRows="1" state="hidden">
      <selection activeCell="L21" sqref="L21"/>
      <pageMargins left="0.7" right="0.7" top="0.75" bottom="0.75" header="0.3" footer="0.3"/>
      <pageSetup paperSize="9" orientation="portrait" r:id="rId8"/>
    </customSheetView>
    <customSheetView guid="{DFE5B545-478C-4B86-847C-1FEE882C6F69}" hiddenRows="1" state="hidden">
      <selection activeCell="L21" sqref="L21"/>
      <pageMargins left="0.7" right="0.7" top="0.75" bottom="0.75" header="0.3" footer="0.3"/>
      <pageSetup paperSize="9" orientation="portrait" r:id="rId9"/>
    </customSheetView>
    <customSheetView guid="{971AA6D5-B469-4A54-816C-1252CCB6D265}" showPageBreaks="1" hiddenRows="1" state="hidden">
      <selection activeCell="L21" sqref="L21"/>
      <pageMargins left="0.7" right="0.7" top="0.75" bottom="0.75" header="0.3" footer="0.3"/>
      <pageSetup paperSize="9" orientation="portrait" r:id="rId10"/>
    </customSheetView>
  </customSheetViews>
  <mergeCells count="2">
    <mergeCell ref="D36:D37"/>
    <mergeCell ref="D39:D40"/>
  </mergeCells>
  <pageMargins left="0.7" right="0.7" top="0.75" bottom="0.75" header="0.3" footer="0.3"/>
  <pageSetup paperSize="9"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Y1058"/>
  <sheetViews>
    <sheetView view="pageBreakPreview" topLeftCell="A56" zoomScale="50" zoomScaleNormal="50" zoomScaleSheetLayoutView="50" workbookViewId="0">
      <selection activeCell="B56" sqref="B56"/>
    </sheetView>
  </sheetViews>
  <sheetFormatPr defaultColWidth="8.85546875" defaultRowHeight="18.75"/>
  <cols>
    <col min="1" max="1" width="8.140625" style="994" customWidth="1"/>
    <col min="2" max="2" width="55" style="995" customWidth="1"/>
    <col min="3" max="3" width="10.28515625" style="1085" customWidth="1"/>
    <col min="4" max="4" width="13.140625" style="1085" customWidth="1"/>
    <col min="5" max="5" width="22" style="1054" customWidth="1"/>
    <col min="6" max="6" width="6.5703125" style="1085" customWidth="1"/>
    <col min="7" max="7" width="6.7109375" style="1085" customWidth="1"/>
    <col min="8" max="8" width="20.140625" style="996" customWidth="1"/>
    <col min="9" max="9" width="19.7109375" style="996" customWidth="1"/>
    <col min="10" max="10" width="17" style="996" customWidth="1"/>
    <col min="11" max="11" width="13.7109375" style="1094" customWidth="1"/>
    <col min="12" max="12" width="25.42578125" style="996" customWidth="1"/>
    <col min="13" max="13" width="8.140625" style="996" customWidth="1"/>
    <col min="14" max="14" width="19.85546875" style="996" customWidth="1"/>
    <col min="15" max="15" width="25.42578125" style="996" customWidth="1"/>
    <col min="16" max="16" width="8.140625" style="996" customWidth="1"/>
    <col min="17" max="17" width="18.7109375" style="996" customWidth="1"/>
    <col min="18" max="18" width="12.28515625" style="1003" customWidth="1"/>
    <col min="19" max="19" width="9.28515625" style="1054" customWidth="1"/>
    <col min="20" max="16384" width="8.85546875" style="1085"/>
  </cols>
  <sheetData>
    <row r="1" spans="1:19" ht="18" customHeight="1">
      <c r="O1" s="1441" t="s">
        <v>2167</v>
      </c>
      <c r="P1" s="1441"/>
      <c r="Q1" s="1441"/>
      <c r="R1" s="1085"/>
      <c r="S1" s="1085"/>
    </row>
    <row r="2" spans="1:19" ht="151.5" customHeight="1">
      <c r="O2" s="1441"/>
      <c r="P2" s="1441"/>
      <c r="Q2" s="1441"/>
      <c r="R2" s="1085"/>
      <c r="S2" s="1085"/>
    </row>
    <row r="3" spans="1:19" ht="15" customHeight="1">
      <c r="O3" s="1086"/>
      <c r="P3" s="1086"/>
      <c r="Q3" s="1085"/>
      <c r="R3" s="1085"/>
      <c r="S3" s="1085"/>
    </row>
    <row r="4" spans="1:19" ht="21">
      <c r="A4" s="1442" t="s">
        <v>438</v>
      </c>
      <c r="B4" s="1443"/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</row>
    <row r="5" spans="1:19" ht="21">
      <c r="A5" s="1442" t="s">
        <v>1332</v>
      </c>
      <c r="B5" s="1443"/>
      <c r="C5" s="1443"/>
      <c r="D5" s="1443"/>
      <c r="E5" s="1443"/>
      <c r="F5" s="1443"/>
      <c r="G5" s="1443"/>
      <c r="H5" s="1443"/>
      <c r="I5" s="1443"/>
      <c r="J5" s="1443"/>
      <c r="K5" s="1443"/>
      <c r="L5" s="1443"/>
      <c r="M5" s="1443"/>
      <c r="N5" s="1443"/>
      <c r="O5" s="1443"/>
      <c r="P5" s="1443"/>
      <c r="Q5" s="1443"/>
      <c r="R5" s="1443"/>
      <c r="S5" s="1443"/>
    </row>
    <row r="6" spans="1:19" ht="21" customHeight="1">
      <c r="A6" s="1442" t="s">
        <v>1111</v>
      </c>
      <c r="B6" s="1443"/>
      <c r="C6" s="1443"/>
      <c r="D6" s="1443"/>
      <c r="E6" s="1443"/>
      <c r="F6" s="1443"/>
      <c r="G6" s="1443"/>
      <c r="H6" s="1443"/>
      <c r="I6" s="1443"/>
      <c r="J6" s="1443"/>
      <c r="K6" s="1443"/>
      <c r="L6" s="1443"/>
      <c r="M6" s="1443"/>
      <c r="N6" s="1443"/>
      <c r="O6" s="1443"/>
      <c r="P6" s="1443"/>
      <c r="Q6" s="1443"/>
      <c r="R6" s="1443"/>
      <c r="S6" s="1443"/>
    </row>
    <row r="7" spans="1:19" ht="36" customHeight="1">
      <c r="A7" s="1444" t="s">
        <v>38</v>
      </c>
      <c r="B7" s="1445"/>
      <c r="C7" s="1445"/>
      <c r="D7" s="1445"/>
      <c r="E7" s="1445"/>
      <c r="F7" s="1445"/>
      <c r="G7" s="1445"/>
      <c r="H7" s="1445"/>
      <c r="I7" s="1445"/>
      <c r="J7" s="1445"/>
      <c r="K7" s="1445"/>
      <c r="L7" s="1445"/>
      <c r="M7" s="1445"/>
      <c r="N7" s="1445"/>
      <c r="O7" s="1445"/>
      <c r="P7" s="1445"/>
      <c r="Q7" s="1445"/>
      <c r="R7" s="1445"/>
      <c r="S7" s="1445"/>
    </row>
    <row r="8" spans="1:19" ht="39.6" customHeight="1">
      <c r="A8" s="1430" t="s">
        <v>1043</v>
      </c>
      <c r="B8" s="1430" t="s">
        <v>1108</v>
      </c>
      <c r="C8" s="1446" t="s">
        <v>1</v>
      </c>
      <c r="D8" s="1446"/>
      <c r="E8" s="1440" t="s">
        <v>2</v>
      </c>
      <c r="F8" s="1440" t="s">
        <v>3</v>
      </c>
      <c r="G8" s="1440" t="s">
        <v>4</v>
      </c>
      <c r="H8" s="1438" t="s">
        <v>33</v>
      </c>
      <c r="I8" s="1436" t="s">
        <v>1072</v>
      </c>
      <c r="J8" s="1436"/>
      <c r="K8" s="1447" t="s">
        <v>6</v>
      </c>
      <c r="L8" s="1436" t="s">
        <v>7</v>
      </c>
      <c r="M8" s="1437"/>
      <c r="N8" s="1437"/>
      <c r="O8" s="1437"/>
      <c r="P8" s="1437"/>
      <c r="Q8" s="1437"/>
      <c r="R8" s="1430" t="s">
        <v>1071</v>
      </c>
      <c r="S8" s="1430"/>
    </row>
    <row r="9" spans="1:19" ht="26.45" customHeight="1">
      <c r="A9" s="1430"/>
      <c r="B9" s="1430"/>
      <c r="C9" s="1439" t="s">
        <v>11</v>
      </c>
      <c r="D9" s="1439" t="s">
        <v>32</v>
      </c>
      <c r="E9" s="1440"/>
      <c r="F9" s="1440"/>
      <c r="G9" s="1440"/>
      <c r="H9" s="1438"/>
      <c r="I9" s="1438" t="s">
        <v>440</v>
      </c>
      <c r="J9" s="1438" t="s">
        <v>13</v>
      </c>
      <c r="K9" s="1447"/>
      <c r="L9" s="1438" t="s">
        <v>440</v>
      </c>
      <c r="M9" s="1436" t="s">
        <v>18</v>
      </c>
      <c r="N9" s="1437"/>
      <c r="O9" s="1437"/>
      <c r="P9" s="1437"/>
      <c r="Q9" s="1437"/>
      <c r="R9" s="1430"/>
      <c r="S9" s="1430"/>
    </row>
    <row r="10" spans="1:19" ht="303" customHeight="1">
      <c r="A10" s="1430"/>
      <c r="B10" s="1430"/>
      <c r="C10" s="1439"/>
      <c r="D10" s="1439"/>
      <c r="E10" s="1440"/>
      <c r="F10" s="1440"/>
      <c r="G10" s="1440"/>
      <c r="H10" s="1438"/>
      <c r="I10" s="1438"/>
      <c r="J10" s="1438"/>
      <c r="K10" s="1447"/>
      <c r="L10" s="1438"/>
      <c r="M10" s="1117" t="s">
        <v>471</v>
      </c>
      <c r="N10" s="1117" t="s">
        <v>14</v>
      </c>
      <c r="O10" s="1117" t="s">
        <v>1073</v>
      </c>
      <c r="P10" s="1117" t="s">
        <v>1048</v>
      </c>
      <c r="Q10" s="1117" t="s">
        <v>1049</v>
      </c>
      <c r="R10" s="1439" t="s">
        <v>1061</v>
      </c>
      <c r="S10" s="1439" t="s">
        <v>1057</v>
      </c>
    </row>
    <row r="11" spans="1:19" ht="29.45" customHeight="1">
      <c r="A11" s="1430"/>
      <c r="B11" s="1430"/>
      <c r="C11" s="1439"/>
      <c r="D11" s="1439"/>
      <c r="E11" s="1440"/>
      <c r="F11" s="1440"/>
      <c r="G11" s="1440"/>
      <c r="H11" s="1118" t="s">
        <v>21</v>
      </c>
      <c r="I11" s="1118" t="s">
        <v>21</v>
      </c>
      <c r="J11" s="1118" t="s">
        <v>21</v>
      </c>
      <c r="K11" s="987" t="s">
        <v>16</v>
      </c>
      <c r="L11" s="1118" t="s">
        <v>17</v>
      </c>
      <c r="M11" s="1118" t="s">
        <v>17</v>
      </c>
      <c r="N11" s="1118" t="s">
        <v>17</v>
      </c>
      <c r="O11" s="1118" t="s">
        <v>17</v>
      </c>
      <c r="P11" s="1118" t="s">
        <v>17</v>
      </c>
      <c r="Q11" s="1118" t="s">
        <v>17</v>
      </c>
      <c r="R11" s="1439"/>
      <c r="S11" s="1439"/>
    </row>
    <row r="12" spans="1:19" ht="26.45" customHeight="1">
      <c r="A12" s="1114">
        <v>1</v>
      </c>
      <c r="B12" s="1114">
        <v>2</v>
      </c>
      <c r="C12" s="1116">
        <v>3</v>
      </c>
      <c r="D12" s="1116">
        <v>4</v>
      </c>
      <c r="E12" s="1116">
        <v>5</v>
      </c>
      <c r="F12" s="1116">
        <v>6</v>
      </c>
      <c r="G12" s="1116">
        <v>7</v>
      </c>
      <c r="H12" s="990">
        <v>8</v>
      </c>
      <c r="I12" s="990">
        <v>9</v>
      </c>
      <c r="J12" s="990">
        <v>10</v>
      </c>
      <c r="K12" s="1030">
        <v>11</v>
      </c>
      <c r="L12" s="990">
        <v>12</v>
      </c>
      <c r="M12" s="990">
        <v>13</v>
      </c>
      <c r="N12" s="990">
        <v>14</v>
      </c>
      <c r="O12" s="990">
        <v>15</v>
      </c>
      <c r="P12" s="990">
        <v>16</v>
      </c>
      <c r="Q12" s="990">
        <v>17</v>
      </c>
      <c r="R12" s="990">
        <v>18</v>
      </c>
      <c r="S12" s="990">
        <v>19</v>
      </c>
    </row>
    <row r="13" spans="1:19" ht="42" customHeight="1">
      <c r="A13" s="1430" t="s">
        <v>1333</v>
      </c>
      <c r="B13" s="1435"/>
      <c r="C13" s="1435"/>
      <c r="D13" s="1435"/>
      <c r="E13" s="1435"/>
      <c r="F13" s="1435"/>
      <c r="G13" s="1435"/>
      <c r="H13" s="1435"/>
      <c r="I13" s="1435"/>
      <c r="J13" s="1435"/>
      <c r="K13" s="1435"/>
      <c r="L13" s="1435"/>
      <c r="M13" s="1435"/>
      <c r="N13" s="1435"/>
      <c r="O13" s="1435"/>
      <c r="P13" s="1435"/>
      <c r="Q13" s="1435"/>
      <c r="R13" s="1435"/>
      <c r="S13" s="1435"/>
    </row>
    <row r="14" spans="1:19" s="992" customFormat="1" ht="36" customHeight="1">
      <c r="A14" s="1114"/>
      <c r="B14" s="1427" t="s">
        <v>205</v>
      </c>
      <c r="C14" s="1427"/>
      <c r="D14" s="1427"/>
      <c r="E14" s="1427"/>
      <c r="F14" s="1427"/>
      <c r="G14" s="1427"/>
      <c r="H14" s="993">
        <f t="shared" ref="H14:Q14" si="0">H16+H186+H188</f>
        <v>269245.16000000009</v>
      </c>
      <c r="I14" s="993">
        <f t="shared" si="0"/>
        <v>241838.58000000007</v>
      </c>
      <c r="J14" s="993">
        <f t="shared" si="0"/>
        <v>210818.86</v>
      </c>
      <c r="K14" s="987">
        <f t="shared" si="0"/>
        <v>9345</v>
      </c>
      <c r="L14" s="993">
        <f t="shared" si="0"/>
        <v>705543562.04000008</v>
      </c>
      <c r="M14" s="993">
        <f t="shared" si="0"/>
        <v>0</v>
      </c>
      <c r="N14" s="993">
        <f t="shared" si="0"/>
        <v>2025958.29</v>
      </c>
      <c r="O14" s="993">
        <f t="shared" si="0"/>
        <v>703517603.75</v>
      </c>
      <c r="P14" s="993">
        <f t="shared" si="0"/>
        <v>0</v>
      </c>
      <c r="Q14" s="993">
        <f t="shared" si="0"/>
        <v>0</v>
      </c>
      <c r="R14" s="1116" t="s">
        <v>40</v>
      </c>
      <c r="S14" s="1116" t="s">
        <v>40</v>
      </c>
    </row>
    <row r="15" spans="1:19" s="992" customFormat="1" ht="43.15" customHeight="1">
      <c r="A15" s="1430" t="s">
        <v>1106</v>
      </c>
      <c r="B15" s="1430"/>
      <c r="C15" s="1430"/>
      <c r="D15" s="1430"/>
      <c r="E15" s="1430"/>
      <c r="F15" s="1430"/>
      <c r="G15" s="1430"/>
      <c r="H15" s="1430"/>
      <c r="I15" s="1430"/>
      <c r="J15" s="1430"/>
      <c r="K15" s="1430"/>
      <c r="L15" s="1430"/>
      <c r="M15" s="1430"/>
      <c r="N15" s="1430"/>
      <c r="O15" s="1430"/>
      <c r="P15" s="1430"/>
      <c r="Q15" s="1430"/>
      <c r="R15" s="1430"/>
      <c r="S15" s="1430"/>
    </row>
    <row r="16" spans="1:19" s="992" customFormat="1" ht="36" customHeight="1">
      <c r="A16" s="1114"/>
      <c r="B16" s="1427" t="s">
        <v>42</v>
      </c>
      <c r="C16" s="1427"/>
      <c r="D16" s="1427"/>
      <c r="E16" s="1427"/>
      <c r="F16" s="1427"/>
      <c r="G16" s="1427"/>
      <c r="H16" s="993">
        <f>H17+H28+H38+H40+H46+H48+H54+H57+H63+H67+H71+H89+H97+H107+H114+H131+H133+H136+H140+H143+H153+H168+H171+H173+H175+H178+H181+H44+H69+H105+H166</f>
        <v>247796.16000000006</v>
      </c>
      <c r="I16" s="993">
        <f t="shared" ref="I16:Q16" si="1">I17+I28+I38+I40+I46+I48+I54+I57+I63+I67+I71+I89+I97+I107+I114+I131+I133+I136+I140+I143+I153+I168+I171+I173+I175+I178+I181+I44+I69+I105+I166</f>
        <v>224011.98000000007</v>
      </c>
      <c r="J16" s="993">
        <f t="shared" si="1"/>
        <v>192992.25999999998</v>
      </c>
      <c r="K16" s="993">
        <f t="shared" si="1"/>
        <v>8739</v>
      </c>
      <c r="L16" s="993">
        <f t="shared" si="1"/>
        <v>701401905.04000008</v>
      </c>
      <c r="M16" s="993">
        <f t="shared" si="1"/>
        <v>0</v>
      </c>
      <c r="N16" s="993">
        <f t="shared" si="1"/>
        <v>929107.29</v>
      </c>
      <c r="O16" s="993">
        <f t="shared" si="1"/>
        <v>700472797.75</v>
      </c>
      <c r="P16" s="993">
        <f t="shared" si="1"/>
        <v>0</v>
      </c>
      <c r="Q16" s="993">
        <f t="shared" si="1"/>
        <v>0</v>
      </c>
      <c r="R16" s="991" t="s">
        <v>40</v>
      </c>
      <c r="S16" s="991" t="s">
        <v>40</v>
      </c>
    </row>
    <row r="17" spans="1:19" s="992" customFormat="1" ht="46.9" customHeight="1">
      <c r="A17" s="1114"/>
      <c r="B17" s="1427" t="s">
        <v>1216</v>
      </c>
      <c r="C17" s="1427"/>
      <c r="D17" s="1427"/>
      <c r="E17" s="1427"/>
      <c r="F17" s="1427"/>
      <c r="G17" s="1427"/>
      <c r="H17" s="985">
        <f t="shared" ref="H17:Q17" si="2">SUM(H18:H27)</f>
        <v>33629.400000000009</v>
      </c>
      <c r="I17" s="985">
        <f t="shared" si="2"/>
        <v>30057.540000000005</v>
      </c>
      <c r="J17" s="985">
        <f t="shared" si="2"/>
        <v>27559.249999999996</v>
      </c>
      <c r="K17" s="1030">
        <f t="shared" si="2"/>
        <v>1724</v>
      </c>
      <c r="L17" s="985">
        <f t="shared" si="2"/>
        <v>158081640.28999999</v>
      </c>
      <c r="M17" s="985">
        <f t="shared" si="2"/>
        <v>0</v>
      </c>
      <c r="N17" s="985">
        <f t="shared" si="2"/>
        <v>0</v>
      </c>
      <c r="O17" s="985">
        <f t="shared" si="2"/>
        <v>158081640.28999999</v>
      </c>
      <c r="P17" s="985">
        <f t="shared" si="2"/>
        <v>0</v>
      </c>
      <c r="Q17" s="985">
        <f t="shared" si="2"/>
        <v>0</v>
      </c>
      <c r="R17" s="991" t="s">
        <v>40</v>
      </c>
      <c r="S17" s="991" t="s">
        <v>40</v>
      </c>
    </row>
    <row r="18" spans="1:19" s="992" customFormat="1" ht="42" customHeight="1">
      <c r="A18" s="1017">
        <v>1</v>
      </c>
      <c r="B18" s="1127" t="s">
        <v>1766</v>
      </c>
      <c r="C18" s="1017">
        <v>1982</v>
      </c>
      <c r="D18" s="1017"/>
      <c r="E18" s="1009" t="s">
        <v>218</v>
      </c>
      <c r="F18" s="1017">
        <v>9</v>
      </c>
      <c r="G18" s="1017">
        <v>2</v>
      </c>
      <c r="H18" s="1128">
        <v>5198.3</v>
      </c>
      <c r="I18" s="1128">
        <v>4623</v>
      </c>
      <c r="J18" s="1128">
        <v>4483.7</v>
      </c>
      <c r="K18" s="1017">
        <v>264</v>
      </c>
      <c r="L18" s="1129">
        <v>27935692.619999997</v>
      </c>
      <c r="M18" s="1130">
        <v>0</v>
      </c>
      <c r="N18" s="1130">
        <v>0</v>
      </c>
      <c r="O18" s="1129">
        <v>27935692.619999997</v>
      </c>
      <c r="P18" s="1130">
        <v>0</v>
      </c>
      <c r="Q18" s="1130">
        <v>0</v>
      </c>
      <c r="R18" s="1116">
        <v>2023</v>
      </c>
      <c r="S18" s="1017">
        <v>2023</v>
      </c>
    </row>
    <row r="19" spans="1:19" s="1019" customFormat="1" ht="45.6" customHeight="1">
      <c r="A19" s="1017">
        <v>2</v>
      </c>
      <c r="B19" s="1127" t="s">
        <v>1767</v>
      </c>
      <c r="C19" s="1017">
        <v>1975</v>
      </c>
      <c r="D19" s="1017"/>
      <c r="E19" s="1009" t="s">
        <v>219</v>
      </c>
      <c r="F19" s="1017">
        <v>9</v>
      </c>
      <c r="G19" s="1017">
        <v>1</v>
      </c>
      <c r="H19" s="1128">
        <v>9856.7999999999993</v>
      </c>
      <c r="I19" s="1128">
        <v>8952.84</v>
      </c>
      <c r="J19" s="1128">
        <v>7603.75</v>
      </c>
      <c r="K19" s="1017">
        <v>682</v>
      </c>
      <c r="L19" s="1129">
        <v>14500229.309999999</v>
      </c>
      <c r="M19" s="1130">
        <v>0</v>
      </c>
      <c r="N19" s="1130">
        <v>0</v>
      </c>
      <c r="O19" s="1129">
        <v>14500229.309999999</v>
      </c>
      <c r="P19" s="1130">
        <v>0</v>
      </c>
      <c r="Q19" s="1130">
        <v>0</v>
      </c>
      <c r="R19" s="1116">
        <v>2023</v>
      </c>
      <c r="S19" s="1017">
        <v>2023</v>
      </c>
    </row>
    <row r="20" spans="1:19" s="1019" customFormat="1" ht="39.6" customHeight="1">
      <c r="A20" s="1017">
        <v>3</v>
      </c>
      <c r="B20" s="1127" t="s">
        <v>1768</v>
      </c>
      <c r="C20" s="1017">
        <v>1974</v>
      </c>
      <c r="D20" s="1017"/>
      <c r="E20" s="1009" t="s">
        <v>220</v>
      </c>
      <c r="F20" s="1017">
        <v>12</v>
      </c>
      <c r="G20" s="1017">
        <v>1</v>
      </c>
      <c r="H20" s="1128">
        <v>4063.2</v>
      </c>
      <c r="I20" s="1128">
        <v>3632.2</v>
      </c>
      <c r="J20" s="1128">
        <v>3460.2</v>
      </c>
      <c r="K20" s="1017">
        <v>224</v>
      </c>
      <c r="L20" s="1129">
        <v>37984944.43</v>
      </c>
      <c r="M20" s="1130">
        <v>0</v>
      </c>
      <c r="N20" s="1130">
        <v>0</v>
      </c>
      <c r="O20" s="1129">
        <v>37984944.43</v>
      </c>
      <c r="P20" s="1130">
        <v>0</v>
      </c>
      <c r="Q20" s="1130">
        <v>0</v>
      </c>
      <c r="R20" s="1116">
        <v>2023</v>
      </c>
      <c r="S20" s="1017">
        <v>2023</v>
      </c>
    </row>
    <row r="21" spans="1:19" s="1019" customFormat="1" ht="39" customHeight="1">
      <c r="A21" s="1017">
        <v>4</v>
      </c>
      <c r="B21" s="1127" t="s">
        <v>1769</v>
      </c>
      <c r="C21" s="1017">
        <v>1992</v>
      </c>
      <c r="D21" s="1017"/>
      <c r="E21" s="1009" t="s">
        <v>219</v>
      </c>
      <c r="F21" s="1017">
        <v>9</v>
      </c>
      <c r="G21" s="1017">
        <v>4</v>
      </c>
      <c r="H21" s="1128">
        <v>8424.7000000000007</v>
      </c>
      <c r="I21" s="1128">
        <v>7359.5</v>
      </c>
      <c r="J21" s="1128">
        <f>I21-239.9</f>
        <v>7119.6</v>
      </c>
      <c r="K21" s="1017">
        <v>288</v>
      </c>
      <c r="L21" s="1129">
        <v>12241360.51</v>
      </c>
      <c r="M21" s="1130">
        <v>0</v>
      </c>
      <c r="N21" s="1130">
        <v>0</v>
      </c>
      <c r="O21" s="1129">
        <v>12241360.51</v>
      </c>
      <c r="P21" s="1130">
        <v>0</v>
      </c>
      <c r="Q21" s="1130">
        <v>0</v>
      </c>
      <c r="R21" s="1116">
        <v>2023</v>
      </c>
      <c r="S21" s="1017">
        <v>2023</v>
      </c>
    </row>
    <row r="22" spans="1:19" s="1019" customFormat="1" ht="45.6" customHeight="1">
      <c r="A22" s="1017">
        <v>5</v>
      </c>
      <c r="B22" s="1127" t="s">
        <v>1770</v>
      </c>
      <c r="C22" s="1017" t="s">
        <v>190</v>
      </c>
      <c r="D22" s="1017"/>
      <c r="E22" s="1009" t="s">
        <v>218</v>
      </c>
      <c r="F22" s="1017">
        <v>2</v>
      </c>
      <c r="G22" s="1017">
        <v>3</v>
      </c>
      <c r="H22" s="1128">
        <v>698.4</v>
      </c>
      <c r="I22" s="1128">
        <v>550.20000000000005</v>
      </c>
      <c r="J22" s="1128">
        <f>I22-36.9</f>
        <v>513.30000000000007</v>
      </c>
      <c r="K22" s="1017">
        <v>25</v>
      </c>
      <c r="L22" s="1129">
        <v>3215641</v>
      </c>
      <c r="M22" s="1130">
        <v>0</v>
      </c>
      <c r="N22" s="1130">
        <v>0</v>
      </c>
      <c r="O22" s="1129">
        <v>3215641</v>
      </c>
      <c r="P22" s="1130">
        <v>0</v>
      </c>
      <c r="Q22" s="1130">
        <v>0</v>
      </c>
      <c r="R22" s="1116">
        <v>2023</v>
      </c>
      <c r="S22" s="1017">
        <v>2023</v>
      </c>
    </row>
    <row r="23" spans="1:19" s="1019" customFormat="1" ht="45.6" customHeight="1">
      <c r="A23" s="1017">
        <v>6</v>
      </c>
      <c r="B23" s="1127" t="s">
        <v>1771</v>
      </c>
      <c r="C23" s="1022">
        <v>1959</v>
      </c>
      <c r="D23" s="1022"/>
      <c r="E23" s="1021" t="s">
        <v>218</v>
      </c>
      <c r="F23" s="1022">
        <v>2</v>
      </c>
      <c r="G23" s="1022">
        <v>2</v>
      </c>
      <c r="H23" s="991">
        <v>509.4</v>
      </c>
      <c r="I23" s="991">
        <v>465.7</v>
      </c>
      <c r="J23" s="991">
        <v>372.4</v>
      </c>
      <c r="K23" s="1131">
        <v>23</v>
      </c>
      <c r="L23" s="1129">
        <v>5225790.5500000007</v>
      </c>
      <c r="M23" s="1130">
        <v>0</v>
      </c>
      <c r="N23" s="1130">
        <v>0</v>
      </c>
      <c r="O23" s="1129">
        <v>5225790.5500000007</v>
      </c>
      <c r="P23" s="1130">
        <v>0</v>
      </c>
      <c r="Q23" s="1130">
        <v>0</v>
      </c>
      <c r="R23" s="1116">
        <v>2023</v>
      </c>
      <c r="S23" s="1017">
        <v>2023</v>
      </c>
    </row>
    <row r="24" spans="1:19" s="1019" customFormat="1" ht="42" customHeight="1">
      <c r="A24" s="1017">
        <v>7</v>
      </c>
      <c r="B24" s="1127" t="s">
        <v>1772</v>
      </c>
      <c r="C24" s="1017">
        <v>1949</v>
      </c>
      <c r="D24" s="1017"/>
      <c r="E24" s="1009" t="s">
        <v>218</v>
      </c>
      <c r="F24" s="1017">
        <v>2</v>
      </c>
      <c r="G24" s="1017">
        <v>1</v>
      </c>
      <c r="H24" s="1128">
        <v>396.5</v>
      </c>
      <c r="I24" s="1128">
        <v>363.4</v>
      </c>
      <c r="J24" s="1128">
        <f>I24-128.8</f>
        <v>234.59999999999997</v>
      </c>
      <c r="K24" s="1017">
        <v>27</v>
      </c>
      <c r="L24" s="1129">
        <v>8117052.129999999</v>
      </c>
      <c r="M24" s="1130">
        <v>0</v>
      </c>
      <c r="N24" s="1130">
        <v>0</v>
      </c>
      <c r="O24" s="1129">
        <v>8117052.129999999</v>
      </c>
      <c r="P24" s="1130">
        <v>0</v>
      </c>
      <c r="Q24" s="1130">
        <v>0</v>
      </c>
      <c r="R24" s="1116">
        <v>2023</v>
      </c>
      <c r="S24" s="1017">
        <v>2023</v>
      </c>
    </row>
    <row r="25" spans="1:19" s="1019" customFormat="1" ht="42" customHeight="1">
      <c r="A25" s="1017">
        <v>8</v>
      </c>
      <c r="B25" s="1127" t="s">
        <v>1773</v>
      </c>
      <c r="C25" s="1017">
        <v>1965</v>
      </c>
      <c r="D25" s="1017"/>
      <c r="E25" s="1009" t="s">
        <v>218</v>
      </c>
      <c r="F25" s="1017">
        <v>5</v>
      </c>
      <c r="G25" s="1017">
        <v>2</v>
      </c>
      <c r="H25" s="1128">
        <v>1733.2</v>
      </c>
      <c r="I25" s="1128">
        <f>1449+160.2</f>
        <v>1609.2</v>
      </c>
      <c r="J25" s="1128">
        <v>1523.3</v>
      </c>
      <c r="K25" s="1017">
        <v>68</v>
      </c>
      <c r="L25" s="1132">
        <v>18401541.02</v>
      </c>
      <c r="M25" s="1130">
        <v>0</v>
      </c>
      <c r="N25" s="1130">
        <v>0</v>
      </c>
      <c r="O25" s="1132">
        <v>18401541.02</v>
      </c>
      <c r="P25" s="1130">
        <v>0</v>
      </c>
      <c r="Q25" s="1130">
        <v>0</v>
      </c>
      <c r="R25" s="1116">
        <v>2023</v>
      </c>
      <c r="S25" s="1017">
        <v>2023</v>
      </c>
    </row>
    <row r="26" spans="1:19" s="1019" customFormat="1" ht="43.15" customHeight="1">
      <c r="A26" s="1017">
        <v>9</v>
      </c>
      <c r="B26" s="1127" t="s">
        <v>1774</v>
      </c>
      <c r="C26" s="1017">
        <v>1973</v>
      </c>
      <c r="D26" s="1017"/>
      <c r="E26" s="1009" t="s">
        <v>218</v>
      </c>
      <c r="F26" s="1017">
        <v>5</v>
      </c>
      <c r="G26" s="1017">
        <v>2</v>
      </c>
      <c r="H26" s="1128">
        <v>1953.1</v>
      </c>
      <c r="I26" s="1128">
        <v>1763.3</v>
      </c>
      <c r="J26" s="1128">
        <f>I26-226</f>
        <v>1537.3</v>
      </c>
      <c r="K26" s="1017">
        <v>84</v>
      </c>
      <c r="L26" s="1132">
        <v>18306453</v>
      </c>
      <c r="M26" s="1130">
        <v>0</v>
      </c>
      <c r="N26" s="1130">
        <v>0</v>
      </c>
      <c r="O26" s="1132">
        <v>18306453</v>
      </c>
      <c r="P26" s="1130">
        <v>0</v>
      </c>
      <c r="Q26" s="1130">
        <v>0</v>
      </c>
      <c r="R26" s="1116">
        <v>2023</v>
      </c>
      <c r="S26" s="1017">
        <v>2023</v>
      </c>
    </row>
    <row r="27" spans="1:19" s="1019" customFormat="1" ht="39.6" customHeight="1">
      <c r="A27" s="1017">
        <v>10</v>
      </c>
      <c r="B27" s="1127" t="s">
        <v>1775</v>
      </c>
      <c r="C27" s="1017">
        <v>1971</v>
      </c>
      <c r="D27" s="1017"/>
      <c r="E27" s="1009" t="s">
        <v>218</v>
      </c>
      <c r="F27" s="1017">
        <v>2</v>
      </c>
      <c r="G27" s="1017">
        <v>2</v>
      </c>
      <c r="H27" s="1128">
        <v>795.8</v>
      </c>
      <c r="I27" s="1128">
        <v>738.2</v>
      </c>
      <c r="J27" s="1128">
        <v>711.1</v>
      </c>
      <c r="K27" s="1017">
        <v>39</v>
      </c>
      <c r="L27" s="1132">
        <v>12152935.720000001</v>
      </c>
      <c r="M27" s="1130">
        <v>0</v>
      </c>
      <c r="N27" s="1130">
        <v>0</v>
      </c>
      <c r="O27" s="1132">
        <v>12152935.720000001</v>
      </c>
      <c r="P27" s="1130">
        <v>0</v>
      </c>
      <c r="Q27" s="1130">
        <v>0</v>
      </c>
      <c r="R27" s="1116">
        <v>2023</v>
      </c>
      <c r="S27" s="1017">
        <v>2023</v>
      </c>
    </row>
    <row r="28" spans="1:19" s="1020" customFormat="1" ht="37.9" customHeight="1">
      <c r="A28" s="1114"/>
      <c r="B28" s="1427" t="s">
        <v>1093</v>
      </c>
      <c r="C28" s="1427"/>
      <c r="D28" s="1427"/>
      <c r="E28" s="1427"/>
      <c r="F28" s="1427"/>
      <c r="G28" s="1427"/>
      <c r="H28" s="985">
        <f t="shared" ref="H28:Q28" si="3">SUM(H29:H37)</f>
        <v>14598.1</v>
      </c>
      <c r="I28" s="985">
        <f t="shared" si="3"/>
        <v>14061.1</v>
      </c>
      <c r="J28" s="985">
        <f t="shared" si="3"/>
        <v>12291.640000000001</v>
      </c>
      <c r="K28" s="1030">
        <f t="shared" si="3"/>
        <v>530</v>
      </c>
      <c r="L28" s="985">
        <f t="shared" si="3"/>
        <v>28532348.180000003</v>
      </c>
      <c r="M28" s="985">
        <f t="shared" si="3"/>
        <v>0</v>
      </c>
      <c r="N28" s="985">
        <f t="shared" si="3"/>
        <v>0</v>
      </c>
      <c r="O28" s="985">
        <f t="shared" si="3"/>
        <v>28532348.180000003</v>
      </c>
      <c r="P28" s="985">
        <f t="shared" si="3"/>
        <v>0</v>
      </c>
      <c r="Q28" s="985">
        <f t="shared" si="3"/>
        <v>0</v>
      </c>
      <c r="R28" s="991" t="s">
        <v>40</v>
      </c>
      <c r="S28" s="991" t="s">
        <v>40</v>
      </c>
    </row>
    <row r="29" spans="1:19" s="1020" customFormat="1" ht="61.15" customHeight="1">
      <c r="A29" s="1021">
        <v>11</v>
      </c>
      <c r="B29" s="1115" t="s">
        <v>1724</v>
      </c>
      <c r="C29" s="1133">
        <v>1992</v>
      </c>
      <c r="D29" s="1114"/>
      <c r="E29" s="1114" t="s">
        <v>218</v>
      </c>
      <c r="F29" s="1114">
        <v>3</v>
      </c>
      <c r="G29" s="1114">
        <v>3</v>
      </c>
      <c r="H29" s="993">
        <v>1504.7</v>
      </c>
      <c r="I29" s="993">
        <v>1504.7</v>
      </c>
      <c r="J29" s="993">
        <v>1326.7</v>
      </c>
      <c r="K29" s="1098">
        <v>45</v>
      </c>
      <c r="L29" s="993">
        <v>4898148.28</v>
      </c>
      <c r="M29" s="985">
        <v>0</v>
      </c>
      <c r="N29" s="993">
        <v>0</v>
      </c>
      <c r="O29" s="993">
        <v>4898148.28</v>
      </c>
      <c r="P29" s="985">
        <v>0</v>
      </c>
      <c r="Q29" s="993">
        <v>0</v>
      </c>
      <c r="R29" s="1009">
        <v>2023</v>
      </c>
      <c r="S29" s="1114">
        <v>2023</v>
      </c>
    </row>
    <row r="30" spans="1:19" s="1020" customFormat="1" ht="48.6" customHeight="1">
      <c r="A30" s="1021">
        <v>12</v>
      </c>
      <c r="B30" s="1115" t="s">
        <v>1718</v>
      </c>
      <c r="C30" s="1133" t="s">
        <v>190</v>
      </c>
      <c r="D30" s="1114"/>
      <c r="E30" s="1005" t="s">
        <v>218</v>
      </c>
      <c r="F30" s="1114">
        <v>3</v>
      </c>
      <c r="G30" s="1114">
        <v>2</v>
      </c>
      <c r="H30" s="993">
        <v>769.1</v>
      </c>
      <c r="I30" s="993">
        <v>769.1</v>
      </c>
      <c r="J30" s="993">
        <v>772.7</v>
      </c>
      <c r="K30" s="1098">
        <v>25</v>
      </c>
      <c r="L30" s="993">
        <v>1191236</v>
      </c>
      <c r="M30" s="985">
        <v>0</v>
      </c>
      <c r="N30" s="993">
        <v>0</v>
      </c>
      <c r="O30" s="993">
        <v>1191236</v>
      </c>
      <c r="P30" s="985">
        <v>0</v>
      </c>
      <c r="Q30" s="993">
        <v>0</v>
      </c>
      <c r="R30" s="1009">
        <v>2023</v>
      </c>
      <c r="S30" s="1114">
        <v>2023</v>
      </c>
    </row>
    <row r="31" spans="1:19" s="1020" customFormat="1" ht="48.6" customHeight="1">
      <c r="A31" s="1021">
        <v>13</v>
      </c>
      <c r="B31" s="1115" t="s">
        <v>1719</v>
      </c>
      <c r="C31" s="1114">
        <v>1970</v>
      </c>
      <c r="D31" s="1114"/>
      <c r="E31" s="1114" t="s">
        <v>218</v>
      </c>
      <c r="F31" s="1114">
        <v>5</v>
      </c>
      <c r="G31" s="1114">
        <v>6</v>
      </c>
      <c r="H31" s="993">
        <v>4352.3</v>
      </c>
      <c r="I31" s="993">
        <v>4352.2</v>
      </c>
      <c r="J31" s="993">
        <v>2916.04</v>
      </c>
      <c r="K31" s="1098">
        <v>176</v>
      </c>
      <c r="L31" s="993">
        <v>6253469.2199999997</v>
      </c>
      <c r="M31" s="985">
        <v>0</v>
      </c>
      <c r="N31" s="993">
        <v>0</v>
      </c>
      <c r="O31" s="993">
        <v>6253469.2199999997</v>
      </c>
      <c r="P31" s="985">
        <v>0</v>
      </c>
      <c r="Q31" s="993">
        <v>0</v>
      </c>
      <c r="R31" s="1009">
        <v>2023</v>
      </c>
      <c r="S31" s="1114">
        <v>2023</v>
      </c>
    </row>
    <row r="32" spans="1:19" s="1020" customFormat="1" ht="47.45" customHeight="1">
      <c r="A32" s="1021">
        <v>14</v>
      </c>
      <c r="B32" s="1115" t="s">
        <v>1725</v>
      </c>
      <c r="C32" s="1133">
        <v>1978</v>
      </c>
      <c r="D32" s="1114"/>
      <c r="E32" s="1005" t="s">
        <v>218</v>
      </c>
      <c r="F32" s="1114">
        <v>2</v>
      </c>
      <c r="G32" s="1114">
        <v>3</v>
      </c>
      <c r="H32" s="993">
        <v>898.3</v>
      </c>
      <c r="I32" s="993">
        <v>898.3</v>
      </c>
      <c r="J32" s="993">
        <v>898.3</v>
      </c>
      <c r="K32" s="1098">
        <v>34</v>
      </c>
      <c r="L32" s="993">
        <v>3863966.72</v>
      </c>
      <c r="M32" s="985">
        <v>0</v>
      </c>
      <c r="N32" s="993">
        <v>0</v>
      </c>
      <c r="O32" s="993">
        <v>3863966.72</v>
      </c>
      <c r="P32" s="985">
        <v>0</v>
      </c>
      <c r="Q32" s="993">
        <v>0</v>
      </c>
      <c r="R32" s="1009">
        <v>2023</v>
      </c>
      <c r="S32" s="1114">
        <v>2023</v>
      </c>
    </row>
    <row r="33" spans="1:19" s="1020" customFormat="1" ht="42" customHeight="1">
      <c r="A33" s="1021">
        <v>15</v>
      </c>
      <c r="B33" s="1115" t="s">
        <v>1720</v>
      </c>
      <c r="C33" s="1133">
        <v>1955</v>
      </c>
      <c r="D33" s="1114"/>
      <c r="E33" s="1005" t="s">
        <v>218</v>
      </c>
      <c r="F33" s="1114">
        <v>2</v>
      </c>
      <c r="G33" s="1114">
        <v>2</v>
      </c>
      <c r="H33" s="993">
        <v>686.3</v>
      </c>
      <c r="I33" s="993">
        <v>686.3</v>
      </c>
      <c r="J33" s="993">
        <v>686.3</v>
      </c>
      <c r="K33" s="1098">
        <v>21</v>
      </c>
      <c r="L33" s="993">
        <v>7720509.6200000001</v>
      </c>
      <c r="M33" s="985">
        <v>0</v>
      </c>
      <c r="N33" s="993">
        <v>0</v>
      </c>
      <c r="O33" s="993">
        <v>7720509.6200000001</v>
      </c>
      <c r="P33" s="985">
        <v>0</v>
      </c>
      <c r="Q33" s="993">
        <v>0</v>
      </c>
      <c r="R33" s="1009">
        <v>2023</v>
      </c>
      <c r="S33" s="1114">
        <v>2023</v>
      </c>
    </row>
    <row r="34" spans="1:19" s="1020" customFormat="1" ht="41.45" customHeight="1">
      <c r="A34" s="1021">
        <v>16</v>
      </c>
      <c r="B34" s="1115" t="s">
        <v>1721</v>
      </c>
      <c r="C34" s="1133" t="s">
        <v>190</v>
      </c>
      <c r="D34" s="1114"/>
      <c r="E34" s="1005" t="s">
        <v>218</v>
      </c>
      <c r="F34" s="1114">
        <v>3</v>
      </c>
      <c r="G34" s="1114">
        <v>5</v>
      </c>
      <c r="H34" s="993">
        <v>2560.5</v>
      </c>
      <c r="I34" s="993">
        <v>2318.5</v>
      </c>
      <c r="J34" s="993">
        <v>2291.1999999999998</v>
      </c>
      <c r="K34" s="1098">
        <v>84</v>
      </c>
      <c r="L34" s="993">
        <v>1210508</v>
      </c>
      <c r="M34" s="985">
        <v>0</v>
      </c>
      <c r="N34" s="993">
        <v>0</v>
      </c>
      <c r="O34" s="993">
        <v>1210508</v>
      </c>
      <c r="P34" s="985">
        <v>0</v>
      </c>
      <c r="Q34" s="993">
        <v>0</v>
      </c>
      <c r="R34" s="1009">
        <v>2023</v>
      </c>
      <c r="S34" s="1114">
        <v>2023</v>
      </c>
    </row>
    <row r="35" spans="1:19" s="2" customFormat="1" ht="36.75" customHeight="1">
      <c r="A35" s="1021">
        <v>17</v>
      </c>
      <c r="B35" s="1115" t="s">
        <v>1123</v>
      </c>
      <c r="C35" s="1133" t="s">
        <v>190</v>
      </c>
      <c r="D35" s="1114"/>
      <c r="E35" s="1005" t="s">
        <v>221</v>
      </c>
      <c r="F35" s="1114">
        <v>1</v>
      </c>
      <c r="G35" s="1114">
        <v>3</v>
      </c>
      <c r="H35" s="993">
        <v>192.9</v>
      </c>
      <c r="I35" s="993">
        <v>190.9</v>
      </c>
      <c r="J35" s="993">
        <v>199.8</v>
      </c>
      <c r="K35" s="1098">
        <v>14</v>
      </c>
      <c r="L35" s="993">
        <v>3151976.83</v>
      </c>
      <c r="M35" s="985">
        <v>0</v>
      </c>
      <c r="N35" s="993">
        <v>0</v>
      </c>
      <c r="O35" s="993">
        <v>3151976.83</v>
      </c>
      <c r="P35" s="985">
        <v>0</v>
      </c>
      <c r="Q35" s="993">
        <v>0</v>
      </c>
      <c r="R35" s="1009">
        <v>2023</v>
      </c>
      <c r="S35" s="1114">
        <v>2023</v>
      </c>
    </row>
    <row r="36" spans="1:19" s="2" customFormat="1" ht="42.6" customHeight="1">
      <c r="A36" s="1021">
        <v>18</v>
      </c>
      <c r="B36" s="1115" t="s">
        <v>1722</v>
      </c>
      <c r="C36" s="1133">
        <v>1964</v>
      </c>
      <c r="D36" s="1114"/>
      <c r="E36" s="1005" t="s">
        <v>218</v>
      </c>
      <c r="F36" s="1114">
        <v>4</v>
      </c>
      <c r="G36" s="1114">
        <v>5</v>
      </c>
      <c r="H36" s="993">
        <v>2703.4</v>
      </c>
      <c r="I36" s="993">
        <v>2503.6</v>
      </c>
      <c r="J36" s="993">
        <v>2503.6</v>
      </c>
      <c r="K36" s="1098">
        <v>102</v>
      </c>
      <c r="L36" s="993">
        <v>146528.6</v>
      </c>
      <c r="M36" s="985">
        <v>0</v>
      </c>
      <c r="N36" s="993">
        <v>0</v>
      </c>
      <c r="O36" s="993">
        <v>146528.6</v>
      </c>
      <c r="P36" s="985">
        <v>0</v>
      </c>
      <c r="Q36" s="993">
        <v>0</v>
      </c>
      <c r="R36" s="1009">
        <v>2023</v>
      </c>
      <c r="S36" s="1114">
        <v>2023</v>
      </c>
    </row>
    <row r="37" spans="1:19" s="2" customFormat="1" ht="41.45" customHeight="1">
      <c r="A37" s="1021">
        <v>19</v>
      </c>
      <c r="B37" s="1115" t="s">
        <v>1723</v>
      </c>
      <c r="C37" s="1133" t="s">
        <v>190</v>
      </c>
      <c r="D37" s="1114"/>
      <c r="E37" s="1005" t="s">
        <v>218</v>
      </c>
      <c r="F37" s="1114">
        <v>3</v>
      </c>
      <c r="G37" s="1114">
        <v>1</v>
      </c>
      <c r="H37" s="993">
        <v>930.6</v>
      </c>
      <c r="I37" s="993">
        <v>837.5</v>
      </c>
      <c r="J37" s="993">
        <v>697</v>
      </c>
      <c r="K37" s="1098">
        <v>29</v>
      </c>
      <c r="L37" s="993">
        <v>96004.91</v>
      </c>
      <c r="M37" s="985">
        <v>0</v>
      </c>
      <c r="N37" s="993">
        <v>0</v>
      </c>
      <c r="O37" s="993">
        <v>96004.91</v>
      </c>
      <c r="P37" s="985">
        <v>0</v>
      </c>
      <c r="Q37" s="993">
        <v>0</v>
      </c>
      <c r="R37" s="1009">
        <v>2023</v>
      </c>
      <c r="S37" s="1114">
        <v>2023</v>
      </c>
    </row>
    <row r="38" spans="1:19" s="992" customFormat="1" ht="36" customHeight="1">
      <c r="A38" s="1114"/>
      <c r="B38" s="1427" t="s">
        <v>1024</v>
      </c>
      <c r="C38" s="1426"/>
      <c r="D38" s="1426"/>
      <c r="E38" s="1426"/>
      <c r="F38" s="1426"/>
      <c r="G38" s="1426"/>
      <c r="H38" s="985">
        <f t="shared" ref="H38:Q38" si="4">SUM(H39:H39)</f>
        <v>1124.0999999999999</v>
      </c>
      <c r="I38" s="985">
        <f t="shared" si="4"/>
        <v>917.5</v>
      </c>
      <c r="J38" s="985">
        <f t="shared" si="4"/>
        <v>871.6</v>
      </c>
      <c r="K38" s="1030">
        <f t="shared" si="4"/>
        <v>43</v>
      </c>
      <c r="L38" s="985">
        <f t="shared" si="4"/>
        <v>10176539.5</v>
      </c>
      <c r="M38" s="985">
        <f t="shared" si="4"/>
        <v>0</v>
      </c>
      <c r="N38" s="985">
        <f t="shared" si="4"/>
        <v>0</v>
      </c>
      <c r="O38" s="985">
        <f t="shared" si="4"/>
        <v>10176539.5</v>
      </c>
      <c r="P38" s="985">
        <f t="shared" si="4"/>
        <v>0</v>
      </c>
      <c r="Q38" s="985">
        <f t="shared" si="4"/>
        <v>0</v>
      </c>
      <c r="R38" s="991" t="s">
        <v>40</v>
      </c>
      <c r="S38" s="991" t="s">
        <v>40</v>
      </c>
    </row>
    <row r="39" spans="1:19" s="992" customFormat="1" ht="39.6" customHeight="1">
      <c r="A39" s="1116">
        <v>20</v>
      </c>
      <c r="B39" s="1113" t="s">
        <v>1404</v>
      </c>
      <c r="C39" s="1116">
        <v>1959</v>
      </c>
      <c r="D39" s="1116"/>
      <c r="E39" s="1114" t="s">
        <v>218</v>
      </c>
      <c r="F39" s="1116">
        <v>3</v>
      </c>
      <c r="G39" s="1116">
        <v>2</v>
      </c>
      <c r="H39" s="985">
        <v>1124.0999999999999</v>
      </c>
      <c r="I39" s="985">
        <v>917.5</v>
      </c>
      <c r="J39" s="985">
        <v>871.6</v>
      </c>
      <c r="K39" s="1030">
        <v>43</v>
      </c>
      <c r="L39" s="985">
        <v>10176539.5</v>
      </c>
      <c r="M39" s="985">
        <v>0</v>
      </c>
      <c r="N39" s="985">
        <v>0</v>
      </c>
      <c r="O39" s="985">
        <v>10176539.5</v>
      </c>
      <c r="P39" s="985">
        <v>0</v>
      </c>
      <c r="Q39" s="985">
        <v>0</v>
      </c>
      <c r="R39" s="987">
        <v>2023</v>
      </c>
      <c r="S39" s="987">
        <v>2023</v>
      </c>
    </row>
    <row r="40" spans="1:19" s="992" customFormat="1" ht="36" customHeight="1">
      <c r="A40" s="1116"/>
      <c r="B40" s="1111" t="s">
        <v>1055</v>
      </c>
      <c r="C40" s="1116"/>
      <c r="D40" s="1096"/>
      <c r="E40" s="1114"/>
      <c r="F40" s="1116"/>
      <c r="G40" s="1116"/>
      <c r="H40" s="1024">
        <f>H41+H42+H43</f>
        <v>7962.7</v>
      </c>
      <c r="I40" s="1024">
        <f t="shared" ref="I40:Q40" si="5">I41+I42+I43</f>
        <v>5286.5</v>
      </c>
      <c r="J40" s="1024">
        <f t="shared" si="5"/>
        <v>4291.8</v>
      </c>
      <c r="K40" s="1030">
        <f t="shared" si="5"/>
        <v>211</v>
      </c>
      <c r="L40" s="1024">
        <f t="shared" si="5"/>
        <v>14556403.25</v>
      </c>
      <c r="M40" s="1024">
        <f t="shared" si="5"/>
        <v>0</v>
      </c>
      <c r="N40" s="1024">
        <f t="shared" si="5"/>
        <v>0</v>
      </c>
      <c r="O40" s="1024">
        <f t="shared" si="5"/>
        <v>14556403.25</v>
      </c>
      <c r="P40" s="1024">
        <f t="shared" si="5"/>
        <v>0</v>
      </c>
      <c r="Q40" s="1024">
        <f t="shared" si="5"/>
        <v>0</v>
      </c>
      <c r="R40" s="991" t="s">
        <v>40</v>
      </c>
      <c r="S40" s="991" t="s">
        <v>40</v>
      </c>
    </row>
    <row r="41" spans="1:19" s="992" customFormat="1" ht="42" customHeight="1">
      <c r="A41" s="1116">
        <v>21</v>
      </c>
      <c r="B41" s="1115" t="s">
        <v>1564</v>
      </c>
      <c r="C41" s="1116">
        <v>1963</v>
      </c>
      <c r="D41" s="1116"/>
      <c r="E41" s="1114" t="s">
        <v>218</v>
      </c>
      <c r="F41" s="1116">
        <v>3</v>
      </c>
      <c r="G41" s="1116">
        <v>2</v>
      </c>
      <c r="H41" s="1024">
        <v>1024.5999999999999</v>
      </c>
      <c r="I41" s="1024">
        <v>904.1</v>
      </c>
      <c r="J41" s="1024">
        <v>784.5</v>
      </c>
      <c r="K41" s="1030">
        <v>38</v>
      </c>
      <c r="L41" s="1024">
        <v>5170782.2300000004</v>
      </c>
      <c r="M41" s="1024">
        <v>0</v>
      </c>
      <c r="N41" s="1024">
        <v>0</v>
      </c>
      <c r="O41" s="1024">
        <v>5170782.2300000004</v>
      </c>
      <c r="P41" s="1024">
        <v>0</v>
      </c>
      <c r="Q41" s="1024">
        <v>0</v>
      </c>
      <c r="R41" s="987">
        <v>2023</v>
      </c>
      <c r="S41" s="987">
        <v>2023</v>
      </c>
    </row>
    <row r="42" spans="1:19" s="992" customFormat="1" ht="38.450000000000003" customHeight="1">
      <c r="A42" s="1116">
        <v>22</v>
      </c>
      <c r="B42" s="1115" t="s">
        <v>1565</v>
      </c>
      <c r="C42" s="1116">
        <v>1963</v>
      </c>
      <c r="D42" s="1116"/>
      <c r="E42" s="1114" t="s">
        <v>218</v>
      </c>
      <c r="F42" s="1116">
        <v>3</v>
      </c>
      <c r="G42" s="1116">
        <v>2</v>
      </c>
      <c r="H42" s="1024">
        <v>1048.7</v>
      </c>
      <c r="I42" s="1024">
        <v>934.5</v>
      </c>
      <c r="J42" s="1024">
        <v>675.5</v>
      </c>
      <c r="K42" s="1030">
        <v>38</v>
      </c>
      <c r="L42" s="1024">
        <v>5170782.2300000004</v>
      </c>
      <c r="M42" s="1024">
        <v>0</v>
      </c>
      <c r="N42" s="1024">
        <v>0</v>
      </c>
      <c r="O42" s="1024">
        <v>5170782.2300000004</v>
      </c>
      <c r="P42" s="1024">
        <v>0</v>
      </c>
      <c r="Q42" s="1024">
        <v>0</v>
      </c>
      <c r="R42" s="987">
        <v>2023</v>
      </c>
      <c r="S42" s="987">
        <v>2023</v>
      </c>
    </row>
    <row r="43" spans="1:19" s="992" customFormat="1" ht="40.15" customHeight="1">
      <c r="A43" s="1116">
        <v>23</v>
      </c>
      <c r="B43" s="1115" t="s">
        <v>1566</v>
      </c>
      <c r="C43" s="1116">
        <v>1992</v>
      </c>
      <c r="D43" s="1116"/>
      <c r="E43" s="1114" t="s">
        <v>219</v>
      </c>
      <c r="F43" s="1116">
        <v>5</v>
      </c>
      <c r="G43" s="1116">
        <v>4</v>
      </c>
      <c r="H43" s="1024">
        <v>5889.4</v>
      </c>
      <c r="I43" s="1024">
        <v>3447.9</v>
      </c>
      <c r="J43" s="1024">
        <v>2831.8</v>
      </c>
      <c r="K43" s="1030">
        <v>135</v>
      </c>
      <c r="L43" s="1024">
        <v>4214838.79</v>
      </c>
      <c r="M43" s="1024">
        <v>0</v>
      </c>
      <c r="N43" s="1024">
        <v>0</v>
      </c>
      <c r="O43" s="1024">
        <v>4214838.79</v>
      </c>
      <c r="P43" s="1024">
        <v>0</v>
      </c>
      <c r="Q43" s="1024">
        <v>0</v>
      </c>
      <c r="R43" s="987">
        <v>2023</v>
      </c>
      <c r="S43" s="987">
        <v>2023</v>
      </c>
    </row>
    <row r="44" spans="1:19" s="992" customFormat="1" ht="40.15" customHeight="1">
      <c r="A44" s="1116"/>
      <c r="B44" s="1111" t="s">
        <v>1054</v>
      </c>
      <c r="C44" s="1116"/>
      <c r="D44" s="1096"/>
      <c r="E44" s="1114"/>
      <c r="F44" s="1116"/>
      <c r="G44" s="1116"/>
      <c r="H44" s="1024">
        <f>H45</f>
        <v>2178</v>
      </c>
      <c r="I44" s="1024">
        <f t="shared" ref="I44:Q44" si="6">I45</f>
        <v>1517.9</v>
      </c>
      <c r="J44" s="1024">
        <f t="shared" si="6"/>
        <v>1331.5</v>
      </c>
      <c r="K44" s="1024">
        <f t="shared" si="6"/>
        <v>49</v>
      </c>
      <c r="L44" s="1024">
        <f t="shared" si="6"/>
        <v>1588224.31</v>
      </c>
      <c r="M44" s="1024">
        <f t="shared" si="6"/>
        <v>0</v>
      </c>
      <c r="N44" s="1024">
        <f t="shared" si="6"/>
        <v>0</v>
      </c>
      <c r="O44" s="1024">
        <f t="shared" si="6"/>
        <v>1588224.31</v>
      </c>
      <c r="P44" s="1024">
        <f t="shared" si="6"/>
        <v>0</v>
      </c>
      <c r="Q44" s="1024">
        <f t="shared" si="6"/>
        <v>0</v>
      </c>
      <c r="R44" s="991" t="s">
        <v>40</v>
      </c>
      <c r="S44" s="991" t="s">
        <v>40</v>
      </c>
    </row>
    <row r="45" spans="1:19" s="992" customFormat="1" ht="40.15" customHeight="1">
      <c r="A45" s="1116">
        <v>24</v>
      </c>
      <c r="B45" s="1113" t="s">
        <v>1481</v>
      </c>
      <c r="C45" s="1116">
        <v>1963</v>
      </c>
      <c r="D45" s="1116">
        <v>2020</v>
      </c>
      <c r="E45" s="1114" t="s">
        <v>218</v>
      </c>
      <c r="F45" s="1116">
        <v>3</v>
      </c>
      <c r="G45" s="1116">
        <v>3</v>
      </c>
      <c r="H45" s="1024">
        <v>2178</v>
      </c>
      <c r="I45" s="1024">
        <v>1517.9</v>
      </c>
      <c r="J45" s="1024">
        <v>1331.5</v>
      </c>
      <c r="K45" s="1030">
        <v>49</v>
      </c>
      <c r="L45" s="1024">
        <v>1588224.31</v>
      </c>
      <c r="M45" s="1024">
        <v>0</v>
      </c>
      <c r="N45" s="1024">
        <v>0</v>
      </c>
      <c r="O45" s="1024">
        <v>1588224.31</v>
      </c>
      <c r="P45" s="1024">
        <v>0</v>
      </c>
      <c r="Q45" s="1024">
        <v>0</v>
      </c>
      <c r="R45" s="987">
        <v>2023</v>
      </c>
      <c r="S45" s="987">
        <v>2023</v>
      </c>
    </row>
    <row r="46" spans="1:19" s="992" customFormat="1" ht="36" customHeight="1">
      <c r="A46" s="1116"/>
      <c r="B46" s="1426" t="s">
        <v>1094</v>
      </c>
      <c r="C46" s="1426"/>
      <c r="D46" s="1426"/>
      <c r="E46" s="1426"/>
      <c r="F46" s="1426"/>
      <c r="G46" s="1426"/>
      <c r="H46" s="1024">
        <f>H47</f>
        <v>1094.8</v>
      </c>
      <c r="I46" s="1024">
        <f t="shared" ref="I46:Q46" si="7">I47</f>
        <v>1009.8</v>
      </c>
      <c r="J46" s="1024">
        <f t="shared" si="7"/>
        <v>281.5</v>
      </c>
      <c r="K46" s="1024">
        <f t="shared" si="7"/>
        <v>41</v>
      </c>
      <c r="L46" s="1024">
        <f t="shared" si="7"/>
        <v>10749726.210000001</v>
      </c>
      <c r="M46" s="1024">
        <f t="shared" si="7"/>
        <v>0</v>
      </c>
      <c r="N46" s="1024">
        <f t="shared" si="7"/>
        <v>0</v>
      </c>
      <c r="O46" s="1024">
        <f t="shared" si="7"/>
        <v>10749726.210000001</v>
      </c>
      <c r="P46" s="1024">
        <f t="shared" si="7"/>
        <v>0</v>
      </c>
      <c r="Q46" s="1024">
        <f t="shared" si="7"/>
        <v>0</v>
      </c>
      <c r="R46" s="991" t="s">
        <v>40</v>
      </c>
      <c r="S46" s="991" t="s">
        <v>40</v>
      </c>
    </row>
    <row r="47" spans="1:19" s="998" customFormat="1" ht="39.6" customHeight="1">
      <c r="A47" s="1116">
        <v>25</v>
      </c>
      <c r="B47" s="1113" t="s">
        <v>1535</v>
      </c>
      <c r="C47" s="1116">
        <v>1956</v>
      </c>
      <c r="D47" s="1116">
        <v>2006</v>
      </c>
      <c r="E47" s="1114" t="s">
        <v>218</v>
      </c>
      <c r="F47" s="1116">
        <v>2</v>
      </c>
      <c r="G47" s="1116">
        <v>3</v>
      </c>
      <c r="H47" s="1024">
        <v>1094.8</v>
      </c>
      <c r="I47" s="1024">
        <v>1009.8</v>
      </c>
      <c r="J47" s="1024">
        <v>281.5</v>
      </c>
      <c r="K47" s="1030">
        <v>41</v>
      </c>
      <c r="L47" s="1024">
        <v>10749726.210000001</v>
      </c>
      <c r="M47" s="1024">
        <v>0</v>
      </c>
      <c r="N47" s="1024">
        <v>0</v>
      </c>
      <c r="O47" s="1024">
        <v>10749726.210000001</v>
      </c>
      <c r="P47" s="1024">
        <v>0</v>
      </c>
      <c r="Q47" s="1024">
        <v>0</v>
      </c>
      <c r="R47" s="1114">
        <v>2023</v>
      </c>
      <c r="S47" s="1114">
        <v>2023</v>
      </c>
    </row>
    <row r="48" spans="1:19" s="1004" customFormat="1" ht="39.6" customHeight="1">
      <c r="A48" s="1114"/>
      <c r="B48" s="1112" t="s">
        <v>41</v>
      </c>
      <c r="C48" s="1116"/>
      <c r="D48" s="1096"/>
      <c r="E48" s="1114"/>
      <c r="F48" s="1116"/>
      <c r="G48" s="1116"/>
      <c r="H48" s="985">
        <f>H49</f>
        <v>7455.0999999999995</v>
      </c>
      <c r="I48" s="985">
        <f t="shared" ref="I48:Q48" si="8">I49</f>
        <v>6728.0999999999995</v>
      </c>
      <c r="J48" s="985">
        <f t="shared" si="8"/>
        <v>6728.0999999999995</v>
      </c>
      <c r="K48" s="1030">
        <f t="shared" si="8"/>
        <v>221</v>
      </c>
      <c r="L48" s="985">
        <f t="shared" si="8"/>
        <v>17931462.420000002</v>
      </c>
      <c r="M48" s="985">
        <f t="shared" si="8"/>
        <v>0</v>
      </c>
      <c r="N48" s="985">
        <f t="shared" si="8"/>
        <v>0</v>
      </c>
      <c r="O48" s="985">
        <f t="shared" si="8"/>
        <v>17931462.420000002</v>
      </c>
      <c r="P48" s="985">
        <f t="shared" si="8"/>
        <v>0</v>
      </c>
      <c r="Q48" s="985">
        <f t="shared" si="8"/>
        <v>0</v>
      </c>
      <c r="R48" s="991" t="s">
        <v>40</v>
      </c>
      <c r="S48" s="991" t="s">
        <v>40</v>
      </c>
    </row>
    <row r="49" spans="1:19" s="1004" customFormat="1" ht="43.15" customHeight="1">
      <c r="A49" s="1114"/>
      <c r="B49" s="1112" t="s">
        <v>1270</v>
      </c>
      <c r="C49" s="1116"/>
      <c r="D49" s="1096"/>
      <c r="E49" s="1114"/>
      <c r="F49" s="1116"/>
      <c r="G49" s="1116"/>
      <c r="H49" s="985">
        <f t="shared" ref="H49:Q49" si="9">SUM(H50:H53)</f>
        <v>7455.0999999999995</v>
      </c>
      <c r="I49" s="985">
        <f t="shared" si="9"/>
        <v>6728.0999999999995</v>
      </c>
      <c r="J49" s="985">
        <f t="shared" si="9"/>
        <v>6728.0999999999995</v>
      </c>
      <c r="K49" s="1030">
        <f t="shared" si="9"/>
        <v>221</v>
      </c>
      <c r="L49" s="985">
        <f t="shared" si="9"/>
        <v>17931462.420000002</v>
      </c>
      <c r="M49" s="985">
        <f t="shared" si="9"/>
        <v>0</v>
      </c>
      <c r="N49" s="985">
        <f t="shared" si="9"/>
        <v>0</v>
      </c>
      <c r="O49" s="985">
        <f t="shared" si="9"/>
        <v>17931462.420000002</v>
      </c>
      <c r="P49" s="985">
        <f t="shared" si="9"/>
        <v>0</v>
      </c>
      <c r="Q49" s="985">
        <f t="shared" si="9"/>
        <v>0</v>
      </c>
      <c r="R49" s="991" t="s">
        <v>40</v>
      </c>
      <c r="S49" s="991" t="s">
        <v>40</v>
      </c>
    </row>
    <row r="50" spans="1:19" s="1004" customFormat="1" ht="40.9" customHeight="1">
      <c r="A50" s="1114">
        <v>26</v>
      </c>
      <c r="B50" s="1115" t="s">
        <v>831</v>
      </c>
      <c r="C50" s="1114">
        <v>1976</v>
      </c>
      <c r="D50" s="1114"/>
      <c r="E50" s="1114" t="s">
        <v>219</v>
      </c>
      <c r="F50" s="1114">
        <v>5</v>
      </c>
      <c r="G50" s="1114">
        <v>6</v>
      </c>
      <c r="H50" s="993">
        <v>4472.3999999999996</v>
      </c>
      <c r="I50" s="993">
        <v>4472.3999999999996</v>
      </c>
      <c r="J50" s="993">
        <v>4472.3999999999996</v>
      </c>
      <c r="K50" s="987">
        <v>129</v>
      </c>
      <c r="L50" s="993">
        <v>9872879.9900000002</v>
      </c>
      <c r="M50" s="993">
        <v>0</v>
      </c>
      <c r="N50" s="993">
        <v>0</v>
      </c>
      <c r="O50" s="993">
        <v>9872879.9900000002</v>
      </c>
      <c r="P50" s="993">
        <v>0</v>
      </c>
      <c r="Q50" s="993">
        <v>0</v>
      </c>
      <c r="R50" s="1114">
        <v>2023</v>
      </c>
      <c r="S50" s="1114">
        <v>2023</v>
      </c>
    </row>
    <row r="51" spans="1:19" s="1004" customFormat="1" ht="43.15" customHeight="1">
      <c r="A51" s="1114">
        <v>27</v>
      </c>
      <c r="B51" s="1115" t="s">
        <v>1447</v>
      </c>
      <c r="C51" s="1009">
        <v>1948</v>
      </c>
      <c r="D51" s="1009"/>
      <c r="E51" s="1009" t="s">
        <v>220</v>
      </c>
      <c r="F51" s="1009">
        <v>2</v>
      </c>
      <c r="G51" s="1009">
        <v>2</v>
      </c>
      <c r="H51" s="1023">
        <v>722.5</v>
      </c>
      <c r="I51" s="1023">
        <v>722.5</v>
      </c>
      <c r="J51" s="1023">
        <v>722.5</v>
      </c>
      <c r="K51" s="1134">
        <v>30</v>
      </c>
      <c r="L51" s="1023">
        <v>755973.43</v>
      </c>
      <c r="M51" s="1023">
        <v>0</v>
      </c>
      <c r="N51" s="1023">
        <v>0</v>
      </c>
      <c r="O51" s="1023">
        <v>755973.43</v>
      </c>
      <c r="P51" s="1023">
        <v>0</v>
      </c>
      <c r="Q51" s="1023">
        <v>0</v>
      </c>
      <c r="R51" s="1009">
        <v>2023</v>
      </c>
      <c r="S51" s="1009">
        <v>2023</v>
      </c>
    </row>
    <row r="52" spans="1:19" s="1004" customFormat="1" ht="43.15" customHeight="1">
      <c r="A52" s="1114">
        <v>28</v>
      </c>
      <c r="B52" s="1115" t="s">
        <v>1448</v>
      </c>
      <c r="C52" s="1009">
        <v>1964</v>
      </c>
      <c r="D52" s="1009"/>
      <c r="E52" s="1009" t="s">
        <v>218</v>
      </c>
      <c r="F52" s="1009">
        <v>4</v>
      </c>
      <c r="G52" s="1009">
        <v>2</v>
      </c>
      <c r="H52" s="1023">
        <v>1615.3</v>
      </c>
      <c r="I52" s="1023">
        <v>888.3</v>
      </c>
      <c r="J52" s="1023">
        <v>888.3</v>
      </c>
      <c r="K52" s="1134">
        <v>30</v>
      </c>
      <c r="L52" s="1023">
        <v>1490063.02</v>
      </c>
      <c r="M52" s="1023">
        <v>0</v>
      </c>
      <c r="N52" s="1023">
        <v>0</v>
      </c>
      <c r="O52" s="1023">
        <v>1490063.02</v>
      </c>
      <c r="P52" s="1023">
        <v>0</v>
      </c>
      <c r="Q52" s="1023">
        <v>0</v>
      </c>
      <c r="R52" s="1114">
        <v>2023</v>
      </c>
      <c r="S52" s="1114">
        <v>2023</v>
      </c>
    </row>
    <row r="53" spans="1:19" s="1004" customFormat="1" ht="39.6" customHeight="1">
      <c r="A53" s="1114">
        <v>29</v>
      </c>
      <c r="B53" s="1115" t="s">
        <v>1449</v>
      </c>
      <c r="C53" s="1009">
        <v>1960</v>
      </c>
      <c r="D53" s="1009"/>
      <c r="E53" s="1009" t="s">
        <v>218</v>
      </c>
      <c r="F53" s="1009">
        <v>2</v>
      </c>
      <c r="G53" s="1009">
        <v>2</v>
      </c>
      <c r="H53" s="1023">
        <v>644.9</v>
      </c>
      <c r="I53" s="1023">
        <v>644.9</v>
      </c>
      <c r="J53" s="1023">
        <v>644.9</v>
      </c>
      <c r="K53" s="1134">
        <v>32</v>
      </c>
      <c r="L53" s="1023">
        <v>5812545.9800000004</v>
      </c>
      <c r="M53" s="1023">
        <v>0</v>
      </c>
      <c r="N53" s="1023">
        <v>0</v>
      </c>
      <c r="O53" s="1023">
        <v>5812545.9800000004</v>
      </c>
      <c r="P53" s="1023">
        <v>0</v>
      </c>
      <c r="Q53" s="1023">
        <v>0</v>
      </c>
      <c r="R53" s="1009">
        <v>2023</v>
      </c>
      <c r="S53" s="1009">
        <v>2023</v>
      </c>
    </row>
    <row r="54" spans="1:19" s="1004" customFormat="1" ht="42" customHeight="1">
      <c r="A54" s="1009"/>
      <c r="B54" s="1112" t="s">
        <v>1237</v>
      </c>
      <c r="C54" s="1116"/>
      <c r="D54" s="1096"/>
      <c r="E54" s="1114"/>
      <c r="F54" s="1116"/>
      <c r="G54" s="1116"/>
      <c r="H54" s="1018">
        <f>H55+H56</f>
        <v>1581.5</v>
      </c>
      <c r="I54" s="1018">
        <f t="shared" ref="I54:Q54" si="10">I55+I56</f>
        <v>928.2</v>
      </c>
      <c r="J54" s="1018">
        <f t="shared" si="10"/>
        <v>928.2</v>
      </c>
      <c r="K54" s="1018">
        <f t="shared" si="10"/>
        <v>34</v>
      </c>
      <c r="L54" s="1018">
        <f t="shared" si="10"/>
        <v>971203.51</v>
      </c>
      <c r="M54" s="1018">
        <f t="shared" si="10"/>
        <v>0</v>
      </c>
      <c r="N54" s="1018">
        <f t="shared" si="10"/>
        <v>0</v>
      </c>
      <c r="O54" s="1018">
        <f t="shared" si="10"/>
        <v>971203.51</v>
      </c>
      <c r="P54" s="1018">
        <f t="shared" si="10"/>
        <v>0</v>
      </c>
      <c r="Q54" s="1018">
        <f t="shared" si="10"/>
        <v>0</v>
      </c>
      <c r="R54" s="991" t="s">
        <v>40</v>
      </c>
      <c r="S54" s="991" t="s">
        <v>40</v>
      </c>
    </row>
    <row r="55" spans="1:19" s="1019" customFormat="1" ht="42" customHeight="1">
      <c r="A55" s="1009">
        <v>30</v>
      </c>
      <c r="B55" s="1135" t="s">
        <v>1384</v>
      </c>
      <c r="C55" s="1032">
        <v>1987</v>
      </c>
      <c r="D55" s="1136"/>
      <c r="E55" s="1009" t="s">
        <v>218</v>
      </c>
      <c r="F55" s="1032">
        <v>2</v>
      </c>
      <c r="G55" s="1032">
        <v>3</v>
      </c>
      <c r="H55" s="1025">
        <v>851</v>
      </c>
      <c r="I55" s="1025">
        <v>480.7</v>
      </c>
      <c r="J55" s="1025">
        <v>480.7</v>
      </c>
      <c r="K55" s="1032">
        <v>18</v>
      </c>
      <c r="L55" s="1025">
        <v>502970.83</v>
      </c>
      <c r="M55" s="1025">
        <v>0</v>
      </c>
      <c r="N55" s="1025">
        <v>0</v>
      </c>
      <c r="O55" s="1018">
        <v>502970.83</v>
      </c>
      <c r="P55" s="1025">
        <v>0</v>
      </c>
      <c r="Q55" s="1025">
        <v>0</v>
      </c>
      <c r="R55" s="1137">
        <v>2023</v>
      </c>
      <c r="S55" s="1137">
        <v>2023</v>
      </c>
    </row>
    <row r="56" spans="1:19" s="992" customFormat="1" ht="42" customHeight="1">
      <c r="A56" s="1009">
        <v>31</v>
      </c>
      <c r="B56" s="1135" t="s">
        <v>1385</v>
      </c>
      <c r="C56" s="1032">
        <v>1978</v>
      </c>
      <c r="D56" s="1136"/>
      <c r="E56" s="1009" t="s">
        <v>218</v>
      </c>
      <c r="F56" s="1032">
        <v>2</v>
      </c>
      <c r="G56" s="1032">
        <v>2</v>
      </c>
      <c r="H56" s="1025">
        <v>730.5</v>
      </c>
      <c r="I56" s="1025">
        <v>447.5</v>
      </c>
      <c r="J56" s="1025">
        <v>447.5</v>
      </c>
      <c r="K56" s="1032">
        <v>16</v>
      </c>
      <c r="L56" s="1025">
        <v>468232.68</v>
      </c>
      <c r="M56" s="1025">
        <v>0</v>
      </c>
      <c r="N56" s="1025">
        <v>0</v>
      </c>
      <c r="O56" s="1018">
        <v>468232.68</v>
      </c>
      <c r="P56" s="1025">
        <v>0</v>
      </c>
      <c r="Q56" s="1025">
        <v>0</v>
      </c>
      <c r="R56" s="1137">
        <v>2023</v>
      </c>
      <c r="S56" s="1137">
        <v>2023</v>
      </c>
    </row>
    <row r="57" spans="1:19" s="992" customFormat="1" ht="42" customHeight="1">
      <c r="A57" s="1009"/>
      <c r="B57" s="1426" t="s">
        <v>43</v>
      </c>
      <c r="C57" s="1426"/>
      <c r="D57" s="1426"/>
      <c r="E57" s="1426"/>
      <c r="F57" s="1426"/>
      <c r="G57" s="1426"/>
      <c r="H57" s="1018">
        <f>H58</f>
        <v>2672.5999999999995</v>
      </c>
      <c r="I57" s="1018">
        <f t="shared" ref="I57:Q57" si="11">I58</f>
        <v>2555.62</v>
      </c>
      <c r="J57" s="1018">
        <f t="shared" si="11"/>
        <v>2383.3000000000002</v>
      </c>
      <c r="K57" s="1018">
        <f t="shared" si="11"/>
        <v>101</v>
      </c>
      <c r="L57" s="1018">
        <f t="shared" si="11"/>
        <v>11562294.280000001</v>
      </c>
      <c r="M57" s="1018">
        <f t="shared" si="11"/>
        <v>0</v>
      </c>
      <c r="N57" s="1018">
        <f t="shared" si="11"/>
        <v>0</v>
      </c>
      <c r="O57" s="1018">
        <f t="shared" si="11"/>
        <v>11562294.280000001</v>
      </c>
      <c r="P57" s="1018">
        <f t="shared" si="11"/>
        <v>0</v>
      </c>
      <c r="Q57" s="1018">
        <f t="shared" si="11"/>
        <v>0</v>
      </c>
      <c r="R57" s="991" t="s">
        <v>40</v>
      </c>
      <c r="S57" s="991" t="s">
        <v>40</v>
      </c>
    </row>
    <row r="58" spans="1:19" s="992" customFormat="1" ht="42" customHeight="1">
      <c r="A58" s="1009"/>
      <c r="B58" s="1429" t="s">
        <v>1040</v>
      </c>
      <c r="C58" s="1429"/>
      <c r="D58" s="1429"/>
      <c r="E58" s="1429"/>
      <c r="F58" s="1429"/>
      <c r="G58" s="1429"/>
      <c r="H58" s="985">
        <f t="shared" ref="H58:Q58" si="12">SUM(H59:H62)</f>
        <v>2672.5999999999995</v>
      </c>
      <c r="I58" s="985">
        <f t="shared" si="12"/>
        <v>2555.62</v>
      </c>
      <c r="J58" s="985">
        <f t="shared" si="12"/>
        <v>2383.3000000000002</v>
      </c>
      <c r="K58" s="1030">
        <f t="shared" si="12"/>
        <v>101</v>
      </c>
      <c r="L58" s="985">
        <f t="shared" si="12"/>
        <v>11562294.280000001</v>
      </c>
      <c r="M58" s="985">
        <f t="shared" si="12"/>
        <v>0</v>
      </c>
      <c r="N58" s="985">
        <f t="shared" si="12"/>
        <v>0</v>
      </c>
      <c r="O58" s="985">
        <f t="shared" si="12"/>
        <v>11562294.280000001</v>
      </c>
      <c r="P58" s="985">
        <f t="shared" si="12"/>
        <v>0</v>
      </c>
      <c r="Q58" s="985">
        <f t="shared" si="12"/>
        <v>0</v>
      </c>
      <c r="R58" s="991" t="s">
        <v>40</v>
      </c>
      <c r="S58" s="991" t="s">
        <v>40</v>
      </c>
    </row>
    <row r="59" spans="1:19" s="992" customFormat="1" ht="38.450000000000003" customHeight="1">
      <c r="A59" s="1022">
        <v>32</v>
      </c>
      <c r="B59" s="1138" t="s">
        <v>1604</v>
      </c>
      <c r="C59" s="1116">
        <v>1881</v>
      </c>
      <c r="D59" s="1114"/>
      <c r="E59" s="1114" t="s">
        <v>221</v>
      </c>
      <c r="F59" s="1116">
        <v>2</v>
      </c>
      <c r="G59" s="1116">
        <v>2</v>
      </c>
      <c r="H59" s="986">
        <v>516.20000000000005</v>
      </c>
      <c r="I59" s="986">
        <v>516.20000000000005</v>
      </c>
      <c r="J59" s="986">
        <v>515.5</v>
      </c>
      <c r="K59" s="1030">
        <v>24</v>
      </c>
      <c r="L59" s="1025">
        <v>917627.89</v>
      </c>
      <c r="M59" s="985">
        <v>0</v>
      </c>
      <c r="N59" s="985">
        <v>0</v>
      </c>
      <c r="O59" s="1025">
        <f>L59</f>
        <v>917627.89</v>
      </c>
      <c r="P59" s="985">
        <v>0</v>
      </c>
      <c r="Q59" s="985">
        <v>0</v>
      </c>
      <c r="R59" s="1009">
        <v>2023</v>
      </c>
      <c r="S59" s="1009">
        <v>2023</v>
      </c>
    </row>
    <row r="60" spans="1:19" s="992" customFormat="1" ht="38.450000000000003" customHeight="1">
      <c r="A60" s="1022">
        <v>33</v>
      </c>
      <c r="B60" s="1138" t="s">
        <v>1605</v>
      </c>
      <c r="C60" s="1116">
        <v>1956</v>
      </c>
      <c r="D60" s="1114"/>
      <c r="E60" s="1114" t="s">
        <v>218</v>
      </c>
      <c r="F60" s="1116">
        <v>2</v>
      </c>
      <c r="G60" s="1116">
        <v>2</v>
      </c>
      <c r="H60" s="986">
        <v>833.9</v>
      </c>
      <c r="I60" s="986">
        <v>785.9</v>
      </c>
      <c r="J60" s="986">
        <v>675</v>
      </c>
      <c r="K60" s="1030">
        <v>32</v>
      </c>
      <c r="L60" s="1025">
        <v>2878482.59</v>
      </c>
      <c r="M60" s="985">
        <v>0</v>
      </c>
      <c r="N60" s="985">
        <v>0</v>
      </c>
      <c r="O60" s="1025">
        <f t="shared" ref="O60:O62" si="13">L60</f>
        <v>2878482.59</v>
      </c>
      <c r="P60" s="985">
        <v>0</v>
      </c>
      <c r="Q60" s="985">
        <v>0</v>
      </c>
      <c r="R60" s="1009">
        <v>2023</v>
      </c>
      <c r="S60" s="1009">
        <v>2023</v>
      </c>
    </row>
    <row r="61" spans="1:19" s="992" customFormat="1" ht="37.9" customHeight="1">
      <c r="A61" s="1022">
        <v>34</v>
      </c>
      <c r="B61" s="1138" t="s">
        <v>1606</v>
      </c>
      <c r="C61" s="1116">
        <v>1956</v>
      </c>
      <c r="D61" s="1114"/>
      <c r="E61" s="1114" t="s">
        <v>218</v>
      </c>
      <c r="F61" s="1116">
        <v>2</v>
      </c>
      <c r="G61" s="1116">
        <v>3</v>
      </c>
      <c r="H61" s="986">
        <v>939.8</v>
      </c>
      <c r="I61" s="986">
        <v>870.82</v>
      </c>
      <c r="J61" s="986">
        <v>870.8</v>
      </c>
      <c r="K61" s="1030">
        <v>28</v>
      </c>
      <c r="L61" s="1025">
        <v>4282323.43</v>
      </c>
      <c r="M61" s="985">
        <v>0</v>
      </c>
      <c r="N61" s="985">
        <v>0</v>
      </c>
      <c r="O61" s="1025">
        <f t="shared" si="13"/>
        <v>4282323.43</v>
      </c>
      <c r="P61" s="985">
        <v>0</v>
      </c>
      <c r="Q61" s="985">
        <v>0</v>
      </c>
      <c r="R61" s="1009">
        <v>2023</v>
      </c>
      <c r="S61" s="1009">
        <v>2023</v>
      </c>
    </row>
    <row r="62" spans="1:19" s="992" customFormat="1" ht="42" customHeight="1">
      <c r="A62" s="1022">
        <v>35</v>
      </c>
      <c r="B62" s="1138" t="s">
        <v>1607</v>
      </c>
      <c r="C62" s="1116">
        <v>1971</v>
      </c>
      <c r="D62" s="1114"/>
      <c r="E62" s="1009" t="s">
        <v>218</v>
      </c>
      <c r="F62" s="1116">
        <v>2</v>
      </c>
      <c r="G62" s="1116">
        <v>1</v>
      </c>
      <c r="H62" s="986">
        <v>382.7</v>
      </c>
      <c r="I62" s="986">
        <v>382.7</v>
      </c>
      <c r="J62" s="986">
        <v>322</v>
      </c>
      <c r="K62" s="1030">
        <v>17</v>
      </c>
      <c r="L62" s="1025">
        <v>3483860.37</v>
      </c>
      <c r="M62" s="985">
        <v>0</v>
      </c>
      <c r="N62" s="985">
        <v>0</v>
      </c>
      <c r="O62" s="1025">
        <f t="shared" si="13"/>
        <v>3483860.37</v>
      </c>
      <c r="P62" s="985">
        <v>0</v>
      </c>
      <c r="Q62" s="985">
        <v>0</v>
      </c>
      <c r="R62" s="1009">
        <v>2023</v>
      </c>
      <c r="S62" s="1009">
        <v>2023</v>
      </c>
    </row>
    <row r="63" spans="1:19" s="992" customFormat="1" ht="42" customHeight="1">
      <c r="A63" s="1009"/>
      <c r="B63" s="1426" t="s">
        <v>1092</v>
      </c>
      <c r="C63" s="1426"/>
      <c r="D63" s="1426"/>
      <c r="E63" s="1426"/>
      <c r="F63" s="1426"/>
      <c r="G63" s="1426"/>
      <c r="H63" s="1018">
        <f>H64+H65+H66</f>
        <v>2514.6</v>
      </c>
      <c r="I63" s="1018">
        <f t="shared" ref="I63:Q63" si="14">I64+I65+I66</f>
        <v>2514.6</v>
      </c>
      <c r="J63" s="1018">
        <f t="shared" si="14"/>
        <v>2299.6</v>
      </c>
      <c r="K63" s="1018">
        <f t="shared" si="14"/>
        <v>53</v>
      </c>
      <c r="L63" s="1018">
        <f t="shared" si="14"/>
        <v>8902371.5099999998</v>
      </c>
      <c r="M63" s="1018">
        <f t="shared" si="14"/>
        <v>0</v>
      </c>
      <c r="N63" s="1018">
        <f t="shared" si="14"/>
        <v>0</v>
      </c>
      <c r="O63" s="1018">
        <f t="shared" si="14"/>
        <v>8902371.5099999998</v>
      </c>
      <c r="P63" s="1018">
        <f t="shared" si="14"/>
        <v>0</v>
      </c>
      <c r="Q63" s="1018">
        <f t="shared" si="14"/>
        <v>0</v>
      </c>
      <c r="R63" s="991" t="s">
        <v>40</v>
      </c>
      <c r="S63" s="991" t="s">
        <v>40</v>
      </c>
    </row>
    <row r="64" spans="1:19" s="992" customFormat="1" ht="42.6" customHeight="1">
      <c r="A64" s="1009">
        <v>36</v>
      </c>
      <c r="B64" s="1139" t="s">
        <v>1591</v>
      </c>
      <c r="C64" s="1017">
        <v>1985</v>
      </c>
      <c r="D64" s="1017"/>
      <c r="E64" s="1009" t="s">
        <v>220</v>
      </c>
      <c r="F64" s="1017">
        <v>3</v>
      </c>
      <c r="G64" s="1017">
        <v>3</v>
      </c>
      <c r="H64" s="1018">
        <v>1425</v>
      </c>
      <c r="I64" s="1018">
        <v>1425</v>
      </c>
      <c r="J64" s="1018">
        <v>1307</v>
      </c>
      <c r="K64" s="1008">
        <v>27</v>
      </c>
      <c r="L64" s="1018">
        <v>2999506.97</v>
      </c>
      <c r="M64" s="1018">
        <v>0</v>
      </c>
      <c r="N64" s="1018">
        <v>0</v>
      </c>
      <c r="O64" s="1018">
        <v>2999506.97</v>
      </c>
      <c r="P64" s="1018">
        <v>0</v>
      </c>
      <c r="Q64" s="1018">
        <v>0</v>
      </c>
      <c r="R64" s="1009">
        <v>2023</v>
      </c>
      <c r="S64" s="1009">
        <v>2023</v>
      </c>
    </row>
    <row r="65" spans="1:19" s="992" customFormat="1" ht="42.6" customHeight="1">
      <c r="A65" s="1009">
        <v>37</v>
      </c>
      <c r="B65" s="1139" t="s">
        <v>2093</v>
      </c>
      <c r="C65" s="1017">
        <v>1970</v>
      </c>
      <c r="D65" s="1017"/>
      <c r="E65" s="1009" t="s">
        <v>218</v>
      </c>
      <c r="F65" s="1017">
        <v>2</v>
      </c>
      <c r="G65" s="1017">
        <v>2</v>
      </c>
      <c r="H65" s="1018">
        <v>521.6</v>
      </c>
      <c r="I65" s="1018">
        <v>521.6</v>
      </c>
      <c r="J65" s="1018">
        <v>473.6</v>
      </c>
      <c r="K65" s="1008">
        <v>12</v>
      </c>
      <c r="L65" s="1018">
        <v>3318040.65</v>
      </c>
      <c r="M65" s="1018">
        <v>0</v>
      </c>
      <c r="N65" s="1018">
        <v>0</v>
      </c>
      <c r="O65" s="1018">
        <v>3318040.65</v>
      </c>
      <c r="P65" s="1018">
        <v>0</v>
      </c>
      <c r="Q65" s="1018">
        <v>0</v>
      </c>
      <c r="R65" s="1009">
        <v>2023</v>
      </c>
      <c r="S65" s="1009">
        <v>2023</v>
      </c>
    </row>
    <row r="66" spans="1:19" s="992" customFormat="1" ht="36" customHeight="1">
      <c r="A66" s="1009">
        <v>38</v>
      </c>
      <c r="B66" s="1139" t="s">
        <v>1160</v>
      </c>
      <c r="C66" s="1017">
        <v>1967</v>
      </c>
      <c r="D66" s="1017"/>
      <c r="E66" s="1009" t="s">
        <v>218</v>
      </c>
      <c r="F66" s="1017">
        <v>2</v>
      </c>
      <c r="G66" s="1017">
        <v>2</v>
      </c>
      <c r="H66" s="1018">
        <v>568</v>
      </c>
      <c r="I66" s="1018">
        <v>568</v>
      </c>
      <c r="J66" s="1018">
        <v>519</v>
      </c>
      <c r="K66" s="1008">
        <v>14</v>
      </c>
      <c r="L66" s="1018">
        <v>2584823.89</v>
      </c>
      <c r="M66" s="1018">
        <v>0</v>
      </c>
      <c r="N66" s="1018">
        <v>0</v>
      </c>
      <c r="O66" s="1018">
        <v>2584823.89</v>
      </c>
      <c r="P66" s="1018">
        <v>0</v>
      </c>
      <c r="Q66" s="1018">
        <v>0</v>
      </c>
      <c r="R66" s="1009">
        <v>2023</v>
      </c>
      <c r="S66" s="1009">
        <v>2023</v>
      </c>
    </row>
    <row r="67" spans="1:19" s="992" customFormat="1" ht="36" customHeight="1">
      <c r="A67" s="1009"/>
      <c r="B67" s="1426" t="s">
        <v>1098</v>
      </c>
      <c r="C67" s="1426"/>
      <c r="D67" s="1426"/>
      <c r="E67" s="1426"/>
      <c r="F67" s="1426"/>
      <c r="G67" s="1426"/>
      <c r="H67" s="1018">
        <f>H68</f>
        <v>1530.1</v>
      </c>
      <c r="I67" s="1018">
        <f t="shared" ref="I67:Q67" si="15">I68</f>
        <v>1017.9</v>
      </c>
      <c r="J67" s="1018">
        <f t="shared" si="15"/>
        <v>1017.9</v>
      </c>
      <c r="K67" s="1018">
        <f t="shared" si="15"/>
        <v>38</v>
      </c>
      <c r="L67" s="1018">
        <f t="shared" si="15"/>
        <v>5323904.26</v>
      </c>
      <c r="M67" s="1018">
        <f t="shared" si="15"/>
        <v>0</v>
      </c>
      <c r="N67" s="1018">
        <f t="shared" si="15"/>
        <v>0</v>
      </c>
      <c r="O67" s="1018">
        <f t="shared" si="15"/>
        <v>5323904.26</v>
      </c>
      <c r="P67" s="1018">
        <f t="shared" si="15"/>
        <v>0</v>
      </c>
      <c r="Q67" s="1018">
        <f t="shared" si="15"/>
        <v>0</v>
      </c>
      <c r="R67" s="991" t="s">
        <v>40</v>
      </c>
      <c r="S67" s="991" t="s">
        <v>40</v>
      </c>
    </row>
    <row r="68" spans="1:19" s="992" customFormat="1" ht="46.15" customHeight="1">
      <c r="A68" s="1114">
        <v>39</v>
      </c>
      <c r="B68" s="1026" t="s">
        <v>1598</v>
      </c>
      <c r="C68" s="1022">
        <v>1976</v>
      </c>
      <c r="D68" s="1022"/>
      <c r="E68" s="1009" t="s">
        <v>218</v>
      </c>
      <c r="F68" s="1022">
        <v>3</v>
      </c>
      <c r="G68" s="1022">
        <v>3</v>
      </c>
      <c r="H68" s="1025">
        <v>1530.1</v>
      </c>
      <c r="I68" s="1025">
        <v>1017.9</v>
      </c>
      <c r="J68" s="1025">
        <v>1017.9</v>
      </c>
      <c r="K68" s="1032">
        <v>38</v>
      </c>
      <c r="L68" s="1025">
        <v>5323904.26</v>
      </c>
      <c r="M68" s="1025">
        <v>0</v>
      </c>
      <c r="N68" s="1025">
        <v>0</v>
      </c>
      <c r="O68" s="1025">
        <v>5323904.26</v>
      </c>
      <c r="P68" s="1025">
        <v>0</v>
      </c>
      <c r="Q68" s="1025">
        <v>0</v>
      </c>
      <c r="R68" s="1009">
        <v>2023</v>
      </c>
      <c r="S68" s="1009">
        <v>2023</v>
      </c>
    </row>
    <row r="69" spans="1:19" s="992" customFormat="1" ht="42" customHeight="1">
      <c r="A69" s="1114"/>
      <c r="B69" s="1026" t="s">
        <v>1238</v>
      </c>
      <c r="C69" s="1022"/>
      <c r="D69" s="1022"/>
      <c r="E69" s="1009"/>
      <c r="F69" s="1022"/>
      <c r="G69" s="1022"/>
      <c r="H69" s="1025">
        <f>H70</f>
        <v>370.2</v>
      </c>
      <c r="I69" s="1025">
        <f t="shared" ref="I69:Q69" si="16">I70</f>
        <v>370.2</v>
      </c>
      <c r="J69" s="1025">
        <f t="shared" si="16"/>
        <v>336.6</v>
      </c>
      <c r="K69" s="1025">
        <f t="shared" si="16"/>
        <v>21</v>
      </c>
      <c r="L69" s="1025">
        <f t="shared" si="16"/>
        <v>2387361.16</v>
      </c>
      <c r="M69" s="1025">
        <f t="shared" si="16"/>
        <v>0</v>
      </c>
      <c r="N69" s="1025">
        <f t="shared" si="16"/>
        <v>0</v>
      </c>
      <c r="O69" s="1025">
        <f t="shared" si="16"/>
        <v>2387361.16</v>
      </c>
      <c r="P69" s="1025">
        <f t="shared" si="16"/>
        <v>0</v>
      </c>
      <c r="Q69" s="1025">
        <f t="shared" si="16"/>
        <v>0</v>
      </c>
      <c r="R69" s="991" t="s">
        <v>40</v>
      </c>
      <c r="S69" s="991" t="s">
        <v>40</v>
      </c>
    </row>
    <row r="70" spans="1:19" s="992" customFormat="1" ht="42" customHeight="1">
      <c r="A70" s="1114">
        <v>40</v>
      </c>
      <c r="B70" s="1026" t="s">
        <v>1563</v>
      </c>
      <c r="C70" s="1022">
        <v>1973</v>
      </c>
      <c r="D70" s="1022"/>
      <c r="E70" s="1009" t="s">
        <v>218</v>
      </c>
      <c r="F70" s="1022">
        <v>2</v>
      </c>
      <c r="G70" s="1022">
        <v>1</v>
      </c>
      <c r="H70" s="1025">
        <v>370.2</v>
      </c>
      <c r="I70" s="1025">
        <v>370.2</v>
      </c>
      <c r="J70" s="1025">
        <v>336.6</v>
      </c>
      <c r="K70" s="1032">
        <v>21</v>
      </c>
      <c r="L70" s="1025">
        <v>2387361.16</v>
      </c>
      <c r="M70" s="1025">
        <v>0</v>
      </c>
      <c r="N70" s="1025">
        <v>0</v>
      </c>
      <c r="O70" s="1025">
        <v>2387361.16</v>
      </c>
      <c r="P70" s="1025">
        <v>0</v>
      </c>
      <c r="Q70" s="1025">
        <v>0</v>
      </c>
      <c r="R70" s="1009">
        <v>2023</v>
      </c>
      <c r="S70" s="1009">
        <v>2023</v>
      </c>
    </row>
    <row r="71" spans="1:19" s="992" customFormat="1" ht="36" customHeight="1">
      <c r="A71" s="1114"/>
      <c r="B71" s="1426" t="s">
        <v>49</v>
      </c>
      <c r="C71" s="1426"/>
      <c r="D71" s="1426"/>
      <c r="E71" s="1426"/>
      <c r="F71" s="1426"/>
      <c r="G71" s="1426"/>
      <c r="H71" s="985">
        <f>H80+H74+H86+H78+H72+H84+H82</f>
        <v>15299.750000000002</v>
      </c>
      <c r="I71" s="985">
        <f t="shared" ref="I71:Q71" si="17">I80+I74+I86+I78+I72+I84+I82</f>
        <v>15063.850000000002</v>
      </c>
      <c r="J71" s="985">
        <f t="shared" si="17"/>
        <v>11057.85</v>
      </c>
      <c r="K71" s="985">
        <f t="shared" si="17"/>
        <v>678</v>
      </c>
      <c r="L71" s="985">
        <f t="shared" si="17"/>
        <v>33600535.260000005</v>
      </c>
      <c r="M71" s="985">
        <f t="shared" si="17"/>
        <v>0</v>
      </c>
      <c r="N71" s="985">
        <f t="shared" si="17"/>
        <v>929107.29</v>
      </c>
      <c r="O71" s="985">
        <f t="shared" si="17"/>
        <v>32671427.970000003</v>
      </c>
      <c r="P71" s="985">
        <f t="shared" si="17"/>
        <v>0</v>
      </c>
      <c r="Q71" s="985">
        <f t="shared" si="17"/>
        <v>0</v>
      </c>
      <c r="R71" s="991" t="s">
        <v>40</v>
      </c>
      <c r="S71" s="991" t="s">
        <v>40</v>
      </c>
    </row>
    <row r="72" spans="1:19" s="992" customFormat="1" ht="36" customHeight="1">
      <c r="A72" s="1114"/>
      <c r="B72" s="1111" t="s">
        <v>1090</v>
      </c>
      <c r="C72" s="1111"/>
      <c r="D72" s="1111"/>
      <c r="E72" s="1111"/>
      <c r="F72" s="1111"/>
      <c r="G72" s="1111"/>
      <c r="H72" s="985">
        <f>H73</f>
        <v>939.1</v>
      </c>
      <c r="I72" s="985">
        <f t="shared" ref="I72:Q72" si="18">I73</f>
        <v>939.1</v>
      </c>
      <c r="J72" s="985">
        <f t="shared" si="18"/>
        <v>854.1</v>
      </c>
      <c r="K72" s="1030">
        <f t="shared" si="18"/>
        <v>42</v>
      </c>
      <c r="L72" s="985">
        <f t="shared" si="18"/>
        <v>9443095.2100000009</v>
      </c>
      <c r="M72" s="985">
        <f t="shared" si="18"/>
        <v>0</v>
      </c>
      <c r="N72" s="985">
        <f t="shared" si="18"/>
        <v>0</v>
      </c>
      <c r="O72" s="985">
        <f t="shared" si="18"/>
        <v>9443095.2100000009</v>
      </c>
      <c r="P72" s="985">
        <f t="shared" si="18"/>
        <v>0</v>
      </c>
      <c r="Q72" s="985">
        <f t="shared" si="18"/>
        <v>0</v>
      </c>
      <c r="R72" s="991" t="s">
        <v>40</v>
      </c>
      <c r="S72" s="991" t="s">
        <v>40</v>
      </c>
    </row>
    <row r="73" spans="1:19" s="992" customFormat="1" ht="42.6" customHeight="1">
      <c r="A73" s="1114">
        <v>41</v>
      </c>
      <c r="B73" s="1111" t="s">
        <v>1554</v>
      </c>
      <c r="C73" s="1116">
        <v>1982</v>
      </c>
      <c r="D73" s="1116"/>
      <c r="E73" s="1114" t="s">
        <v>218</v>
      </c>
      <c r="F73" s="1116">
        <v>2</v>
      </c>
      <c r="G73" s="1116">
        <v>3</v>
      </c>
      <c r="H73" s="985">
        <v>939.1</v>
      </c>
      <c r="I73" s="985">
        <v>939.1</v>
      </c>
      <c r="J73" s="985">
        <v>854.1</v>
      </c>
      <c r="K73" s="1030">
        <v>42</v>
      </c>
      <c r="L73" s="985">
        <v>9443095.2100000009</v>
      </c>
      <c r="M73" s="985">
        <v>0</v>
      </c>
      <c r="N73" s="985">
        <v>0</v>
      </c>
      <c r="O73" s="985">
        <v>9443095.2100000009</v>
      </c>
      <c r="P73" s="985">
        <v>0</v>
      </c>
      <c r="Q73" s="985">
        <v>0</v>
      </c>
      <c r="R73" s="987">
        <v>2023</v>
      </c>
      <c r="S73" s="987">
        <v>2023</v>
      </c>
    </row>
    <row r="74" spans="1:19" s="992" customFormat="1" ht="36" customHeight="1">
      <c r="A74" s="1114"/>
      <c r="B74" s="1428" t="s">
        <v>1056</v>
      </c>
      <c r="C74" s="1428"/>
      <c r="D74" s="1428"/>
      <c r="E74" s="1428"/>
      <c r="F74" s="1428"/>
      <c r="G74" s="1428"/>
      <c r="H74" s="985">
        <f>H75+H77+H76</f>
        <v>1640.3000000000002</v>
      </c>
      <c r="I74" s="985">
        <f t="shared" ref="I74:Q74" si="19">I75+I77+I76</f>
        <v>1640.3000000000002</v>
      </c>
      <c r="J74" s="985">
        <f t="shared" si="19"/>
        <v>1479.8</v>
      </c>
      <c r="K74" s="985">
        <f t="shared" si="19"/>
        <v>83</v>
      </c>
      <c r="L74" s="985">
        <f t="shared" si="19"/>
        <v>4792659.7200000007</v>
      </c>
      <c r="M74" s="985">
        <f t="shared" si="19"/>
        <v>0</v>
      </c>
      <c r="N74" s="985">
        <f t="shared" si="19"/>
        <v>0</v>
      </c>
      <c r="O74" s="985">
        <f t="shared" si="19"/>
        <v>4792659.7200000007</v>
      </c>
      <c r="P74" s="985">
        <f t="shared" si="19"/>
        <v>0</v>
      </c>
      <c r="Q74" s="985">
        <f t="shared" si="19"/>
        <v>0</v>
      </c>
      <c r="R74" s="991" t="s">
        <v>40</v>
      </c>
      <c r="S74" s="991" t="s">
        <v>40</v>
      </c>
    </row>
    <row r="75" spans="1:19" s="992" customFormat="1" ht="42" customHeight="1">
      <c r="A75" s="1114">
        <v>42</v>
      </c>
      <c r="B75" s="1111" t="s">
        <v>1429</v>
      </c>
      <c r="C75" s="1116">
        <v>1966</v>
      </c>
      <c r="D75" s="1116"/>
      <c r="E75" s="1114" t="s">
        <v>218</v>
      </c>
      <c r="F75" s="1116">
        <v>2</v>
      </c>
      <c r="G75" s="1116">
        <v>2</v>
      </c>
      <c r="H75" s="985">
        <v>545.20000000000005</v>
      </c>
      <c r="I75" s="985">
        <v>545.20000000000005</v>
      </c>
      <c r="J75" s="985">
        <v>422.9</v>
      </c>
      <c r="K75" s="1030">
        <v>32</v>
      </c>
      <c r="L75" s="985">
        <v>2016905.71</v>
      </c>
      <c r="M75" s="985">
        <v>0</v>
      </c>
      <c r="N75" s="985">
        <v>0</v>
      </c>
      <c r="O75" s="985">
        <v>2016905.71</v>
      </c>
      <c r="P75" s="985">
        <v>0</v>
      </c>
      <c r="Q75" s="985">
        <v>0</v>
      </c>
      <c r="R75" s="987">
        <v>2023</v>
      </c>
      <c r="S75" s="987">
        <v>2023</v>
      </c>
    </row>
    <row r="76" spans="1:19" s="992" customFormat="1" ht="42" customHeight="1">
      <c r="A76" s="1114">
        <v>43</v>
      </c>
      <c r="B76" s="1111" t="s">
        <v>1430</v>
      </c>
      <c r="C76" s="1116">
        <v>1966</v>
      </c>
      <c r="D76" s="1116"/>
      <c r="E76" s="1114" t="s">
        <v>219</v>
      </c>
      <c r="F76" s="1116">
        <v>2</v>
      </c>
      <c r="G76" s="1116">
        <v>2</v>
      </c>
      <c r="H76" s="985">
        <v>736.4</v>
      </c>
      <c r="I76" s="985">
        <v>736.4</v>
      </c>
      <c r="J76" s="985">
        <v>736.4</v>
      </c>
      <c r="K76" s="1030">
        <v>33</v>
      </c>
      <c r="L76" s="985">
        <v>2600746.83</v>
      </c>
      <c r="M76" s="985">
        <v>0</v>
      </c>
      <c r="N76" s="985">
        <v>0</v>
      </c>
      <c r="O76" s="985">
        <v>2600746.83</v>
      </c>
      <c r="P76" s="985">
        <v>0</v>
      </c>
      <c r="Q76" s="985">
        <v>0</v>
      </c>
      <c r="R76" s="987">
        <v>2023</v>
      </c>
      <c r="S76" s="987">
        <v>2023</v>
      </c>
    </row>
    <row r="77" spans="1:19" s="992" customFormat="1" ht="49.5" customHeight="1">
      <c r="A77" s="1114">
        <v>44</v>
      </c>
      <c r="B77" s="1111" t="s">
        <v>1431</v>
      </c>
      <c r="C77" s="1116">
        <v>1966</v>
      </c>
      <c r="D77" s="1116"/>
      <c r="E77" s="1114" t="s">
        <v>218</v>
      </c>
      <c r="F77" s="1116">
        <v>2</v>
      </c>
      <c r="G77" s="1116">
        <v>2</v>
      </c>
      <c r="H77" s="985">
        <v>358.7</v>
      </c>
      <c r="I77" s="985">
        <v>358.7</v>
      </c>
      <c r="J77" s="985">
        <v>320.5</v>
      </c>
      <c r="K77" s="1030">
        <v>18</v>
      </c>
      <c r="L77" s="985">
        <v>175007.18</v>
      </c>
      <c r="M77" s="985">
        <v>0</v>
      </c>
      <c r="N77" s="985">
        <v>0</v>
      </c>
      <c r="O77" s="985">
        <v>175007.18</v>
      </c>
      <c r="P77" s="985">
        <v>0</v>
      </c>
      <c r="Q77" s="985">
        <v>0</v>
      </c>
      <c r="R77" s="987">
        <v>2023</v>
      </c>
      <c r="S77" s="987">
        <v>2023</v>
      </c>
    </row>
    <row r="78" spans="1:19" s="992" customFormat="1" ht="32.450000000000003" customHeight="1">
      <c r="A78" s="1114"/>
      <c r="B78" s="1428" t="s">
        <v>1087</v>
      </c>
      <c r="C78" s="1428"/>
      <c r="D78" s="1428"/>
      <c r="E78" s="1428"/>
      <c r="F78" s="1428"/>
      <c r="G78" s="1428"/>
      <c r="H78" s="985">
        <f>H79</f>
        <v>3259.55</v>
      </c>
      <c r="I78" s="985">
        <f t="shared" ref="I78:Q78" si="20">I79</f>
        <v>3023.65</v>
      </c>
      <c r="J78" s="985">
        <f t="shared" si="20"/>
        <v>3023.65</v>
      </c>
      <c r="K78" s="985">
        <f t="shared" si="20"/>
        <v>132</v>
      </c>
      <c r="L78" s="985">
        <f t="shared" si="20"/>
        <v>4284863.0999999996</v>
      </c>
      <c r="M78" s="985">
        <f t="shared" si="20"/>
        <v>0</v>
      </c>
      <c r="N78" s="985">
        <f t="shared" si="20"/>
        <v>143208.9</v>
      </c>
      <c r="O78" s="985">
        <f t="shared" si="20"/>
        <v>4141654.2</v>
      </c>
      <c r="P78" s="985">
        <f t="shared" si="20"/>
        <v>0</v>
      </c>
      <c r="Q78" s="985">
        <f t="shared" si="20"/>
        <v>0</v>
      </c>
      <c r="R78" s="991" t="s">
        <v>40</v>
      </c>
      <c r="S78" s="991" t="s">
        <v>40</v>
      </c>
    </row>
    <row r="79" spans="1:19" s="992" customFormat="1" ht="40.15" customHeight="1">
      <c r="A79" s="1114">
        <v>45</v>
      </c>
      <c r="B79" s="1112" t="s">
        <v>1702</v>
      </c>
      <c r="C79" s="1116">
        <v>1988</v>
      </c>
      <c r="D79" s="1116"/>
      <c r="E79" s="1114" t="s">
        <v>219</v>
      </c>
      <c r="F79" s="1116">
        <v>5</v>
      </c>
      <c r="G79" s="1116">
        <v>4</v>
      </c>
      <c r="H79" s="985">
        <v>3259.55</v>
      </c>
      <c r="I79" s="985">
        <v>3023.65</v>
      </c>
      <c r="J79" s="985">
        <v>3023.65</v>
      </c>
      <c r="K79" s="1030">
        <v>132</v>
      </c>
      <c r="L79" s="985">
        <v>4284863.0999999996</v>
      </c>
      <c r="M79" s="985">
        <v>0</v>
      </c>
      <c r="N79" s="985">
        <v>143208.9</v>
      </c>
      <c r="O79" s="985">
        <v>4141654.2</v>
      </c>
      <c r="P79" s="985">
        <v>0</v>
      </c>
      <c r="Q79" s="985">
        <v>0</v>
      </c>
      <c r="R79" s="987">
        <v>2023</v>
      </c>
      <c r="S79" s="987">
        <v>2023</v>
      </c>
    </row>
    <row r="80" spans="1:19" s="992" customFormat="1" ht="39.6" customHeight="1">
      <c r="A80" s="1114"/>
      <c r="B80" s="1428" t="s">
        <v>1060</v>
      </c>
      <c r="C80" s="1428"/>
      <c r="D80" s="1428"/>
      <c r="E80" s="1428"/>
      <c r="F80" s="1428"/>
      <c r="G80" s="1428"/>
      <c r="H80" s="985">
        <f>H81</f>
        <v>512</v>
      </c>
      <c r="I80" s="985">
        <f t="shared" ref="I80:Q84" si="21">I81</f>
        <v>512</v>
      </c>
      <c r="J80" s="985">
        <f t="shared" si="21"/>
        <v>512</v>
      </c>
      <c r="K80" s="1030">
        <f t="shared" si="21"/>
        <v>35</v>
      </c>
      <c r="L80" s="985">
        <f t="shared" si="21"/>
        <v>1831138.08</v>
      </c>
      <c r="M80" s="985">
        <f t="shared" si="21"/>
        <v>0</v>
      </c>
      <c r="N80" s="985">
        <f t="shared" si="21"/>
        <v>785898.39</v>
      </c>
      <c r="O80" s="985">
        <f t="shared" si="21"/>
        <v>1045239.69</v>
      </c>
      <c r="P80" s="985">
        <f t="shared" si="21"/>
        <v>0</v>
      </c>
      <c r="Q80" s="985">
        <f t="shared" si="21"/>
        <v>0</v>
      </c>
      <c r="R80" s="991" t="s">
        <v>40</v>
      </c>
      <c r="S80" s="991" t="s">
        <v>40</v>
      </c>
    </row>
    <row r="81" spans="1:19" s="992" customFormat="1" ht="49.5" customHeight="1">
      <c r="A81" s="1114">
        <v>46</v>
      </c>
      <c r="B81" s="1111" t="s">
        <v>1336</v>
      </c>
      <c r="C81" s="1116">
        <v>1970</v>
      </c>
      <c r="D81" s="1116"/>
      <c r="E81" s="1114" t="s">
        <v>218</v>
      </c>
      <c r="F81" s="1116">
        <v>2</v>
      </c>
      <c r="G81" s="1116">
        <v>2</v>
      </c>
      <c r="H81" s="985">
        <v>512</v>
      </c>
      <c r="I81" s="985">
        <v>512</v>
      </c>
      <c r="J81" s="985">
        <v>512</v>
      </c>
      <c r="K81" s="1030">
        <v>35</v>
      </c>
      <c r="L81" s="986">
        <f>N81+O81</f>
        <v>1831138.08</v>
      </c>
      <c r="M81" s="986">
        <v>0</v>
      </c>
      <c r="N81" s="986">
        <v>785898.39</v>
      </c>
      <c r="O81" s="986">
        <v>1045239.69</v>
      </c>
      <c r="P81" s="993">
        <v>0</v>
      </c>
      <c r="Q81" s="986">
        <v>0</v>
      </c>
      <c r="R81" s="987">
        <v>2023</v>
      </c>
      <c r="S81" s="987">
        <v>2023</v>
      </c>
    </row>
    <row r="82" spans="1:19" s="992" customFormat="1" ht="49.5" customHeight="1">
      <c r="A82" s="1114"/>
      <c r="B82" s="1428" t="s">
        <v>1058</v>
      </c>
      <c r="C82" s="1428"/>
      <c r="D82" s="1428"/>
      <c r="E82" s="1428"/>
      <c r="F82" s="1428"/>
      <c r="G82" s="1428"/>
      <c r="H82" s="985">
        <f>H83</f>
        <v>437.1</v>
      </c>
      <c r="I82" s="985">
        <f t="shared" si="21"/>
        <v>437.1</v>
      </c>
      <c r="J82" s="985">
        <f t="shared" si="21"/>
        <v>381.2</v>
      </c>
      <c r="K82" s="1030">
        <f t="shared" si="21"/>
        <v>31</v>
      </c>
      <c r="L82" s="985">
        <f t="shared" si="21"/>
        <v>457350.84</v>
      </c>
      <c r="M82" s="985">
        <f t="shared" si="21"/>
        <v>0</v>
      </c>
      <c r="N82" s="985">
        <f t="shared" si="21"/>
        <v>0</v>
      </c>
      <c r="O82" s="985">
        <f t="shared" si="21"/>
        <v>457350.84</v>
      </c>
      <c r="P82" s="985">
        <f t="shared" si="21"/>
        <v>0</v>
      </c>
      <c r="Q82" s="985">
        <f t="shared" si="21"/>
        <v>0</v>
      </c>
      <c r="R82" s="991" t="s">
        <v>40</v>
      </c>
      <c r="S82" s="991" t="s">
        <v>40</v>
      </c>
    </row>
    <row r="83" spans="1:19" s="992" customFormat="1" ht="49.5" customHeight="1">
      <c r="A83" s="1114">
        <v>47</v>
      </c>
      <c r="B83" s="1111" t="s">
        <v>1680</v>
      </c>
      <c r="C83" s="1116">
        <v>1974</v>
      </c>
      <c r="D83" s="1116"/>
      <c r="E83" s="1114" t="s">
        <v>218</v>
      </c>
      <c r="F83" s="1116">
        <v>2</v>
      </c>
      <c r="G83" s="1116">
        <v>2</v>
      </c>
      <c r="H83" s="985">
        <v>437.1</v>
      </c>
      <c r="I83" s="985">
        <v>437.1</v>
      </c>
      <c r="J83" s="985">
        <v>381.2</v>
      </c>
      <c r="K83" s="1030">
        <v>31</v>
      </c>
      <c r="L83" s="986">
        <v>457350.84</v>
      </c>
      <c r="M83" s="986">
        <v>0</v>
      </c>
      <c r="N83" s="986">
        <v>0</v>
      </c>
      <c r="O83" s="986">
        <v>457350.84</v>
      </c>
      <c r="P83" s="993">
        <v>0</v>
      </c>
      <c r="Q83" s="986">
        <v>0</v>
      </c>
      <c r="R83" s="987">
        <v>2023</v>
      </c>
      <c r="S83" s="987">
        <v>2023</v>
      </c>
    </row>
    <row r="84" spans="1:19" s="992" customFormat="1" ht="39.6" customHeight="1">
      <c r="A84" s="1114"/>
      <c r="B84" s="1428" t="s">
        <v>1112</v>
      </c>
      <c r="C84" s="1428"/>
      <c r="D84" s="1428"/>
      <c r="E84" s="1428"/>
      <c r="F84" s="1428"/>
      <c r="G84" s="1428"/>
      <c r="H84" s="985">
        <f>H85</f>
        <v>2509.6</v>
      </c>
      <c r="I84" s="985">
        <f t="shared" si="21"/>
        <v>2509.6</v>
      </c>
      <c r="J84" s="985">
        <f t="shared" si="21"/>
        <v>1632</v>
      </c>
      <c r="K84" s="1030">
        <f t="shared" si="21"/>
        <v>100</v>
      </c>
      <c r="L84" s="985">
        <f t="shared" si="21"/>
        <v>4670729.01</v>
      </c>
      <c r="M84" s="985">
        <f t="shared" si="21"/>
        <v>0</v>
      </c>
      <c r="N84" s="985">
        <f t="shared" si="21"/>
        <v>0</v>
      </c>
      <c r="O84" s="985">
        <f t="shared" si="21"/>
        <v>4670729.01</v>
      </c>
      <c r="P84" s="985">
        <f t="shared" si="21"/>
        <v>0</v>
      </c>
      <c r="Q84" s="985">
        <f t="shared" si="21"/>
        <v>0</v>
      </c>
      <c r="R84" s="991" t="s">
        <v>40</v>
      </c>
      <c r="S84" s="991" t="s">
        <v>40</v>
      </c>
    </row>
    <row r="85" spans="1:19" s="992" customFormat="1" ht="49.5" customHeight="1">
      <c r="A85" s="1114">
        <v>48</v>
      </c>
      <c r="B85" s="1111" t="s">
        <v>1348</v>
      </c>
      <c r="C85" s="1116">
        <v>1972</v>
      </c>
      <c r="D85" s="1116"/>
      <c r="E85" s="1114" t="s">
        <v>218</v>
      </c>
      <c r="F85" s="1116">
        <v>4</v>
      </c>
      <c r="G85" s="1116">
        <v>4</v>
      </c>
      <c r="H85" s="985">
        <v>2509.6</v>
      </c>
      <c r="I85" s="985">
        <v>2509.6</v>
      </c>
      <c r="J85" s="985">
        <v>1632</v>
      </c>
      <c r="K85" s="1030">
        <v>100</v>
      </c>
      <c r="L85" s="986">
        <v>4670729.01</v>
      </c>
      <c r="M85" s="986">
        <v>0</v>
      </c>
      <c r="N85" s="986">
        <v>0</v>
      </c>
      <c r="O85" s="986">
        <v>4670729.01</v>
      </c>
      <c r="P85" s="993">
        <v>0</v>
      </c>
      <c r="Q85" s="986">
        <v>0</v>
      </c>
      <c r="R85" s="987">
        <v>2023</v>
      </c>
      <c r="S85" s="987">
        <v>2023</v>
      </c>
    </row>
    <row r="86" spans="1:19" s="2" customFormat="1" ht="36.6" customHeight="1">
      <c r="A86" s="1114"/>
      <c r="B86" s="1428" t="s">
        <v>1063</v>
      </c>
      <c r="C86" s="1428"/>
      <c r="D86" s="1428"/>
      <c r="E86" s="1428"/>
      <c r="F86" s="1428"/>
      <c r="G86" s="1428"/>
      <c r="H86" s="985">
        <f>H87+H88</f>
        <v>6002.1</v>
      </c>
      <c r="I86" s="985">
        <f t="shared" ref="I86:Q86" si="22">I87+I88</f>
        <v>6002.1</v>
      </c>
      <c r="J86" s="985">
        <f t="shared" si="22"/>
        <v>3175.1</v>
      </c>
      <c r="K86" s="1030">
        <f t="shared" si="22"/>
        <v>255</v>
      </c>
      <c r="L86" s="985">
        <f t="shared" si="22"/>
        <v>8120699.2999999998</v>
      </c>
      <c r="M86" s="985">
        <f t="shared" si="22"/>
        <v>0</v>
      </c>
      <c r="N86" s="985">
        <f t="shared" si="22"/>
        <v>0</v>
      </c>
      <c r="O86" s="985">
        <f t="shared" si="22"/>
        <v>8120699.2999999998</v>
      </c>
      <c r="P86" s="985">
        <f t="shared" si="22"/>
        <v>0</v>
      </c>
      <c r="Q86" s="985">
        <f t="shared" si="22"/>
        <v>0</v>
      </c>
      <c r="R86" s="991" t="s">
        <v>40</v>
      </c>
      <c r="S86" s="991" t="s">
        <v>40</v>
      </c>
    </row>
    <row r="87" spans="1:19" s="992" customFormat="1" ht="42" customHeight="1">
      <c r="A87" s="1114">
        <v>49</v>
      </c>
      <c r="B87" s="1115" t="s">
        <v>1346</v>
      </c>
      <c r="C87" s="1116">
        <v>1981</v>
      </c>
      <c r="D87" s="1116"/>
      <c r="E87" s="1114" t="s">
        <v>219</v>
      </c>
      <c r="F87" s="1116">
        <v>5</v>
      </c>
      <c r="G87" s="1116">
        <v>4</v>
      </c>
      <c r="H87" s="985">
        <v>2849.5</v>
      </c>
      <c r="I87" s="985">
        <v>2849.5</v>
      </c>
      <c r="J87" s="985">
        <v>1594.3</v>
      </c>
      <c r="K87" s="1030">
        <v>118</v>
      </c>
      <c r="L87" s="986">
        <v>4033811.42</v>
      </c>
      <c r="M87" s="986">
        <v>0</v>
      </c>
      <c r="N87" s="986">
        <v>0</v>
      </c>
      <c r="O87" s="986">
        <v>4033811.42</v>
      </c>
      <c r="P87" s="993">
        <v>0</v>
      </c>
      <c r="Q87" s="986">
        <v>0</v>
      </c>
      <c r="R87" s="987">
        <v>2023</v>
      </c>
      <c r="S87" s="987">
        <v>2023</v>
      </c>
    </row>
    <row r="88" spans="1:19" s="992" customFormat="1" ht="36" customHeight="1">
      <c r="A88" s="1114">
        <v>50</v>
      </c>
      <c r="B88" s="1115" t="s">
        <v>1347</v>
      </c>
      <c r="C88" s="1116">
        <v>1991</v>
      </c>
      <c r="D88" s="1116"/>
      <c r="E88" s="1114" t="s">
        <v>219</v>
      </c>
      <c r="F88" s="1116">
        <v>5</v>
      </c>
      <c r="G88" s="1116">
        <v>4</v>
      </c>
      <c r="H88" s="985">
        <v>3152.6</v>
      </c>
      <c r="I88" s="985">
        <v>3152.6</v>
      </c>
      <c r="J88" s="985">
        <v>1580.8</v>
      </c>
      <c r="K88" s="1030">
        <v>137</v>
      </c>
      <c r="L88" s="986">
        <v>4086887.88</v>
      </c>
      <c r="M88" s="986">
        <v>0</v>
      </c>
      <c r="N88" s="986">
        <v>0</v>
      </c>
      <c r="O88" s="986">
        <v>4086887.88</v>
      </c>
      <c r="P88" s="993">
        <v>0</v>
      </c>
      <c r="Q88" s="986">
        <v>0</v>
      </c>
      <c r="R88" s="987">
        <v>2023</v>
      </c>
      <c r="S88" s="987">
        <v>2023</v>
      </c>
    </row>
    <row r="89" spans="1:19" s="992" customFormat="1" ht="36" customHeight="1">
      <c r="A89" s="1114"/>
      <c r="B89" s="1426" t="s">
        <v>50</v>
      </c>
      <c r="C89" s="1426"/>
      <c r="D89" s="1426"/>
      <c r="E89" s="1426"/>
      <c r="F89" s="1426"/>
      <c r="G89" s="1426"/>
      <c r="H89" s="985">
        <f>H90</f>
        <v>3779.4100000000003</v>
      </c>
      <c r="I89" s="985">
        <f t="shared" ref="I89:O89" si="23">I90</f>
        <v>3381.31</v>
      </c>
      <c r="J89" s="985">
        <f t="shared" si="23"/>
        <v>3042.9</v>
      </c>
      <c r="K89" s="1030">
        <f t="shared" si="23"/>
        <v>152</v>
      </c>
      <c r="L89" s="986">
        <f t="shared" si="23"/>
        <v>30135392.18</v>
      </c>
      <c r="M89" s="986">
        <f t="shared" si="23"/>
        <v>0</v>
      </c>
      <c r="N89" s="986">
        <v>0</v>
      </c>
      <c r="O89" s="986">
        <f t="shared" si="23"/>
        <v>30135392.18</v>
      </c>
      <c r="P89" s="993">
        <v>0</v>
      </c>
      <c r="Q89" s="986">
        <v>0</v>
      </c>
      <c r="R89" s="991" t="s">
        <v>40</v>
      </c>
      <c r="S89" s="991" t="s">
        <v>40</v>
      </c>
    </row>
    <row r="90" spans="1:19" s="992" customFormat="1" ht="36" customHeight="1">
      <c r="A90" s="1114"/>
      <c r="B90" s="1426" t="s">
        <v>1028</v>
      </c>
      <c r="C90" s="1426"/>
      <c r="D90" s="1426"/>
      <c r="E90" s="1426"/>
      <c r="F90" s="1426"/>
      <c r="G90" s="1426"/>
      <c r="H90" s="985">
        <f>SUM(H91:H96)</f>
        <v>3779.4100000000003</v>
      </c>
      <c r="I90" s="985">
        <f t="shared" ref="I90:Q90" si="24">SUM(I91:I96)</f>
        <v>3381.31</v>
      </c>
      <c r="J90" s="985">
        <f t="shared" si="24"/>
        <v>3042.9</v>
      </c>
      <c r="K90" s="985">
        <f t="shared" si="24"/>
        <v>152</v>
      </c>
      <c r="L90" s="985">
        <f t="shared" si="24"/>
        <v>30135392.18</v>
      </c>
      <c r="M90" s="985">
        <f t="shared" si="24"/>
        <v>0</v>
      </c>
      <c r="N90" s="985">
        <f t="shared" si="24"/>
        <v>0</v>
      </c>
      <c r="O90" s="985">
        <f t="shared" si="24"/>
        <v>30135392.18</v>
      </c>
      <c r="P90" s="985">
        <f t="shared" si="24"/>
        <v>0</v>
      </c>
      <c r="Q90" s="985">
        <f t="shared" si="24"/>
        <v>0</v>
      </c>
      <c r="R90" s="991" t="s">
        <v>40</v>
      </c>
      <c r="S90" s="991" t="s">
        <v>40</v>
      </c>
    </row>
    <row r="91" spans="1:19" s="992" customFormat="1" ht="44.45" customHeight="1">
      <c r="A91" s="1021">
        <v>51</v>
      </c>
      <c r="B91" s="1113" t="s">
        <v>1464</v>
      </c>
      <c r="C91" s="1116">
        <v>1991</v>
      </c>
      <c r="D91" s="1140"/>
      <c r="E91" s="1114" t="s">
        <v>218</v>
      </c>
      <c r="F91" s="1017">
        <v>2</v>
      </c>
      <c r="G91" s="1017">
        <v>2</v>
      </c>
      <c r="H91" s="1141">
        <v>682</v>
      </c>
      <c r="I91" s="1141">
        <v>650.6</v>
      </c>
      <c r="J91" s="1141">
        <v>585.5</v>
      </c>
      <c r="K91" s="1008">
        <v>29</v>
      </c>
      <c r="L91" s="1142">
        <v>5867554.2999999998</v>
      </c>
      <c r="M91" s="1142">
        <v>0</v>
      </c>
      <c r="N91" s="1142">
        <v>0</v>
      </c>
      <c r="O91" s="1142">
        <v>5867554.2999999998</v>
      </c>
      <c r="P91" s="1018">
        <v>0</v>
      </c>
      <c r="Q91" s="1018">
        <v>0</v>
      </c>
      <c r="R91" s="1022">
        <v>2023</v>
      </c>
      <c r="S91" s="1022">
        <v>2023</v>
      </c>
    </row>
    <row r="92" spans="1:19" s="992" customFormat="1" ht="42" customHeight="1">
      <c r="A92" s="1021">
        <v>52</v>
      </c>
      <c r="B92" s="1113" t="s">
        <v>1465</v>
      </c>
      <c r="C92" s="1116">
        <v>1993</v>
      </c>
      <c r="D92" s="1140"/>
      <c r="E92" s="1114" t="s">
        <v>218</v>
      </c>
      <c r="F92" s="1017">
        <v>2</v>
      </c>
      <c r="G92" s="1017">
        <v>3</v>
      </c>
      <c r="H92" s="1141">
        <v>1091.5</v>
      </c>
      <c r="I92" s="1141">
        <v>974.7</v>
      </c>
      <c r="J92" s="1141">
        <v>877.2</v>
      </c>
      <c r="K92" s="1008">
        <v>47</v>
      </c>
      <c r="L92" s="1142">
        <v>8984692.5299999993</v>
      </c>
      <c r="M92" s="1142">
        <v>0</v>
      </c>
      <c r="N92" s="1142">
        <v>0</v>
      </c>
      <c r="O92" s="1142">
        <v>8984692.5299999993</v>
      </c>
      <c r="P92" s="1018">
        <v>0</v>
      </c>
      <c r="Q92" s="1018">
        <v>0</v>
      </c>
      <c r="R92" s="1022">
        <v>2023</v>
      </c>
      <c r="S92" s="1022">
        <v>2023</v>
      </c>
    </row>
    <row r="93" spans="1:19" s="992" customFormat="1" ht="42" customHeight="1">
      <c r="A93" s="1021">
        <v>53</v>
      </c>
      <c r="B93" s="1115" t="s">
        <v>1466</v>
      </c>
      <c r="C93" s="1116">
        <v>1967</v>
      </c>
      <c r="D93" s="1140"/>
      <c r="E93" s="1114" t="s">
        <v>218</v>
      </c>
      <c r="F93" s="1017">
        <v>2</v>
      </c>
      <c r="G93" s="1017">
        <v>2</v>
      </c>
      <c r="H93" s="1141">
        <v>511.8</v>
      </c>
      <c r="I93" s="1141">
        <v>448.6</v>
      </c>
      <c r="J93" s="1141">
        <v>403.7</v>
      </c>
      <c r="K93" s="1008">
        <v>29</v>
      </c>
      <c r="L93" s="1142">
        <v>3942263.05</v>
      </c>
      <c r="M93" s="1142">
        <v>0</v>
      </c>
      <c r="N93" s="1142">
        <v>0</v>
      </c>
      <c r="O93" s="1142">
        <v>3942263.05</v>
      </c>
      <c r="P93" s="1018">
        <v>0</v>
      </c>
      <c r="Q93" s="1018">
        <v>0</v>
      </c>
      <c r="R93" s="1022">
        <v>2023</v>
      </c>
      <c r="S93" s="1022">
        <v>2023</v>
      </c>
    </row>
    <row r="94" spans="1:19" s="992" customFormat="1" ht="42" customHeight="1">
      <c r="A94" s="1021">
        <v>54</v>
      </c>
      <c r="B94" s="1115" t="s">
        <v>1467</v>
      </c>
      <c r="C94" s="1116">
        <v>1973</v>
      </c>
      <c r="D94" s="1140"/>
      <c r="E94" s="1114" t="s">
        <v>220</v>
      </c>
      <c r="F94" s="1017">
        <v>2</v>
      </c>
      <c r="G94" s="1017">
        <v>1</v>
      </c>
      <c r="H94" s="1141">
        <v>379.4</v>
      </c>
      <c r="I94" s="1141">
        <v>347.7</v>
      </c>
      <c r="J94" s="1141">
        <v>312.89999999999998</v>
      </c>
      <c r="K94" s="1008">
        <v>12</v>
      </c>
      <c r="L94" s="1142">
        <v>2823760.51</v>
      </c>
      <c r="M94" s="1142">
        <v>0</v>
      </c>
      <c r="N94" s="1142">
        <v>0</v>
      </c>
      <c r="O94" s="1142">
        <v>2823760.51</v>
      </c>
      <c r="P94" s="1018">
        <v>0</v>
      </c>
      <c r="Q94" s="1018">
        <v>0</v>
      </c>
      <c r="R94" s="1022">
        <v>2023</v>
      </c>
      <c r="S94" s="1022">
        <v>2023</v>
      </c>
    </row>
    <row r="95" spans="1:19" s="992" customFormat="1" ht="42" customHeight="1">
      <c r="A95" s="1021">
        <v>55</v>
      </c>
      <c r="B95" s="1115" t="s">
        <v>1468</v>
      </c>
      <c r="C95" s="1116">
        <v>1965</v>
      </c>
      <c r="D95" s="1140"/>
      <c r="E95" s="1114" t="s">
        <v>218</v>
      </c>
      <c r="F95" s="1017">
        <v>2</v>
      </c>
      <c r="G95" s="1017">
        <v>2</v>
      </c>
      <c r="H95" s="1141">
        <v>424.5</v>
      </c>
      <c r="I95" s="1141">
        <v>329.5</v>
      </c>
      <c r="J95" s="1141">
        <v>296.5</v>
      </c>
      <c r="K95" s="1008">
        <v>14</v>
      </c>
      <c r="L95" s="1142">
        <v>3263827.08</v>
      </c>
      <c r="M95" s="1142">
        <v>0</v>
      </c>
      <c r="N95" s="1142">
        <v>0</v>
      </c>
      <c r="O95" s="1142">
        <v>3263827.08</v>
      </c>
      <c r="P95" s="1018">
        <v>0</v>
      </c>
      <c r="Q95" s="1018">
        <v>0</v>
      </c>
      <c r="R95" s="1022">
        <v>2023</v>
      </c>
      <c r="S95" s="1022">
        <v>2023</v>
      </c>
    </row>
    <row r="96" spans="1:19" s="992" customFormat="1" ht="42" customHeight="1">
      <c r="A96" s="1021">
        <v>56</v>
      </c>
      <c r="B96" s="1115" t="s">
        <v>1469</v>
      </c>
      <c r="C96" s="1116">
        <v>1961</v>
      </c>
      <c r="D96" s="1140"/>
      <c r="E96" s="1114" t="s">
        <v>218</v>
      </c>
      <c r="F96" s="1017">
        <v>2</v>
      </c>
      <c r="G96" s="1017">
        <v>2</v>
      </c>
      <c r="H96" s="1141">
        <v>690.21</v>
      </c>
      <c r="I96" s="1141">
        <v>630.21</v>
      </c>
      <c r="J96" s="1141">
        <v>567.1</v>
      </c>
      <c r="K96" s="1008">
        <v>21</v>
      </c>
      <c r="L96" s="1142">
        <v>5253294.71</v>
      </c>
      <c r="M96" s="1142">
        <v>0</v>
      </c>
      <c r="N96" s="1142">
        <v>0</v>
      </c>
      <c r="O96" s="1142">
        <v>5253294.71</v>
      </c>
      <c r="P96" s="1018">
        <v>0</v>
      </c>
      <c r="Q96" s="1018">
        <v>0</v>
      </c>
      <c r="R96" s="1022">
        <v>2023</v>
      </c>
      <c r="S96" s="1022">
        <v>2023</v>
      </c>
    </row>
    <row r="97" spans="1:19" s="992" customFormat="1" ht="36" customHeight="1">
      <c r="A97" s="1114"/>
      <c r="B97" s="1426" t="s">
        <v>1324</v>
      </c>
      <c r="C97" s="1426"/>
      <c r="D97" s="1426"/>
      <c r="E97" s="1426"/>
      <c r="F97" s="1426"/>
      <c r="G97" s="1426"/>
      <c r="H97" s="985">
        <f t="shared" ref="H97:Q97" si="25">SUM(H98:H104)</f>
        <v>2548.1999999999998</v>
      </c>
      <c r="I97" s="985">
        <f t="shared" si="25"/>
        <v>2531.9</v>
      </c>
      <c r="J97" s="985">
        <f t="shared" si="25"/>
        <v>1755.3000000000002</v>
      </c>
      <c r="K97" s="1030">
        <f t="shared" si="25"/>
        <v>117</v>
      </c>
      <c r="L97" s="985">
        <f t="shared" si="25"/>
        <v>8582395</v>
      </c>
      <c r="M97" s="985">
        <f t="shared" si="25"/>
        <v>0</v>
      </c>
      <c r="N97" s="985">
        <f t="shared" si="25"/>
        <v>0</v>
      </c>
      <c r="O97" s="985">
        <f t="shared" si="25"/>
        <v>8582395</v>
      </c>
      <c r="P97" s="985">
        <f t="shared" si="25"/>
        <v>0</v>
      </c>
      <c r="Q97" s="985">
        <f t="shared" si="25"/>
        <v>0</v>
      </c>
      <c r="R97" s="991" t="s">
        <v>40</v>
      </c>
      <c r="S97" s="991" t="s">
        <v>40</v>
      </c>
    </row>
    <row r="98" spans="1:19" s="992" customFormat="1" ht="40.9" customHeight="1">
      <c r="A98" s="1021">
        <v>57</v>
      </c>
      <c r="B98" s="1143" t="s">
        <v>1516</v>
      </c>
      <c r="C98" s="1009" t="s">
        <v>190</v>
      </c>
      <c r="D98" s="1017"/>
      <c r="E98" s="1114" t="s">
        <v>218</v>
      </c>
      <c r="F98" s="1017">
        <v>2</v>
      </c>
      <c r="G98" s="1017">
        <v>2</v>
      </c>
      <c r="H98" s="1018">
        <v>606.6</v>
      </c>
      <c r="I98" s="1018">
        <v>606.6</v>
      </c>
      <c r="J98" s="1018">
        <v>374.2</v>
      </c>
      <c r="K98" s="1008">
        <v>22</v>
      </c>
      <c r="L98" s="985">
        <v>1195838</v>
      </c>
      <c r="M98" s="985">
        <v>0</v>
      </c>
      <c r="N98" s="985">
        <v>0</v>
      </c>
      <c r="O98" s="985">
        <v>1195838</v>
      </c>
      <c r="P98" s="1018">
        <v>0</v>
      </c>
      <c r="Q98" s="1018">
        <v>0</v>
      </c>
      <c r="R98" s="1022">
        <v>2023</v>
      </c>
      <c r="S98" s="1022">
        <v>2023</v>
      </c>
    </row>
    <row r="99" spans="1:19" s="992" customFormat="1" ht="39.6" customHeight="1">
      <c r="A99" s="1021">
        <v>58</v>
      </c>
      <c r="B99" s="1144" t="s">
        <v>2094</v>
      </c>
      <c r="C99" s="1009" t="s">
        <v>190</v>
      </c>
      <c r="D99" s="1022"/>
      <c r="E99" s="1114" t="s">
        <v>218</v>
      </c>
      <c r="F99" s="1022">
        <v>2</v>
      </c>
      <c r="G99" s="1022">
        <v>1</v>
      </c>
      <c r="H99" s="1025">
        <v>264.5</v>
      </c>
      <c r="I99" s="1025">
        <v>264.5</v>
      </c>
      <c r="J99" s="1025">
        <v>180</v>
      </c>
      <c r="K99" s="1032">
        <v>11</v>
      </c>
      <c r="L99" s="985">
        <v>1215045</v>
      </c>
      <c r="M99" s="985">
        <v>0</v>
      </c>
      <c r="N99" s="985">
        <v>0</v>
      </c>
      <c r="O99" s="985">
        <v>1215045</v>
      </c>
      <c r="P99" s="1025">
        <v>0</v>
      </c>
      <c r="Q99" s="1025">
        <v>0</v>
      </c>
      <c r="R99" s="1022">
        <v>2023</v>
      </c>
      <c r="S99" s="1022">
        <v>2023</v>
      </c>
    </row>
    <row r="100" spans="1:19" s="992" customFormat="1" ht="39.6" customHeight="1">
      <c r="A100" s="1021">
        <v>59</v>
      </c>
      <c r="B100" s="1143" t="s">
        <v>1517</v>
      </c>
      <c r="C100" s="1009" t="s">
        <v>190</v>
      </c>
      <c r="D100" s="1009"/>
      <c r="E100" s="1114" t="s">
        <v>218</v>
      </c>
      <c r="F100" s="1009">
        <v>2</v>
      </c>
      <c r="G100" s="1009">
        <v>1</v>
      </c>
      <c r="H100" s="1023">
        <v>457.6</v>
      </c>
      <c r="I100" s="1023">
        <v>457.6</v>
      </c>
      <c r="J100" s="1023">
        <v>299.10000000000002</v>
      </c>
      <c r="K100" s="1134">
        <v>27</v>
      </c>
      <c r="L100" s="985">
        <v>1191236</v>
      </c>
      <c r="M100" s="993">
        <v>0</v>
      </c>
      <c r="N100" s="993">
        <v>0</v>
      </c>
      <c r="O100" s="985">
        <v>1191236</v>
      </c>
      <c r="P100" s="1023">
        <v>0</v>
      </c>
      <c r="Q100" s="1023">
        <v>0</v>
      </c>
      <c r="R100" s="1022">
        <v>2023</v>
      </c>
      <c r="S100" s="1022">
        <v>2023</v>
      </c>
    </row>
    <row r="101" spans="1:19" s="992" customFormat="1" ht="36" customHeight="1">
      <c r="A101" s="1021">
        <v>60</v>
      </c>
      <c r="B101" s="1143" t="s">
        <v>1518</v>
      </c>
      <c r="C101" s="1009" t="s">
        <v>190</v>
      </c>
      <c r="D101" s="1022"/>
      <c r="E101" s="1021" t="s">
        <v>218</v>
      </c>
      <c r="F101" s="1022">
        <v>1</v>
      </c>
      <c r="G101" s="1022">
        <v>1</v>
      </c>
      <c r="H101" s="1025">
        <v>251.1</v>
      </c>
      <c r="I101" s="1025">
        <v>251.1</v>
      </c>
      <c r="J101" s="1025">
        <v>151.6</v>
      </c>
      <c r="K101" s="1032">
        <v>14</v>
      </c>
      <c r="L101" s="985">
        <v>1230002</v>
      </c>
      <c r="M101" s="985">
        <v>0</v>
      </c>
      <c r="N101" s="985">
        <v>0</v>
      </c>
      <c r="O101" s="985">
        <v>1230002</v>
      </c>
      <c r="P101" s="1025">
        <v>0</v>
      </c>
      <c r="Q101" s="1025">
        <v>0</v>
      </c>
      <c r="R101" s="1022">
        <v>2023</v>
      </c>
      <c r="S101" s="1022">
        <v>2023</v>
      </c>
    </row>
    <row r="102" spans="1:19" s="992" customFormat="1" ht="42" customHeight="1">
      <c r="A102" s="1021">
        <v>61</v>
      </c>
      <c r="B102" s="1143" t="s">
        <v>1519</v>
      </c>
      <c r="C102" s="1009" t="s">
        <v>190</v>
      </c>
      <c r="D102" s="1022"/>
      <c r="E102" s="1114" t="s">
        <v>218</v>
      </c>
      <c r="F102" s="1009">
        <v>5</v>
      </c>
      <c r="G102" s="1009">
        <v>6</v>
      </c>
      <c r="H102" s="1023">
        <v>267.3</v>
      </c>
      <c r="I102" s="1023">
        <v>251</v>
      </c>
      <c r="J102" s="1023">
        <v>267.3</v>
      </c>
      <c r="K102" s="1134">
        <v>12</v>
      </c>
      <c r="L102" s="985">
        <v>1182844</v>
      </c>
      <c r="M102" s="993">
        <v>0</v>
      </c>
      <c r="N102" s="993">
        <v>0</v>
      </c>
      <c r="O102" s="985">
        <v>1182844</v>
      </c>
      <c r="P102" s="1023">
        <v>0</v>
      </c>
      <c r="Q102" s="1023">
        <v>0</v>
      </c>
      <c r="R102" s="1022">
        <v>2023</v>
      </c>
      <c r="S102" s="1022">
        <v>2023</v>
      </c>
    </row>
    <row r="103" spans="1:19" s="992" customFormat="1" ht="42" customHeight="1">
      <c r="A103" s="1021">
        <v>62</v>
      </c>
      <c r="B103" s="1143" t="s">
        <v>1520</v>
      </c>
      <c r="C103" s="1009" t="s">
        <v>190</v>
      </c>
      <c r="D103" s="1022"/>
      <c r="E103" s="1114" t="s">
        <v>218</v>
      </c>
      <c r="F103" s="1022">
        <v>1</v>
      </c>
      <c r="G103" s="1022">
        <v>1</v>
      </c>
      <c r="H103" s="1025">
        <v>248.2</v>
      </c>
      <c r="I103" s="1025">
        <v>248.2</v>
      </c>
      <c r="J103" s="1025">
        <v>93.7</v>
      </c>
      <c r="K103" s="1032">
        <v>9</v>
      </c>
      <c r="L103" s="993">
        <v>1271553</v>
      </c>
      <c r="M103" s="985">
        <v>0</v>
      </c>
      <c r="N103" s="985">
        <v>0</v>
      </c>
      <c r="O103" s="993">
        <v>1271553</v>
      </c>
      <c r="P103" s="1025">
        <v>0</v>
      </c>
      <c r="Q103" s="1025">
        <v>0</v>
      </c>
      <c r="R103" s="1022">
        <v>2023</v>
      </c>
      <c r="S103" s="1022">
        <v>2023</v>
      </c>
    </row>
    <row r="104" spans="1:19" s="992" customFormat="1" ht="42" customHeight="1">
      <c r="A104" s="1021">
        <v>63</v>
      </c>
      <c r="B104" s="1143" t="s">
        <v>1521</v>
      </c>
      <c r="C104" s="1009" t="s">
        <v>190</v>
      </c>
      <c r="D104" s="1009"/>
      <c r="E104" s="1114" t="s">
        <v>218</v>
      </c>
      <c r="F104" s="1009">
        <v>2</v>
      </c>
      <c r="G104" s="1009">
        <v>2</v>
      </c>
      <c r="H104" s="1023">
        <v>452.9</v>
      </c>
      <c r="I104" s="1023">
        <v>452.9</v>
      </c>
      <c r="J104" s="1023">
        <v>389.4</v>
      </c>
      <c r="K104" s="1134">
        <v>22</v>
      </c>
      <c r="L104" s="985">
        <v>1295877</v>
      </c>
      <c r="M104" s="993">
        <v>0</v>
      </c>
      <c r="N104" s="993">
        <v>0</v>
      </c>
      <c r="O104" s="985">
        <v>1295877</v>
      </c>
      <c r="P104" s="1023">
        <v>0</v>
      </c>
      <c r="Q104" s="1023">
        <v>0</v>
      </c>
      <c r="R104" s="1022">
        <v>2023</v>
      </c>
      <c r="S104" s="1022">
        <v>2023</v>
      </c>
    </row>
    <row r="105" spans="1:19" s="992" customFormat="1" ht="42" customHeight="1">
      <c r="A105" s="1021"/>
      <c r="B105" s="1426" t="s">
        <v>1705</v>
      </c>
      <c r="C105" s="1426"/>
      <c r="D105" s="1426"/>
      <c r="E105" s="1426"/>
      <c r="F105" s="1426"/>
      <c r="G105" s="1426"/>
      <c r="H105" s="1023">
        <f>H106</f>
        <v>976.5</v>
      </c>
      <c r="I105" s="1023">
        <f t="shared" ref="I105:Q105" si="26">I106</f>
        <v>976.5</v>
      </c>
      <c r="J105" s="1023">
        <f t="shared" si="26"/>
        <v>557.1</v>
      </c>
      <c r="K105" s="1023">
        <f t="shared" si="26"/>
        <v>38</v>
      </c>
      <c r="L105" s="1023">
        <f t="shared" si="26"/>
        <v>1021741.25</v>
      </c>
      <c r="M105" s="1023">
        <f t="shared" si="26"/>
        <v>0</v>
      </c>
      <c r="N105" s="1023">
        <f t="shared" si="26"/>
        <v>0</v>
      </c>
      <c r="O105" s="1023">
        <f t="shared" si="26"/>
        <v>1021741.25</v>
      </c>
      <c r="P105" s="1023">
        <f t="shared" si="26"/>
        <v>0</v>
      </c>
      <c r="Q105" s="1023">
        <f t="shared" si="26"/>
        <v>0</v>
      </c>
      <c r="R105" s="991" t="s">
        <v>40</v>
      </c>
      <c r="S105" s="991" t="s">
        <v>40</v>
      </c>
    </row>
    <row r="106" spans="1:19" s="992" customFormat="1" ht="42" customHeight="1">
      <c r="A106" s="1021">
        <v>64</v>
      </c>
      <c r="B106" s="1143" t="s">
        <v>1706</v>
      </c>
      <c r="C106" s="1009">
        <v>1985</v>
      </c>
      <c r="D106" s="1009"/>
      <c r="E106" s="1114" t="s">
        <v>222</v>
      </c>
      <c r="F106" s="1009">
        <v>2</v>
      </c>
      <c r="G106" s="1009">
        <v>3</v>
      </c>
      <c r="H106" s="1023">
        <v>976.5</v>
      </c>
      <c r="I106" s="1023">
        <v>976.5</v>
      </c>
      <c r="J106" s="1023">
        <v>557.1</v>
      </c>
      <c r="K106" s="1134">
        <v>38</v>
      </c>
      <c r="L106" s="985">
        <v>1021741.25</v>
      </c>
      <c r="M106" s="993">
        <v>0</v>
      </c>
      <c r="N106" s="993">
        <v>0</v>
      </c>
      <c r="O106" s="985">
        <v>1021741.25</v>
      </c>
      <c r="P106" s="1023">
        <v>0</v>
      </c>
      <c r="Q106" s="1023">
        <v>0</v>
      </c>
      <c r="R106" s="1022">
        <v>2023</v>
      </c>
      <c r="S106" s="1022">
        <v>2023</v>
      </c>
    </row>
    <row r="107" spans="1:19" s="992" customFormat="1" ht="36" customHeight="1">
      <c r="A107" s="1114"/>
      <c r="B107" s="1111" t="s">
        <v>1254</v>
      </c>
      <c r="C107" s="1116"/>
      <c r="D107" s="1096"/>
      <c r="E107" s="1114"/>
      <c r="F107" s="1116"/>
      <c r="G107" s="1116"/>
      <c r="H107" s="985">
        <f>SUM(H108:H113)</f>
        <v>12672.9</v>
      </c>
      <c r="I107" s="985">
        <f t="shared" ref="I107:Q107" si="27">SUM(I108:I113)</f>
        <v>8989.3000000000011</v>
      </c>
      <c r="J107" s="985">
        <f t="shared" si="27"/>
        <v>7120.2</v>
      </c>
      <c r="K107" s="985">
        <f t="shared" si="27"/>
        <v>221</v>
      </c>
      <c r="L107" s="985">
        <f t="shared" si="27"/>
        <v>42147210.329999998</v>
      </c>
      <c r="M107" s="985">
        <f t="shared" si="27"/>
        <v>0</v>
      </c>
      <c r="N107" s="985">
        <f t="shared" si="27"/>
        <v>0</v>
      </c>
      <c r="O107" s="985">
        <f t="shared" si="27"/>
        <v>42147210.329999998</v>
      </c>
      <c r="P107" s="985">
        <f t="shared" si="27"/>
        <v>0</v>
      </c>
      <c r="Q107" s="985">
        <f t="shared" si="27"/>
        <v>0</v>
      </c>
      <c r="R107" s="991" t="s">
        <v>40</v>
      </c>
      <c r="S107" s="991" t="s">
        <v>40</v>
      </c>
    </row>
    <row r="108" spans="1:19" s="992" customFormat="1" ht="38.450000000000003" customHeight="1">
      <c r="A108" s="1114">
        <v>65</v>
      </c>
      <c r="B108" s="1112" t="s">
        <v>1419</v>
      </c>
      <c r="C108" s="1116">
        <v>1959</v>
      </c>
      <c r="D108" s="1116"/>
      <c r="E108" s="1114" t="s">
        <v>218</v>
      </c>
      <c r="F108" s="1116">
        <v>3</v>
      </c>
      <c r="G108" s="1116">
        <v>2</v>
      </c>
      <c r="H108" s="985">
        <v>1056.9000000000001</v>
      </c>
      <c r="I108" s="985">
        <v>974.7</v>
      </c>
      <c r="J108" s="985">
        <v>974.7</v>
      </c>
      <c r="K108" s="1030">
        <v>24</v>
      </c>
      <c r="L108" s="985">
        <v>5953275.5999999996</v>
      </c>
      <c r="M108" s="985">
        <v>0</v>
      </c>
      <c r="N108" s="985">
        <v>0</v>
      </c>
      <c r="O108" s="985">
        <v>5953275.5999999996</v>
      </c>
      <c r="P108" s="993">
        <v>0</v>
      </c>
      <c r="Q108" s="985">
        <v>0</v>
      </c>
      <c r="R108" s="987">
        <v>2023</v>
      </c>
      <c r="S108" s="987">
        <v>2023</v>
      </c>
    </row>
    <row r="109" spans="1:19" s="992" customFormat="1" ht="38.450000000000003" customHeight="1">
      <c r="A109" s="1114">
        <v>66</v>
      </c>
      <c r="B109" s="1112" t="s">
        <v>1420</v>
      </c>
      <c r="C109" s="1116">
        <v>1953</v>
      </c>
      <c r="D109" s="1116"/>
      <c r="E109" s="1114" t="s">
        <v>218</v>
      </c>
      <c r="F109" s="1116">
        <v>5</v>
      </c>
      <c r="G109" s="1116">
        <v>4</v>
      </c>
      <c r="H109" s="985">
        <v>6366.5</v>
      </c>
      <c r="I109" s="985">
        <v>4514.3</v>
      </c>
      <c r="J109" s="985">
        <v>3565.9</v>
      </c>
      <c r="K109" s="1030">
        <v>96</v>
      </c>
      <c r="L109" s="985">
        <v>14320499.720000001</v>
      </c>
      <c r="M109" s="985">
        <v>0</v>
      </c>
      <c r="N109" s="985">
        <v>0</v>
      </c>
      <c r="O109" s="985">
        <v>14320499.720000001</v>
      </c>
      <c r="P109" s="993">
        <v>0</v>
      </c>
      <c r="Q109" s="985">
        <v>0</v>
      </c>
      <c r="R109" s="987">
        <v>2023</v>
      </c>
      <c r="S109" s="987">
        <v>2023</v>
      </c>
    </row>
    <row r="110" spans="1:19" s="992" customFormat="1" ht="38.450000000000003" customHeight="1">
      <c r="A110" s="1114">
        <v>67</v>
      </c>
      <c r="B110" s="1112" t="s">
        <v>1421</v>
      </c>
      <c r="C110" s="1116">
        <v>1961</v>
      </c>
      <c r="D110" s="1116"/>
      <c r="E110" s="1114" t="s">
        <v>218</v>
      </c>
      <c r="F110" s="1116">
        <v>2</v>
      </c>
      <c r="G110" s="1116">
        <v>1</v>
      </c>
      <c r="H110" s="985">
        <v>783.5</v>
      </c>
      <c r="I110" s="985">
        <v>470.9</v>
      </c>
      <c r="J110" s="985">
        <v>444.3</v>
      </c>
      <c r="K110" s="1030">
        <v>15</v>
      </c>
      <c r="L110" s="985">
        <v>3575540.9</v>
      </c>
      <c r="M110" s="985">
        <v>0</v>
      </c>
      <c r="N110" s="985">
        <v>0</v>
      </c>
      <c r="O110" s="985">
        <v>3575540.9</v>
      </c>
      <c r="P110" s="993">
        <v>0</v>
      </c>
      <c r="Q110" s="985">
        <v>0</v>
      </c>
      <c r="R110" s="987">
        <v>2023</v>
      </c>
      <c r="S110" s="987">
        <v>2023</v>
      </c>
    </row>
    <row r="111" spans="1:19" s="992" customFormat="1" ht="43.15" customHeight="1">
      <c r="A111" s="1114">
        <v>68</v>
      </c>
      <c r="B111" s="1112" t="s">
        <v>1422</v>
      </c>
      <c r="C111" s="1116">
        <v>1956</v>
      </c>
      <c r="D111" s="1116"/>
      <c r="E111" s="1114" t="s">
        <v>218</v>
      </c>
      <c r="F111" s="1116">
        <v>2</v>
      </c>
      <c r="G111" s="1116">
        <v>3</v>
      </c>
      <c r="H111" s="985">
        <v>1526.7</v>
      </c>
      <c r="I111" s="985">
        <v>890.3</v>
      </c>
      <c r="J111" s="985">
        <v>798.7</v>
      </c>
      <c r="K111" s="1030">
        <v>30</v>
      </c>
      <c r="L111" s="985">
        <v>8131238.4199999999</v>
      </c>
      <c r="M111" s="985">
        <v>0</v>
      </c>
      <c r="N111" s="985">
        <v>0</v>
      </c>
      <c r="O111" s="985">
        <v>8131238.4199999999</v>
      </c>
      <c r="P111" s="993">
        <v>0</v>
      </c>
      <c r="Q111" s="985">
        <v>0</v>
      </c>
      <c r="R111" s="987">
        <v>2023</v>
      </c>
      <c r="S111" s="987">
        <v>2023</v>
      </c>
    </row>
    <row r="112" spans="1:19" s="992" customFormat="1" ht="42.6" customHeight="1">
      <c r="A112" s="1114">
        <v>69</v>
      </c>
      <c r="B112" s="1112" t="s">
        <v>1423</v>
      </c>
      <c r="C112" s="1116">
        <v>1991</v>
      </c>
      <c r="D112" s="1116"/>
      <c r="E112" s="1114" t="s">
        <v>218</v>
      </c>
      <c r="F112" s="1116">
        <v>3</v>
      </c>
      <c r="G112" s="1116">
        <v>4</v>
      </c>
      <c r="H112" s="985">
        <v>2478.1999999999998</v>
      </c>
      <c r="I112" s="985">
        <v>1678</v>
      </c>
      <c r="J112" s="985">
        <v>1123.4000000000001</v>
      </c>
      <c r="K112" s="1030">
        <v>38</v>
      </c>
      <c r="L112" s="985">
        <v>6484765.3700000001</v>
      </c>
      <c r="M112" s="985">
        <v>0</v>
      </c>
      <c r="N112" s="985">
        <v>0</v>
      </c>
      <c r="O112" s="985">
        <v>6484765.3700000001</v>
      </c>
      <c r="P112" s="993">
        <v>0</v>
      </c>
      <c r="Q112" s="985">
        <v>0</v>
      </c>
      <c r="R112" s="987">
        <v>2023</v>
      </c>
      <c r="S112" s="987">
        <v>2023</v>
      </c>
    </row>
    <row r="113" spans="1:19" s="992" customFormat="1" ht="42.6" customHeight="1">
      <c r="A113" s="1114">
        <v>70</v>
      </c>
      <c r="B113" s="1112" t="s">
        <v>1584</v>
      </c>
      <c r="C113" s="1116">
        <v>1955</v>
      </c>
      <c r="D113" s="1116"/>
      <c r="E113" s="1114" t="s">
        <v>218</v>
      </c>
      <c r="F113" s="1116">
        <v>2</v>
      </c>
      <c r="G113" s="1116">
        <v>2</v>
      </c>
      <c r="H113" s="985">
        <v>461.1</v>
      </c>
      <c r="I113" s="985">
        <v>461.1</v>
      </c>
      <c r="J113" s="985">
        <v>213.2</v>
      </c>
      <c r="K113" s="1030">
        <v>18</v>
      </c>
      <c r="L113" s="985">
        <v>3681890.32</v>
      </c>
      <c r="M113" s="985">
        <v>0</v>
      </c>
      <c r="N113" s="985">
        <v>0</v>
      </c>
      <c r="O113" s="985">
        <v>3681890.32</v>
      </c>
      <c r="P113" s="993">
        <v>0</v>
      </c>
      <c r="Q113" s="985">
        <v>0</v>
      </c>
      <c r="R113" s="987">
        <v>2023</v>
      </c>
      <c r="S113" s="987">
        <v>2023</v>
      </c>
    </row>
    <row r="114" spans="1:19" s="1027" customFormat="1" ht="36.6" customHeight="1">
      <c r="A114" s="1114"/>
      <c r="B114" s="1426" t="s">
        <v>53</v>
      </c>
      <c r="C114" s="1426"/>
      <c r="D114" s="1426"/>
      <c r="E114" s="1426"/>
      <c r="F114" s="1426"/>
      <c r="G114" s="1426"/>
      <c r="H114" s="985">
        <f>H115+H124+H129+H126</f>
        <v>50855.6</v>
      </c>
      <c r="I114" s="985">
        <f t="shared" ref="I114:Q114" si="28">I115+I124+I129+I126</f>
        <v>44450.1</v>
      </c>
      <c r="J114" s="985">
        <f t="shared" si="28"/>
        <v>41912.799999999996</v>
      </c>
      <c r="K114" s="985">
        <f t="shared" si="28"/>
        <v>1776</v>
      </c>
      <c r="L114" s="985">
        <f t="shared" si="28"/>
        <v>111467955.21000002</v>
      </c>
      <c r="M114" s="985">
        <f t="shared" si="28"/>
        <v>0</v>
      </c>
      <c r="N114" s="985">
        <f t="shared" si="28"/>
        <v>0</v>
      </c>
      <c r="O114" s="985">
        <f t="shared" si="28"/>
        <v>111467955.21000002</v>
      </c>
      <c r="P114" s="985">
        <f t="shared" si="28"/>
        <v>0</v>
      </c>
      <c r="Q114" s="985">
        <f t="shared" si="28"/>
        <v>0</v>
      </c>
      <c r="R114" s="991" t="s">
        <v>40</v>
      </c>
      <c r="S114" s="991" t="s">
        <v>40</v>
      </c>
    </row>
    <row r="115" spans="1:19" s="1027" customFormat="1" ht="36.6" customHeight="1">
      <c r="A115" s="1114"/>
      <c r="B115" s="1426" t="s">
        <v>1029</v>
      </c>
      <c r="C115" s="1426"/>
      <c r="D115" s="1426"/>
      <c r="E115" s="1426"/>
      <c r="F115" s="1426"/>
      <c r="G115" s="1426"/>
      <c r="H115" s="985">
        <f>SUM(H116:H123)</f>
        <v>42010.6</v>
      </c>
      <c r="I115" s="985">
        <f t="shared" ref="I115:Q115" si="29">SUM(I116:I123)</f>
        <v>36180.699999999997</v>
      </c>
      <c r="J115" s="985">
        <f t="shared" si="29"/>
        <v>34118.6</v>
      </c>
      <c r="K115" s="985">
        <f t="shared" si="29"/>
        <v>1469</v>
      </c>
      <c r="L115" s="985">
        <f t="shared" si="29"/>
        <v>83901772.950000018</v>
      </c>
      <c r="M115" s="985">
        <f t="shared" si="29"/>
        <v>0</v>
      </c>
      <c r="N115" s="985">
        <f t="shared" si="29"/>
        <v>0</v>
      </c>
      <c r="O115" s="985">
        <f t="shared" si="29"/>
        <v>83901772.950000018</v>
      </c>
      <c r="P115" s="985">
        <f t="shared" si="29"/>
        <v>0</v>
      </c>
      <c r="Q115" s="985">
        <f t="shared" si="29"/>
        <v>0</v>
      </c>
      <c r="R115" s="991" t="s">
        <v>40</v>
      </c>
      <c r="S115" s="991" t="s">
        <v>40</v>
      </c>
    </row>
    <row r="116" spans="1:19" s="1027" customFormat="1" ht="39" customHeight="1">
      <c r="A116" s="1114">
        <v>71</v>
      </c>
      <c r="B116" s="1112" t="s">
        <v>1631</v>
      </c>
      <c r="C116" s="1116">
        <v>1976</v>
      </c>
      <c r="D116" s="1116"/>
      <c r="E116" s="1114" t="s">
        <v>218</v>
      </c>
      <c r="F116" s="1009">
        <v>5</v>
      </c>
      <c r="G116" s="1009">
        <v>4</v>
      </c>
      <c r="H116" s="1023">
        <v>4452.8</v>
      </c>
      <c r="I116" s="1023">
        <f>2671.2+916</f>
        <v>3587.2</v>
      </c>
      <c r="J116" s="1023">
        <f>I116-50.8-916</f>
        <v>2620.3999999999996</v>
      </c>
      <c r="K116" s="1009">
        <v>168</v>
      </c>
      <c r="L116" s="1023">
        <v>7307335.2199999997</v>
      </c>
      <c r="M116" s="1023">
        <v>0</v>
      </c>
      <c r="N116" s="1023">
        <v>0</v>
      </c>
      <c r="O116" s="1023">
        <v>7307335.2199999997</v>
      </c>
      <c r="P116" s="1023">
        <v>0</v>
      </c>
      <c r="Q116" s="1023">
        <v>0</v>
      </c>
      <c r="R116" s="1134">
        <v>2023</v>
      </c>
      <c r="S116" s="1145">
        <v>2023</v>
      </c>
    </row>
    <row r="117" spans="1:19" s="1027" customFormat="1" ht="36.6" customHeight="1">
      <c r="A117" s="1114">
        <v>72</v>
      </c>
      <c r="B117" s="1112" t="s">
        <v>1632</v>
      </c>
      <c r="C117" s="1116">
        <v>1966</v>
      </c>
      <c r="D117" s="1116"/>
      <c r="E117" s="1114" t="s">
        <v>220</v>
      </c>
      <c r="F117" s="1009">
        <v>5</v>
      </c>
      <c r="G117" s="1009">
        <v>4</v>
      </c>
      <c r="H117" s="993">
        <f>I117+308</f>
        <v>3896</v>
      </c>
      <c r="I117" s="993">
        <f>3187.2+400.8</f>
        <v>3588</v>
      </c>
      <c r="J117" s="1023">
        <f>3187.2-88.1</f>
        <v>3099.1</v>
      </c>
      <c r="K117" s="1009">
        <v>142</v>
      </c>
      <c r="L117" s="1023">
        <v>14456786.960000001</v>
      </c>
      <c r="M117" s="1023">
        <v>0</v>
      </c>
      <c r="N117" s="1023">
        <v>0</v>
      </c>
      <c r="O117" s="1023">
        <v>14456786.960000001</v>
      </c>
      <c r="P117" s="1023">
        <v>0</v>
      </c>
      <c r="Q117" s="1023">
        <v>0</v>
      </c>
      <c r="R117" s="1134">
        <v>2023</v>
      </c>
      <c r="S117" s="1145">
        <v>2023</v>
      </c>
    </row>
    <row r="118" spans="1:19" s="1027" customFormat="1" ht="36.6" customHeight="1">
      <c r="A118" s="1114">
        <v>73</v>
      </c>
      <c r="B118" s="1112" t="s">
        <v>1633</v>
      </c>
      <c r="C118" s="1116">
        <v>1979</v>
      </c>
      <c r="D118" s="1116"/>
      <c r="E118" s="1114" t="s">
        <v>219</v>
      </c>
      <c r="F118" s="1009">
        <v>5</v>
      </c>
      <c r="G118" s="1009">
        <v>7</v>
      </c>
      <c r="H118" s="1023">
        <v>3845.4</v>
      </c>
      <c r="I118" s="1023">
        <v>3480</v>
      </c>
      <c r="J118" s="1023">
        <f>I118-18.7</f>
        <v>3461.3</v>
      </c>
      <c r="K118" s="1009">
        <v>157</v>
      </c>
      <c r="L118" s="1023">
        <v>3443046.89</v>
      </c>
      <c r="M118" s="1023">
        <v>0</v>
      </c>
      <c r="N118" s="1023">
        <v>0</v>
      </c>
      <c r="O118" s="1023">
        <v>3443046.89</v>
      </c>
      <c r="P118" s="1023">
        <v>0</v>
      </c>
      <c r="Q118" s="1023">
        <v>0</v>
      </c>
      <c r="R118" s="1134">
        <v>2023</v>
      </c>
      <c r="S118" s="1145">
        <v>2023</v>
      </c>
    </row>
    <row r="119" spans="1:19" s="1027" customFormat="1" ht="43.5" customHeight="1">
      <c r="A119" s="1114">
        <v>74</v>
      </c>
      <c r="B119" s="1112" t="s">
        <v>1634</v>
      </c>
      <c r="C119" s="1116">
        <v>1966</v>
      </c>
      <c r="D119" s="1116"/>
      <c r="E119" s="1114" t="s">
        <v>218</v>
      </c>
      <c r="F119" s="1009">
        <v>5</v>
      </c>
      <c r="G119" s="1009">
        <v>4</v>
      </c>
      <c r="H119" s="1023">
        <v>4045.7</v>
      </c>
      <c r="I119" s="1023">
        <v>3687.6</v>
      </c>
      <c r="J119" s="1023">
        <f>I119-123.3</f>
        <v>3564.2999999999997</v>
      </c>
      <c r="K119" s="1009">
        <v>126</v>
      </c>
      <c r="L119" s="1023">
        <v>16167753.49</v>
      </c>
      <c r="M119" s="1023">
        <v>0</v>
      </c>
      <c r="N119" s="1023">
        <v>0</v>
      </c>
      <c r="O119" s="1023">
        <v>16167753.49</v>
      </c>
      <c r="P119" s="1023">
        <v>0</v>
      </c>
      <c r="Q119" s="1023">
        <v>0</v>
      </c>
      <c r="R119" s="1134">
        <v>2023</v>
      </c>
      <c r="S119" s="1145">
        <v>2023</v>
      </c>
    </row>
    <row r="120" spans="1:19" s="992" customFormat="1" ht="36" customHeight="1">
      <c r="A120" s="1114">
        <v>75</v>
      </c>
      <c r="B120" s="1112" t="s">
        <v>1635</v>
      </c>
      <c r="C120" s="1030">
        <v>1994</v>
      </c>
      <c r="D120" s="1030"/>
      <c r="E120" s="1114" t="s">
        <v>219</v>
      </c>
      <c r="F120" s="1030">
        <v>9</v>
      </c>
      <c r="G120" s="1030">
        <v>2</v>
      </c>
      <c r="H120" s="1023">
        <v>4965.5</v>
      </c>
      <c r="I120" s="1023">
        <v>4214.3999999999996</v>
      </c>
      <c r="J120" s="1023">
        <f>I120-117.1</f>
        <v>4097.2999999999993</v>
      </c>
      <c r="K120" s="1009">
        <v>171</v>
      </c>
      <c r="L120" s="1023">
        <v>13296021.5</v>
      </c>
      <c r="M120" s="1023">
        <v>0</v>
      </c>
      <c r="N120" s="1023">
        <v>0</v>
      </c>
      <c r="O120" s="1023">
        <v>13296021.5</v>
      </c>
      <c r="P120" s="1023">
        <v>0</v>
      </c>
      <c r="Q120" s="1023">
        <v>0</v>
      </c>
      <c r="R120" s="1134">
        <v>2023</v>
      </c>
      <c r="S120" s="1145">
        <v>2023</v>
      </c>
    </row>
    <row r="121" spans="1:19" s="992" customFormat="1" ht="40.15" customHeight="1">
      <c r="A121" s="1114">
        <v>76</v>
      </c>
      <c r="B121" s="1112" t="s">
        <v>1636</v>
      </c>
      <c r="C121" s="1030">
        <v>1980</v>
      </c>
      <c r="D121" s="1030"/>
      <c r="E121" s="1114" t="s">
        <v>219</v>
      </c>
      <c r="F121" s="1030">
        <v>9</v>
      </c>
      <c r="G121" s="1030">
        <v>3</v>
      </c>
      <c r="H121" s="1023">
        <v>6541.7</v>
      </c>
      <c r="I121" s="1023">
        <v>5769.5</v>
      </c>
      <c r="J121" s="1023">
        <f>I121-180.4</f>
        <v>5589.1</v>
      </c>
      <c r="K121" s="1009">
        <v>217</v>
      </c>
      <c r="L121" s="1023">
        <v>17344885.09</v>
      </c>
      <c r="M121" s="1023">
        <v>0</v>
      </c>
      <c r="N121" s="1023">
        <v>0</v>
      </c>
      <c r="O121" s="1023">
        <v>17344885.09</v>
      </c>
      <c r="P121" s="1023">
        <v>0</v>
      </c>
      <c r="Q121" s="1023">
        <v>0</v>
      </c>
      <c r="R121" s="1134">
        <v>2023</v>
      </c>
      <c r="S121" s="1145">
        <v>2023</v>
      </c>
    </row>
    <row r="122" spans="1:19" s="992" customFormat="1" ht="36" customHeight="1">
      <c r="A122" s="1114">
        <v>77</v>
      </c>
      <c r="B122" s="1112" t="s">
        <v>1637</v>
      </c>
      <c r="C122" s="1030">
        <v>1988</v>
      </c>
      <c r="D122" s="1030"/>
      <c r="E122" s="1114" t="s">
        <v>218</v>
      </c>
      <c r="F122" s="1030">
        <v>9</v>
      </c>
      <c r="G122" s="1030">
        <v>2</v>
      </c>
      <c r="H122" s="1023">
        <v>8747.6</v>
      </c>
      <c r="I122" s="1023">
        <v>7951.3</v>
      </c>
      <c r="J122" s="1023">
        <f>I122</f>
        <v>7951.3</v>
      </c>
      <c r="K122" s="1009">
        <v>324</v>
      </c>
      <c r="L122" s="1023">
        <v>8476311.6199999992</v>
      </c>
      <c r="M122" s="1023">
        <v>0</v>
      </c>
      <c r="N122" s="1023">
        <v>0</v>
      </c>
      <c r="O122" s="1023">
        <v>8476311.6199999992</v>
      </c>
      <c r="P122" s="1023">
        <v>0</v>
      </c>
      <c r="Q122" s="1023">
        <v>0</v>
      </c>
      <c r="R122" s="1134">
        <v>2023</v>
      </c>
      <c r="S122" s="1145">
        <v>2023</v>
      </c>
    </row>
    <row r="123" spans="1:19" s="992" customFormat="1" ht="36" customHeight="1">
      <c r="A123" s="1114">
        <v>78</v>
      </c>
      <c r="B123" s="1112" t="s">
        <v>1638</v>
      </c>
      <c r="C123" s="1030">
        <v>1984</v>
      </c>
      <c r="D123" s="1030"/>
      <c r="E123" s="1114" t="s">
        <v>218</v>
      </c>
      <c r="F123" s="1030">
        <v>12</v>
      </c>
      <c r="G123" s="1030">
        <v>2</v>
      </c>
      <c r="H123" s="1023">
        <v>5515.9</v>
      </c>
      <c r="I123" s="1023">
        <v>3902.7</v>
      </c>
      <c r="J123" s="1023">
        <f>I123-166.9</f>
        <v>3735.7999999999997</v>
      </c>
      <c r="K123" s="1009">
        <v>164</v>
      </c>
      <c r="L123" s="1023">
        <v>3409632.18</v>
      </c>
      <c r="M123" s="1023">
        <v>0</v>
      </c>
      <c r="N123" s="1023">
        <v>0</v>
      </c>
      <c r="O123" s="1023">
        <v>3409632.18</v>
      </c>
      <c r="P123" s="1023">
        <v>0</v>
      </c>
      <c r="Q123" s="1023">
        <v>0</v>
      </c>
      <c r="R123" s="1134">
        <v>2023</v>
      </c>
      <c r="S123" s="1145">
        <v>2023</v>
      </c>
    </row>
    <row r="124" spans="1:19" s="992" customFormat="1" ht="36" customHeight="1">
      <c r="A124" s="1114"/>
      <c r="B124" s="1427" t="s">
        <v>1030</v>
      </c>
      <c r="C124" s="1426"/>
      <c r="D124" s="1426"/>
      <c r="E124" s="1426"/>
      <c r="F124" s="1426"/>
      <c r="G124" s="1426"/>
      <c r="H124" s="993">
        <f>H125</f>
        <v>2517.1</v>
      </c>
      <c r="I124" s="993">
        <f t="shared" ref="I124:Q124" si="30">I125</f>
        <v>2334.5</v>
      </c>
      <c r="J124" s="993">
        <f t="shared" si="30"/>
        <v>2334.5</v>
      </c>
      <c r="K124" s="993">
        <f t="shared" si="30"/>
        <v>103</v>
      </c>
      <c r="L124" s="993">
        <f t="shared" si="30"/>
        <v>10268220.029999999</v>
      </c>
      <c r="M124" s="993">
        <f t="shared" si="30"/>
        <v>0</v>
      </c>
      <c r="N124" s="993">
        <f t="shared" si="30"/>
        <v>0</v>
      </c>
      <c r="O124" s="993">
        <f t="shared" si="30"/>
        <v>10268220.029999999</v>
      </c>
      <c r="P124" s="993">
        <f t="shared" si="30"/>
        <v>0</v>
      </c>
      <c r="Q124" s="993">
        <f t="shared" si="30"/>
        <v>0</v>
      </c>
      <c r="R124" s="991" t="s">
        <v>40</v>
      </c>
      <c r="S124" s="991" t="s">
        <v>40</v>
      </c>
    </row>
    <row r="125" spans="1:19" s="992" customFormat="1" ht="40.15" customHeight="1">
      <c r="A125" s="1114">
        <v>79</v>
      </c>
      <c r="B125" s="1112" t="s">
        <v>2095</v>
      </c>
      <c r="C125" s="1116">
        <v>1965</v>
      </c>
      <c r="D125" s="1116"/>
      <c r="E125" s="1114" t="s">
        <v>218</v>
      </c>
      <c r="F125" s="1116">
        <v>4</v>
      </c>
      <c r="G125" s="1116">
        <v>4</v>
      </c>
      <c r="H125" s="993">
        <v>2517.1</v>
      </c>
      <c r="I125" s="993">
        <v>2334.5</v>
      </c>
      <c r="J125" s="993">
        <v>2334.5</v>
      </c>
      <c r="K125" s="987">
        <v>103</v>
      </c>
      <c r="L125" s="985">
        <v>10268220.029999999</v>
      </c>
      <c r="M125" s="985">
        <v>0</v>
      </c>
      <c r="N125" s="985">
        <v>0</v>
      </c>
      <c r="O125" s="985">
        <v>10268220.029999999</v>
      </c>
      <c r="P125" s="985">
        <v>0</v>
      </c>
      <c r="Q125" s="985">
        <v>0</v>
      </c>
      <c r="R125" s="1116">
        <v>2023</v>
      </c>
      <c r="S125" s="1116">
        <v>2023</v>
      </c>
    </row>
    <row r="126" spans="1:19" s="992" customFormat="1" ht="40.15" customHeight="1">
      <c r="A126" s="1114"/>
      <c r="B126" s="1426" t="s">
        <v>1997</v>
      </c>
      <c r="C126" s="1426"/>
      <c r="D126" s="1426"/>
      <c r="E126" s="1426"/>
      <c r="F126" s="1426"/>
      <c r="G126" s="1426"/>
      <c r="H126" s="993">
        <f>H127+H128</f>
        <v>1364.8</v>
      </c>
      <c r="I126" s="993">
        <f t="shared" ref="I126:Q126" si="31">I127+I128</f>
        <v>1364.8</v>
      </c>
      <c r="J126" s="993">
        <f t="shared" si="31"/>
        <v>889.59999999999991</v>
      </c>
      <c r="K126" s="993">
        <f t="shared" si="31"/>
        <v>59</v>
      </c>
      <c r="L126" s="993">
        <f t="shared" si="31"/>
        <v>7809913.9499999993</v>
      </c>
      <c r="M126" s="993">
        <f t="shared" si="31"/>
        <v>0</v>
      </c>
      <c r="N126" s="993">
        <f t="shared" si="31"/>
        <v>0</v>
      </c>
      <c r="O126" s="993">
        <f t="shared" si="31"/>
        <v>7809913.9499999993</v>
      </c>
      <c r="P126" s="993">
        <f t="shared" si="31"/>
        <v>0</v>
      </c>
      <c r="Q126" s="993">
        <f t="shared" si="31"/>
        <v>0</v>
      </c>
      <c r="R126" s="991" t="s">
        <v>40</v>
      </c>
      <c r="S126" s="991" t="s">
        <v>40</v>
      </c>
    </row>
    <row r="127" spans="1:19" s="992" customFormat="1" ht="40.15" customHeight="1">
      <c r="A127" s="1114">
        <v>80</v>
      </c>
      <c r="B127" s="1111" t="s">
        <v>1998</v>
      </c>
      <c r="C127" s="1146">
        <v>1964</v>
      </c>
      <c r="D127" s="1146"/>
      <c r="E127" s="1009" t="s">
        <v>218</v>
      </c>
      <c r="F127" s="1146">
        <v>2</v>
      </c>
      <c r="G127" s="1146">
        <v>2</v>
      </c>
      <c r="H127" s="1023">
        <v>634.5</v>
      </c>
      <c r="I127" s="1023">
        <v>634.5</v>
      </c>
      <c r="J127" s="1023">
        <v>416.4</v>
      </c>
      <c r="K127" s="1009">
        <v>28</v>
      </c>
      <c r="L127" s="1023">
        <v>3645690.17</v>
      </c>
      <c r="M127" s="1147">
        <v>0</v>
      </c>
      <c r="N127" s="1023">
        <v>0</v>
      </c>
      <c r="O127" s="1023">
        <v>3645690.17</v>
      </c>
      <c r="P127" s="1023">
        <v>0</v>
      </c>
      <c r="Q127" s="1023">
        <v>0</v>
      </c>
      <c r="R127" s="1116">
        <v>2023</v>
      </c>
      <c r="S127" s="1116">
        <v>2023</v>
      </c>
    </row>
    <row r="128" spans="1:19" s="992" customFormat="1" ht="40.15" customHeight="1">
      <c r="A128" s="1114">
        <v>81</v>
      </c>
      <c r="B128" s="1111" t="s">
        <v>1999</v>
      </c>
      <c r="C128" s="1146">
        <v>1972</v>
      </c>
      <c r="D128" s="1146"/>
      <c r="E128" s="1009" t="s">
        <v>218</v>
      </c>
      <c r="F128" s="1146">
        <v>2</v>
      </c>
      <c r="G128" s="1146">
        <v>2</v>
      </c>
      <c r="H128" s="1023">
        <v>730.3</v>
      </c>
      <c r="I128" s="1023">
        <v>730.3</v>
      </c>
      <c r="J128" s="1023">
        <v>473.2</v>
      </c>
      <c r="K128" s="1009">
        <v>31</v>
      </c>
      <c r="L128" s="1023">
        <v>4164223.78</v>
      </c>
      <c r="M128" s="1147">
        <v>0</v>
      </c>
      <c r="N128" s="1023">
        <v>0</v>
      </c>
      <c r="O128" s="1023">
        <v>4164223.78</v>
      </c>
      <c r="P128" s="1023">
        <v>0</v>
      </c>
      <c r="Q128" s="1023">
        <v>0</v>
      </c>
      <c r="R128" s="1116">
        <v>2023</v>
      </c>
      <c r="S128" s="1116">
        <v>2023</v>
      </c>
    </row>
    <row r="129" spans="1:19" s="992" customFormat="1" ht="36" customHeight="1">
      <c r="A129" s="1114"/>
      <c r="B129" s="1427" t="s">
        <v>1032</v>
      </c>
      <c r="C129" s="1426"/>
      <c r="D129" s="1426"/>
      <c r="E129" s="1426"/>
      <c r="F129" s="1426"/>
      <c r="G129" s="1426"/>
      <c r="H129" s="985">
        <f>H130</f>
        <v>4963.1000000000004</v>
      </c>
      <c r="I129" s="985">
        <f t="shared" ref="I129:Q129" si="32">I130</f>
        <v>4570.1000000000004</v>
      </c>
      <c r="J129" s="985">
        <f t="shared" si="32"/>
        <v>4570.1000000000004</v>
      </c>
      <c r="K129" s="1030">
        <f t="shared" si="32"/>
        <v>145</v>
      </c>
      <c r="L129" s="985">
        <f t="shared" si="32"/>
        <v>9488048.2799999993</v>
      </c>
      <c r="M129" s="985">
        <f t="shared" si="32"/>
        <v>0</v>
      </c>
      <c r="N129" s="985">
        <f t="shared" si="32"/>
        <v>0</v>
      </c>
      <c r="O129" s="985">
        <f t="shared" si="32"/>
        <v>9488048.2799999993</v>
      </c>
      <c r="P129" s="985">
        <f t="shared" si="32"/>
        <v>0</v>
      </c>
      <c r="Q129" s="985">
        <f t="shared" si="32"/>
        <v>0</v>
      </c>
      <c r="R129" s="991" t="s">
        <v>40</v>
      </c>
      <c r="S129" s="991" t="s">
        <v>40</v>
      </c>
    </row>
    <row r="130" spans="1:19" s="992" customFormat="1" ht="36" customHeight="1">
      <c r="A130" s="1114">
        <v>82</v>
      </c>
      <c r="B130" s="1112" t="s">
        <v>1596</v>
      </c>
      <c r="C130" s="1114">
        <v>1978</v>
      </c>
      <c r="D130" s="1114"/>
      <c r="E130" s="1114" t="s">
        <v>219</v>
      </c>
      <c r="F130" s="1114">
        <v>5</v>
      </c>
      <c r="G130" s="1114">
        <v>6</v>
      </c>
      <c r="H130" s="985">
        <v>4963.1000000000004</v>
      </c>
      <c r="I130" s="985">
        <v>4570.1000000000004</v>
      </c>
      <c r="J130" s="985">
        <v>4570.1000000000004</v>
      </c>
      <c r="K130" s="1030">
        <v>145</v>
      </c>
      <c r="L130" s="986">
        <v>9488048.2799999993</v>
      </c>
      <c r="M130" s="986">
        <v>0</v>
      </c>
      <c r="N130" s="986">
        <v>0</v>
      </c>
      <c r="O130" s="986">
        <v>9488048.2799999993</v>
      </c>
      <c r="P130" s="993">
        <v>0</v>
      </c>
      <c r="Q130" s="986">
        <v>0</v>
      </c>
      <c r="R130" s="987">
        <v>2023</v>
      </c>
      <c r="S130" s="987">
        <v>2023</v>
      </c>
    </row>
    <row r="131" spans="1:19" s="992" customFormat="1" ht="39.6" customHeight="1">
      <c r="A131" s="1114"/>
      <c r="B131" s="1426" t="s">
        <v>1099</v>
      </c>
      <c r="C131" s="1426"/>
      <c r="D131" s="1426"/>
      <c r="E131" s="1426"/>
      <c r="F131" s="1426"/>
      <c r="G131" s="1426"/>
      <c r="H131" s="985">
        <f>H132</f>
        <v>380</v>
      </c>
      <c r="I131" s="985">
        <f t="shared" ref="I131:Q131" si="33">I132</f>
        <v>371.2</v>
      </c>
      <c r="J131" s="985">
        <f t="shared" si="33"/>
        <v>330.9</v>
      </c>
      <c r="K131" s="985">
        <f t="shared" si="33"/>
        <v>15</v>
      </c>
      <c r="L131" s="985">
        <f t="shared" si="33"/>
        <v>3460390.15</v>
      </c>
      <c r="M131" s="985">
        <f t="shared" si="33"/>
        <v>0</v>
      </c>
      <c r="N131" s="985">
        <f t="shared" si="33"/>
        <v>0</v>
      </c>
      <c r="O131" s="985">
        <f t="shared" si="33"/>
        <v>3460390.15</v>
      </c>
      <c r="P131" s="985">
        <f t="shared" si="33"/>
        <v>0</v>
      </c>
      <c r="Q131" s="985">
        <f t="shared" si="33"/>
        <v>0</v>
      </c>
      <c r="R131" s="991" t="s">
        <v>40</v>
      </c>
      <c r="S131" s="991" t="s">
        <v>40</v>
      </c>
    </row>
    <row r="132" spans="1:19" s="992" customFormat="1" ht="36" customHeight="1">
      <c r="A132" s="1114">
        <v>83</v>
      </c>
      <c r="B132" s="1148" t="s">
        <v>1557</v>
      </c>
      <c r="C132" s="1009">
        <v>1970</v>
      </c>
      <c r="D132" s="1009"/>
      <c r="E132" s="1009" t="s">
        <v>218</v>
      </c>
      <c r="F132" s="1009">
        <v>2</v>
      </c>
      <c r="G132" s="1009">
        <v>2</v>
      </c>
      <c r="H132" s="985">
        <v>380</v>
      </c>
      <c r="I132" s="985">
        <v>371.2</v>
      </c>
      <c r="J132" s="985">
        <v>330.9</v>
      </c>
      <c r="K132" s="1030">
        <v>15</v>
      </c>
      <c r="L132" s="986">
        <v>3460390.15</v>
      </c>
      <c r="M132" s="986">
        <v>0</v>
      </c>
      <c r="N132" s="986">
        <v>0</v>
      </c>
      <c r="O132" s="986">
        <v>3460390.15</v>
      </c>
      <c r="P132" s="993">
        <v>0</v>
      </c>
      <c r="Q132" s="986">
        <v>0</v>
      </c>
      <c r="R132" s="1149" t="s">
        <v>1486</v>
      </c>
      <c r="S132" s="1149" t="s">
        <v>1486</v>
      </c>
    </row>
    <row r="133" spans="1:19" s="1004" customFormat="1" ht="39.6" customHeight="1">
      <c r="A133" s="1114"/>
      <c r="B133" s="1111" t="s">
        <v>55</v>
      </c>
      <c r="C133" s="1116"/>
      <c r="D133" s="1096"/>
      <c r="E133" s="1114"/>
      <c r="F133" s="1116"/>
      <c r="G133" s="1116"/>
      <c r="H133" s="985">
        <f>H134</f>
        <v>833.5</v>
      </c>
      <c r="I133" s="985">
        <f t="shared" ref="I133:Q133" si="34">I134</f>
        <v>807.75</v>
      </c>
      <c r="J133" s="985">
        <f t="shared" si="34"/>
        <v>769.36</v>
      </c>
      <c r="K133" s="1030">
        <f t="shared" si="34"/>
        <v>18</v>
      </c>
      <c r="L133" s="985">
        <f t="shared" si="34"/>
        <v>3386423.36</v>
      </c>
      <c r="M133" s="985">
        <f t="shared" si="34"/>
        <v>0</v>
      </c>
      <c r="N133" s="985">
        <f t="shared" si="34"/>
        <v>0</v>
      </c>
      <c r="O133" s="985">
        <f t="shared" si="34"/>
        <v>3386423.36</v>
      </c>
      <c r="P133" s="985">
        <f t="shared" si="34"/>
        <v>0</v>
      </c>
      <c r="Q133" s="985">
        <f t="shared" si="34"/>
        <v>0</v>
      </c>
      <c r="R133" s="991" t="s">
        <v>40</v>
      </c>
      <c r="S133" s="991" t="s">
        <v>40</v>
      </c>
    </row>
    <row r="134" spans="1:19" s="1004" customFormat="1" ht="39.6" customHeight="1">
      <c r="A134" s="1114"/>
      <c r="B134" s="1111" t="s">
        <v>1034</v>
      </c>
      <c r="C134" s="1116"/>
      <c r="D134" s="1096"/>
      <c r="E134" s="1114"/>
      <c r="F134" s="1116"/>
      <c r="G134" s="1116"/>
      <c r="H134" s="985">
        <f>H135</f>
        <v>833.5</v>
      </c>
      <c r="I134" s="985">
        <f t="shared" ref="I134:Q134" si="35">I135</f>
        <v>807.75</v>
      </c>
      <c r="J134" s="985">
        <f t="shared" si="35"/>
        <v>769.36</v>
      </c>
      <c r="K134" s="1030">
        <f t="shared" si="35"/>
        <v>18</v>
      </c>
      <c r="L134" s="985">
        <f t="shared" si="35"/>
        <v>3386423.36</v>
      </c>
      <c r="M134" s="985">
        <f t="shared" si="35"/>
        <v>0</v>
      </c>
      <c r="N134" s="985">
        <f t="shared" si="35"/>
        <v>0</v>
      </c>
      <c r="O134" s="985">
        <f t="shared" si="35"/>
        <v>3386423.36</v>
      </c>
      <c r="P134" s="985">
        <f t="shared" si="35"/>
        <v>0</v>
      </c>
      <c r="Q134" s="985">
        <f t="shared" si="35"/>
        <v>0</v>
      </c>
      <c r="R134" s="991" t="s">
        <v>40</v>
      </c>
      <c r="S134" s="991" t="s">
        <v>40</v>
      </c>
    </row>
    <row r="135" spans="1:19" s="1004" customFormat="1" ht="39.6" customHeight="1">
      <c r="A135" s="1114">
        <v>84</v>
      </c>
      <c r="B135" s="1111" t="s">
        <v>2096</v>
      </c>
      <c r="C135" s="1009">
        <v>1983</v>
      </c>
      <c r="D135" s="1009"/>
      <c r="E135" s="1009" t="s">
        <v>218</v>
      </c>
      <c r="F135" s="1009">
        <v>3</v>
      </c>
      <c r="G135" s="1009">
        <v>1</v>
      </c>
      <c r="H135" s="985">
        <v>833.5</v>
      </c>
      <c r="I135" s="985">
        <v>807.75</v>
      </c>
      <c r="J135" s="985">
        <v>769.36</v>
      </c>
      <c r="K135" s="1030">
        <v>18</v>
      </c>
      <c r="L135" s="986">
        <v>3386423.36</v>
      </c>
      <c r="M135" s="986">
        <v>0</v>
      </c>
      <c r="N135" s="986">
        <v>0</v>
      </c>
      <c r="O135" s="986">
        <v>3386423.36</v>
      </c>
      <c r="P135" s="993">
        <v>0</v>
      </c>
      <c r="Q135" s="986">
        <v>0</v>
      </c>
      <c r="R135" s="1149" t="s">
        <v>1486</v>
      </c>
      <c r="S135" s="1149" t="s">
        <v>1486</v>
      </c>
    </row>
    <row r="136" spans="1:19" s="1028" customFormat="1" ht="37.15" customHeight="1">
      <c r="A136" s="1114"/>
      <c r="B136" s="1426" t="s">
        <v>1119</v>
      </c>
      <c r="C136" s="1426"/>
      <c r="D136" s="1426"/>
      <c r="E136" s="1426"/>
      <c r="F136" s="1426"/>
      <c r="G136" s="1426"/>
      <c r="H136" s="985">
        <f t="shared" ref="H136:Q136" si="36">SUM(H137:H139)</f>
        <v>5752.6</v>
      </c>
      <c r="I136" s="985">
        <f t="shared" si="36"/>
        <v>5752.6</v>
      </c>
      <c r="J136" s="985">
        <f t="shared" si="36"/>
        <v>4146.2</v>
      </c>
      <c r="K136" s="985">
        <f t="shared" si="36"/>
        <v>174</v>
      </c>
      <c r="L136" s="985">
        <f t="shared" si="36"/>
        <v>19646255</v>
      </c>
      <c r="M136" s="985">
        <f t="shared" si="36"/>
        <v>0</v>
      </c>
      <c r="N136" s="985">
        <f t="shared" si="36"/>
        <v>0</v>
      </c>
      <c r="O136" s="985">
        <f t="shared" si="36"/>
        <v>19646255</v>
      </c>
      <c r="P136" s="985">
        <f t="shared" si="36"/>
        <v>0</v>
      </c>
      <c r="Q136" s="985">
        <f t="shared" si="36"/>
        <v>0</v>
      </c>
      <c r="R136" s="991" t="s">
        <v>40</v>
      </c>
      <c r="S136" s="991" t="s">
        <v>40</v>
      </c>
    </row>
    <row r="137" spans="1:19" s="992" customFormat="1" ht="47.25" customHeight="1">
      <c r="A137" s="1114">
        <v>85</v>
      </c>
      <c r="B137" s="1148" t="s">
        <v>1136</v>
      </c>
      <c r="C137" s="1009">
        <v>1993</v>
      </c>
      <c r="D137" s="1009"/>
      <c r="E137" s="1009" t="s">
        <v>218</v>
      </c>
      <c r="F137" s="1009">
        <v>3</v>
      </c>
      <c r="G137" s="1009">
        <v>2</v>
      </c>
      <c r="H137" s="1023">
        <v>1245.8</v>
      </c>
      <c r="I137" s="1023">
        <v>1245.8</v>
      </c>
      <c r="J137" s="1023">
        <v>1196.8</v>
      </c>
      <c r="K137" s="1134">
        <v>53</v>
      </c>
      <c r="L137" s="1150">
        <v>10081900.6</v>
      </c>
      <c r="M137" s="1023">
        <v>0</v>
      </c>
      <c r="N137" s="1023">
        <v>0</v>
      </c>
      <c r="O137" s="1023">
        <f>L137</f>
        <v>10081900.6</v>
      </c>
      <c r="P137" s="1023">
        <v>0</v>
      </c>
      <c r="Q137" s="1023">
        <v>0</v>
      </c>
      <c r="R137" s="1149" t="s">
        <v>1486</v>
      </c>
      <c r="S137" s="1149" t="s">
        <v>1486</v>
      </c>
    </row>
    <row r="138" spans="1:19" s="992" customFormat="1" ht="36" customHeight="1">
      <c r="A138" s="1114">
        <v>86</v>
      </c>
      <c r="B138" s="1148" t="s">
        <v>1487</v>
      </c>
      <c r="C138" s="1009">
        <v>1962</v>
      </c>
      <c r="D138" s="1009"/>
      <c r="E138" s="1009" t="s">
        <v>218</v>
      </c>
      <c r="F138" s="1009">
        <v>2</v>
      </c>
      <c r="G138" s="1009">
        <v>2</v>
      </c>
      <c r="H138" s="1023">
        <v>369.5</v>
      </c>
      <c r="I138" s="1023">
        <v>369.5</v>
      </c>
      <c r="J138" s="1023">
        <v>369.5</v>
      </c>
      <c r="K138" s="1134">
        <v>10</v>
      </c>
      <c r="L138" s="1150">
        <v>1714553.24</v>
      </c>
      <c r="M138" s="1023">
        <v>0</v>
      </c>
      <c r="N138" s="1023">
        <v>0</v>
      </c>
      <c r="O138" s="1023">
        <v>1714553.24</v>
      </c>
      <c r="P138" s="1023">
        <v>0</v>
      </c>
      <c r="Q138" s="1023">
        <v>0</v>
      </c>
      <c r="R138" s="1149" t="s">
        <v>1486</v>
      </c>
      <c r="S138" s="1149" t="s">
        <v>1486</v>
      </c>
    </row>
    <row r="139" spans="1:19" s="992" customFormat="1" ht="36" customHeight="1">
      <c r="A139" s="1021">
        <v>87</v>
      </c>
      <c r="B139" s="1139" t="s">
        <v>1488</v>
      </c>
      <c r="C139" s="1009">
        <v>1975</v>
      </c>
      <c r="D139" s="1009"/>
      <c r="E139" s="1009" t="s">
        <v>218</v>
      </c>
      <c r="F139" s="1009">
        <v>5</v>
      </c>
      <c r="G139" s="1009">
        <v>4</v>
      </c>
      <c r="H139" s="1023">
        <v>4137.3</v>
      </c>
      <c r="I139" s="1023">
        <v>4137.3</v>
      </c>
      <c r="J139" s="1023">
        <v>2579.9</v>
      </c>
      <c r="K139" s="1134">
        <v>111</v>
      </c>
      <c r="L139" s="1150">
        <v>7849801.1600000001</v>
      </c>
      <c r="M139" s="1023">
        <v>0</v>
      </c>
      <c r="N139" s="1023">
        <v>0</v>
      </c>
      <c r="O139" s="1023">
        <v>7849801.1600000001</v>
      </c>
      <c r="P139" s="1023">
        <v>0</v>
      </c>
      <c r="Q139" s="1023">
        <v>0</v>
      </c>
      <c r="R139" s="1149" t="s">
        <v>1486</v>
      </c>
      <c r="S139" s="1149" t="s">
        <v>1486</v>
      </c>
    </row>
    <row r="140" spans="1:19" ht="36" customHeight="1">
      <c r="A140" s="1114"/>
      <c r="B140" s="1426" t="s">
        <v>1325</v>
      </c>
      <c r="C140" s="1426"/>
      <c r="D140" s="1426"/>
      <c r="E140" s="1426"/>
      <c r="F140" s="1426"/>
      <c r="G140" s="1426"/>
      <c r="H140" s="985">
        <f>H141+H142</f>
        <v>1575.79</v>
      </c>
      <c r="I140" s="985">
        <f t="shared" ref="I140:Q140" si="37">I141+I142</f>
        <v>1475.8</v>
      </c>
      <c r="J140" s="985">
        <f t="shared" si="37"/>
        <v>1411.9</v>
      </c>
      <c r="K140" s="985">
        <f t="shared" si="37"/>
        <v>57</v>
      </c>
      <c r="L140" s="985">
        <f t="shared" si="37"/>
        <v>10897874.880000001</v>
      </c>
      <c r="M140" s="985">
        <f t="shared" si="37"/>
        <v>0</v>
      </c>
      <c r="N140" s="985">
        <f t="shared" si="37"/>
        <v>0</v>
      </c>
      <c r="O140" s="985">
        <f t="shared" si="37"/>
        <v>10897874.880000001</v>
      </c>
      <c r="P140" s="985">
        <f t="shared" si="37"/>
        <v>0</v>
      </c>
      <c r="Q140" s="985">
        <f t="shared" si="37"/>
        <v>0</v>
      </c>
      <c r="R140" s="991" t="s">
        <v>40</v>
      </c>
      <c r="S140" s="991" t="s">
        <v>40</v>
      </c>
    </row>
    <row r="141" spans="1:19" s="992" customFormat="1" ht="40.9" customHeight="1">
      <c r="A141" s="1114">
        <v>88</v>
      </c>
      <c r="B141" s="1112" t="s">
        <v>1140</v>
      </c>
      <c r="C141" s="1114">
        <v>1955</v>
      </c>
      <c r="D141" s="1112"/>
      <c r="E141" s="1114" t="s">
        <v>218</v>
      </c>
      <c r="F141" s="1116">
        <v>2</v>
      </c>
      <c r="G141" s="1116">
        <v>2</v>
      </c>
      <c r="H141" s="1025">
        <v>798.09</v>
      </c>
      <c r="I141" s="1025">
        <v>731.4</v>
      </c>
      <c r="J141" s="1025">
        <v>731.4</v>
      </c>
      <c r="K141" s="1032">
        <v>31</v>
      </c>
      <c r="L141" s="1025">
        <v>3764706.35</v>
      </c>
      <c r="M141" s="1025">
        <v>0</v>
      </c>
      <c r="N141" s="1025">
        <v>0</v>
      </c>
      <c r="O141" s="1025">
        <f>L141</f>
        <v>3764706.35</v>
      </c>
      <c r="P141" s="1025">
        <v>0</v>
      </c>
      <c r="Q141" s="1025">
        <v>0</v>
      </c>
      <c r="R141" s="987">
        <v>2023</v>
      </c>
      <c r="S141" s="987">
        <v>2023</v>
      </c>
    </row>
    <row r="142" spans="1:19" s="992" customFormat="1" ht="42" customHeight="1">
      <c r="A142" s="1114">
        <v>89</v>
      </c>
      <c r="B142" s="1112" t="s">
        <v>1177</v>
      </c>
      <c r="C142" s="1114">
        <v>1953</v>
      </c>
      <c r="D142" s="1112"/>
      <c r="E142" s="1114" t="s">
        <v>661</v>
      </c>
      <c r="F142" s="1116">
        <v>2</v>
      </c>
      <c r="G142" s="1116">
        <v>2</v>
      </c>
      <c r="H142" s="1025">
        <v>777.7</v>
      </c>
      <c r="I142" s="1025">
        <v>744.4</v>
      </c>
      <c r="J142" s="1025">
        <v>680.5</v>
      </c>
      <c r="K142" s="1032">
        <v>26</v>
      </c>
      <c r="L142" s="1025">
        <v>7133168.5300000003</v>
      </c>
      <c r="M142" s="1025">
        <v>0</v>
      </c>
      <c r="N142" s="1025">
        <v>0</v>
      </c>
      <c r="O142" s="1025">
        <f t="shared" ref="O142" si="38">L142</f>
        <v>7133168.5300000003</v>
      </c>
      <c r="P142" s="1025">
        <v>0</v>
      </c>
      <c r="Q142" s="1025">
        <v>0</v>
      </c>
      <c r="R142" s="987">
        <v>2023</v>
      </c>
      <c r="S142" s="987">
        <v>2023</v>
      </c>
    </row>
    <row r="143" spans="1:19" s="992" customFormat="1" ht="40.15" customHeight="1">
      <c r="A143" s="1114"/>
      <c r="B143" s="1426" t="s">
        <v>1326</v>
      </c>
      <c r="C143" s="1426"/>
      <c r="D143" s="1426"/>
      <c r="E143" s="1426"/>
      <c r="F143" s="1426"/>
      <c r="G143" s="1426"/>
      <c r="H143" s="985">
        <f>SUM(H144:H152)</f>
        <v>28307.899999999998</v>
      </c>
      <c r="I143" s="985">
        <f t="shared" ref="I143:Q143" si="39">SUM(I144:I152)</f>
        <v>28307.899999999998</v>
      </c>
      <c r="J143" s="985">
        <f t="shared" si="39"/>
        <v>23259.9</v>
      </c>
      <c r="K143" s="1030">
        <f t="shared" si="39"/>
        <v>880</v>
      </c>
      <c r="L143" s="985">
        <f t="shared" si="39"/>
        <v>58020979.920000002</v>
      </c>
      <c r="M143" s="985">
        <f t="shared" si="39"/>
        <v>0</v>
      </c>
      <c r="N143" s="985">
        <f t="shared" si="39"/>
        <v>0</v>
      </c>
      <c r="O143" s="985">
        <f t="shared" si="39"/>
        <v>58020979.920000002</v>
      </c>
      <c r="P143" s="985">
        <f t="shared" si="39"/>
        <v>0</v>
      </c>
      <c r="Q143" s="985">
        <f t="shared" si="39"/>
        <v>0</v>
      </c>
      <c r="R143" s="991" t="s">
        <v>40</v>
      </c>
      <c r="S143" s="991" t="s">
        <v>40</v>
      </c>
    </row>
    <row r="144" spans="1:19" s="992" customFormat="1" ht="40.15" customHeight="1">
      <c r="A144" s="1114">
        <v>90</v>
      </c>
      <c r="B144" s="1115" t="s">
        <v>1364</v>
      </c>
      <c r="C144" s="1116">
        <v>1994</v>
      </c>
      <c r="D144" s="1116"/>
      <c r="E144" s="1114" t="s">
        <v>218</v>
      </c>
      <c r="F144" s="1116">
        <v>5</v>
      </c>
      <c r="G144" s="1116">
        <v>2</v>
      </c>
      <c r="H144" s="985">
        <v>2030.3</v>
      </c>
      <c r="I144" s="985">
        <v>2030.3</v>
      </c>
      <c r="J144" s="985">
        <v>1595.9</v>
      </c>
      <c r="K144" s="1030">
        <v>50</v>
      </c>
      <c r="L144" s="993">
        <v>2997228.03</v>
      </c>
      <c r="M144" s="985">
        <v>0</v>
      </c>
      <c r="N144" s="985">
        <v>0</v>
      </c>
      <c r="O144" s="993">
        <v>2997228.03</v>
      </c>
      <c r="P144" s="1024">
        <v>0</v>
      </c>
      <c r="Q144" s="985">
        <v>0</v>
      </c>
      <c r="R144" s="1116">
        <v>2023</v>
      </c>
      <c r="S144" s="1116">
        <v>2023</v>
      </c>
    </row>
    <row r="145" spans="1:19" s="992" customFormat="1" ht="42" customHeight="1">
      <c r="A145" s="1114">
        <v>91</v>
      </c>
      <c r="B145" s="1115" t="s">
        <v>1365</v>
      </c>
      <c r="C145" s="1116">
        <v>1983</v>
      </c>
      <c r="D145" s="1116"/>
      <c r="E145" s="1114" t="s">
        <v>219</v>
      </c>
      <c r="F145" s="1116">
        <v>3</v>
      </c>
      <c r="G145" s="1116">
        <v>3</v>
      </c>
      <c r="H145" s="985">
        <v>1609.6</v>
      </c>
      <c r="I145" s="985">
        <v>1609.6</v>
      </c>
      <c r="J145" s="985">
        <v>1070</v>
      </c>
      <c r="K145" s="1030">
        <v>41</v>
      </c>
      <c r="L145" s="993">
        <v>2706899.77</v>
      </c>
      <c r="M145" s="985">
        <v>0</v>
      </c>
      <c r="N145" s="985">
        <v>0</v>
      </c>
      <c r="O145" s="993">
        <v>2706899.77</v>
      </c>
      <c r="P145" s="1024">
        <v>0</v>
      </c>
      <c r="Q145" s="985">
        <v>0</v>
      </c>
      <c r="R145" s="1116">
        <v>2023</v>
      </c>
      <c r="S145" s="1116">
        <v>2023</v>
      </c>
    </row>
    <row r="146" spans="1:19" s="992" customFormat="1" ht="44.45" customHeight="1">
      <c r="A146" s="1114">
        <v>92</v>
      </c>
      <c r="B146" s="1115" t="s">
        <v>1289</v>
      </c>
      <c r="C146" s="1116">
        <v>1983</v>
      </c>
      <c r="D146" s="1116"/>
      <c r="E146" s="1114" t="s">
        <v>218</v>
      </c>
      <c r="F146" s="1116">
        <v>5</v>
      </c>
      <c r="G146" s="1116">
        <v>7</v>
      </c>
      <c r="H146" s="985">
        <v>5209.7</v>
      </c>
      <c r="I146" s="985">
        <v>5209.7</v>
      </c>
      <c r="J146" s="985">
        <v>4729.3</v>
      </c>
      <c r="K146" s="1030">
        <v>125</v>
      </c>
      <c r="L146" s="1151">
        <v>11676822.52</v>
      </c>
      <c r="M146" s="985">
        <v>0</v>
      </c>
      <c r="N146" s="985">
        <v>0</v>
      </c>
      <c r="O146" s="1151">
        <v>11676822.52</v>
      </c>
      <c r="P146" s="1024">
        <v>0</v>
      </c>
      <c r="Q146" s="985">
        <v>0</v>
      </c>
      <c r="R146" s="1116">
        <v>2023</v>
      </c>
      <c r="S146" s="1116">
        <v>2023</v>
      </c>
    </row>
    <row r="147" spans="1:19" s="992" customFormat="1" ht="44.45" customHeight="1">
      <c r="A147" s="1114">
        <v>93</v>
      </c>
      <c r="B147" s="1115" t="s">
        <v>1366</v>
      </c>
      <c r="C147" s="1116">
        <v>1981</v>
      </c>
      <c r="D147" s="1116"/>
      <c r="E147" s="1114" t="s">
        <v>219</v>
      </c>
      <c r="F147" s="1116">
        <v>5</v>
      </c>
      <c r="G147" s="1116">
        <v>5</v>
      </c>
      <c r="H147" s="985">
        <v>4943.3</v>
      </c>
      <c r="I147" s="985">
        <v>4943.3</v>
      </c>
      <c r="J147" s="985">
        <v>3748.9</v>
      </c>
      <c r="K147" s="1030">
        <v>108</v>
      </c>
      <c r="L147" s="1024">
        <v>11092981.390000001</v>
      </c>
      <c r="M147" s="985">
        <v>0</v>
      </c>
      <c r="N147" s="985">
        <v>0</v>
      </c>
      <c r="O147" s="1024">
        <v>11092981.390000001</v>
      </c>
      <c r="P147" s="1024">
        <v>0</v>
      </c>
      <c r="Q147" s="985">
        <v>0</v>
      </c>
      <c r="R147" s="1116">
        <v>2023</v>
      </c>
      <c r="S147" s="1116">
        <v>2023</v>
      </c>
    </row>
    <row r="148" spans="1:19" s="992" customFormat="1" ht="42" customHeight="1">
      <c r="A148" s="1114">
        <v>94</v>
      </c>
      <c r="B148" s="1115" t="s">
        <v>1367</v>
      </c>
      <c r="C148" s="1116">
        <v>1985</v>
      </c>
      <c r="D148" s="1116"/>
      <c r="E148" s="1114" t="s">
        <v>219</v>
      </c>
      <c r="F148" s="1116">
        <v>5</v>
      </c>
      <c r="G148" s="1116">
        <v>5</v>
      </c>
      <c r="H148" s="985">
        <v>3613.3</v>
      </c>
      <c r="I148" s="985">
        <v>3613.3</v>
      </c>
      <c r="J148" s="985">
        <v>3258.8</v>
      </c>
      <c r="K148" s="1030">
        <v>141</v>
      </c>
      <c r="L148" s="1152">
        <v>10084528.539999999</v>
      </c>
      <c r="M148" s="985">
        <v>0</v>
      </c>
      <c r="N148" s="985">
        <v>0</v>
      </c>
      <c r="O148" s="1152">
        <v>10084528.539999999</v>
      </c>
      <c r="P148" s="1024">
        <v>0</v>
      </c>
      <c r="Q148" s="985">
        <v>0</v>
      </c>
      <c r="R148" s="1116">
        <v>2023</v>
      </c>
      <c r="S148" s="1116">
        <v>2023</v>
      </c>
    </row>
    <row r="149" spans="1:19" s="992" customFormat="1" ht="36" customHeight="1">
      <c r="A149" s="1114">
        <v>95</v>
      </c>
      <c r="B149" s="1115" t="s">
        <v>1293</v>
      </c>
      <c r="C149" s="1116">
        <v>1984</v>
      </c>
      <c r="D149" s="1116">
        <v>2022</v>
      </c>
      <c r="E149" s="1114" t="s">
        <v>218</v>
      </c>
      <c r="F149" s="1116">
        <v>4</v>
      </c>
      <c r="G149" s="1116">
        <v>3</v>
      </c>
      <c r="H149" s="985">
        <v>3248.7</v>
      </c>
      <c r="I149" s="985">
        <v>3248.7</v>
      </c>
      <c r="J149" s="985">
        <v>2298.6999999999998</v>
      </c>
      <c r="K149" s="1030">
        <v>67</v>
      </c>
      <c r="L149" s="985">
        <v>7917854.46</v>
      </c>
      <c r="M149" s="985">
        <v>0</v>
      </c>
      <c r="N149" s="985">
        <v>0</v>
      </c>
      <c r="O149" s="985">
        <v>7917854.46</v>
      </c>
      <c r="P149" s="985">
        <v>0</v>
      </c>
      <c r="Q149" s="985">
        <v>0</v>
      </c>
      <c r="R149" s="1116">
        <v>2023</v>
      </c>
      <c r="S149" s="1116">
        <v>2023</v>
      </c>
    </row>
    <row r="150" spans="1:19" s="992" customFormat="1" ht="40.15" customHeight="1">
      <c r="A150" s="1114">
        <v>96</v>
      </c>
      <c r="B150" s="1115" t="s">
        <v>1368</v>
      </c>
      <c r="C150" s="1116">
        <v>1974</v>
      </c>
      <c r="D150" s="1116"/>
      <c r="E150" s="1114" t="s">
        <v>218</v>
      </c>
      <c r="F150" s="1116">
        <v>5</v>
      </c>
      <c r="G150" s="1116">
        <v>2</v>
      </c>
      <c r="H150" s="985">
        <v>1953.6</v>
      </c>
      <c r="I150" s="985">
        <v>1953.6</v>
      </c>
      <c r="J150" s="985">
        <v>1797.6</v>
      </c>
      <c r="K150" s="1030">
        <v>78</v>
      </c>
      <c r="L150" s="985">
        <v>3426085.88</v>
      </c>
      <c r="M150" s="985">
        <v>0</v>
      </c>
      <c r="N150" s="985">
        <v>0</v>
      </c>
      <c r="O150" s="985">
        <v>3426085.88</v>
      </c>
      <c r="P150" s="985">
        <v>0</v>
      </c>
      <c r="Q150" s="985">
        <v>0</v>
      </c>
      <c r="R150" s="1116">
        <v>2023</v>
      </c>
      <c r="S150" s="1116">
        <v>2023</v>
      </c>
    </row>
    <row r="151" spans="1:19" s="992" customFormat="1" ht="36" customHeight="1">
      <c r="A151" s="1114">
        <v>97</v>
      </c>
      <c r="B151" s="1115" t="s">
        <v>1127</v>
      </c>
      <c r="C151" s="1116">
        <v>1981</v>
      </c>
      <c r="D151" s="1116">
        <v>2022</v>
      </c>
      <c r="E151" s="1114" t="s">
        <v>218</v>
      </c>
      <c r="F151" s="1116">
        <v>5</v>
      </c>
      <c r="G151" s="1116">
        <v>1</v>
      </c>
      <c r="H151" s="985">
        <v>3240.4</v>
      </c>
      <c r="I151" s="985">
        <v>3240.4</v>
      </c>
      <c r="J151" s="985">
        <v>2485.4</v>
      </c>
      <c r="K151" s="1030">
        <v>180</v>
      </c>
      <c r="L151" s="985">
        <v>3390527.73</v>
      </c>
      <c r="M151" s="985">
        <v>0</v>
      </c>
      <c r="N151" s="985">
        <v>0</v>
      </c>
      <c r="O151" s="985">
        <v>3390527.73</v>
      </c>
      <c r="P151" s="985">
        <v>0</v>
      </c>
      <c r="Q151" s="985">
        <v>0</v>
      </c>
      <c r="R151" s="1116">
        <v>2023</v>
      </c>
      <c r="S151" s="1116">
        <v>2023</v>
      </c>
    </row>
    <row r="152" spans="1:19" s="992" customFormat="1" ht="40.9" customHeight="1">
      <c r="A152" s="1114">
        <v>98</v>
      </c>
      <c r="B152" s="1115" t="s">
        <v>1369</v>
      </c>
      <c r="C152" s="1116">
        <v>1982</v>
      </c>
      <c r="D152" s="1116"/>
      <c r="E152" s="1114" t="s">
        <v>219</v>
      </c>
      <c r="F152" s="1116">
        <v>5</v>
      </c>
      <c r="G152" s="1116">
        <v>3</v>
      </c>
      <c r="H152" s="985">
        <v>2459</v>
      </c>
      <c r="I152" s="985">
        <v>2459</v>
      </c>
      <c r="J152" s="985">
        <v>2275.3000000000002</v>
      </c>
      <c r="K152" s="1030">
        <v>90</v>
      </c>
      <c r="L152" s="985">
        <v>4728051.5999999996</v>
      </c>
      <c r="M152" s="985">
        <v>0</v>
      </c>
      <c r="N152" s="985">
        <v>0</v>
      </c>
      <c r="O152" s="985">
        <v>4728051.5999999996</v>
      </c>
      <c r="P152" s="985">
        <v>0</v>
      </c>
      <c r="Q152" s="985">
        <v>0</v>
      </c>
      <c r="R152" s="1116">
        <v>2023</v>
      </c>
      <c r="S152" s="1116">
        <v>2023</v>
      </c>
    </row>
    <row r="153" spans="1:19" s="2" customFormat="1" ht="38.450000000000003" customHeight="1">
      <c r="A153" s="1114"/>
      <c r="B153" s="1111" t="s">
        <v>1255</v>
      </c>
      <c r="C153" s="1116"/>
      <c r="D153" s="1096"/>
      <c r="E153" s="1114"/>
      <c r="F153" s="1116"/>
      <c r="G153" s="1116"/>
      <c r="H153" s="985">
        <f>SUM(H154:H165)</f>
        <v>28212.5</v>
      </c>
      <c r="I153" s="985">
        <f t="shared" ref="I153:Q153" si="40">SUM(I154:I165)</f>
        <v>25433.949999999997</v>
      </c>
      <c r="J153" s="985">
        <f t="shared" si="40"/>
        <v>21286.799999999999</v>
      </c>
      <c r="K153" s="985">
        <f t="shared" si="40"/>
        <v>851</v>
      </c>
      <c r="L153" s="985">
        <f t="shared" si="40"/>
        <v>59203369.720000006</v>
      </c>
      <c r="M153" s="985">
        <f t="shared" si="40"/>
        <v>0</v>
      </c>
      <c r="N153" s="985">
        <f t="shared" si="40"/>
        <v>0</v>
      </c>
      <c r="O153" s="985">
        <f t="shared" si="40"/>
        <v>59203369.720000006</v>
      </c>
      <c r="P153" s="985">
        <f t="shared" si="40"/>
        <v>0</v>
      </c>
      <c r="Q153" s="985">
        <f t="shared" si="40"/>
        <v>0</v>
      </c>
      <c r="R153" s="991" t="s">
        <v>40</v>
      </c>
      <c r="S153" s="991" t="s">
        <v>40</v>
      </c>
    </row>
    <row r="154" spans="1:19" s="2" customFormat="1" ht="38.450000000000003" customHeight="1">
      <c r="A154" s="1009">
        <v>99</v>
      </c>
      <c r="B154" s="1146" t="s">
        <v>2097</v>
      </c>
      <c r="C154" s="1114">
        <v>1957</v>
      </c>
      <c r="D154" s="1114"/>
      <c r="E154" s="1114" t="s">
        <v>218</v>
      </c>
      <c r="F154" s="1114">
        <v>3</v>
      </c>
      <c r="G154" s="1114">
        <v>3</v>
      </c>
      <c r="H154" s="1152">
        <v>1373.3</v>
      </c>
      <c r="I154" s="1152">
        <v>1155.3</v>
      </c>
      <c r="J154" s="1152">
        <v>1155.3</v>
      </c>
      <c r="K154" s="1114">
        <v>40</v>
      </c>
      <c r="L154" s="1023">
        <v>5959675.4000000004</v>
      </c>
      <c r="M154" s="985">
        <v>0</v>
      </c>
      <c r="N154" s="985">
        <v>0</v>
      </c>
      <c r="O154" s="1023">
        <v>5959675.4000000004</v>
      </c>
      <c r="P154" s="985">
        <v>0</v>
      </c>
      <c r="Q154" s="985">
        <v>0</v>
      </c>
      <c r="R154" s="1116">
        <v>2023</v>
      </c>
      <c r="S154" s="1116">
        <v>2023</v>
      </c>
    </row>
    <row r="155" spans="1:19" s="2" customFormat="1" ht="38.450000000000003" customHeight="1">
      <c r="A155" s="1009">
        <v>100</v>
      </c>
      <c r="B155" s="1146" t="s">
        <v>2098</v>
      </c>
      <c r="C155" s="1009">
        <v>1963</v>
      </c>
      <c r="D155" s="1114"/>
      <c r="E155" s="1114" t="s">
        <v>218</v>
      </c>
      <c r="F155" s="1009">
        <v>3</v>
      </c>
      <c r="G155" s="1009">
        <v>2</v>
      </c>
      <c r="H155" s="1153">
        <v>1523.5</v>
      </c>
      <c r="I155" s="1153">
        <v>1101.55</v>
      </c>
      <c r="J155" s="1153">
        <v>524.1</v>
      </c>
      <c r="K155" s="1009">
        <v>28</v>
      </c>
      <c r="L155" s="1023">
        <v>10032307.98</v>
      </c>
      <c r="M155" s="985">
        <v>0</v>
      </c>
      <c r="N155" s="985">
        <v>0</v>
      </c>
      <c r="O155" s="1023">
        <v>10032307.98</v>
      </c>
      <c r="P155" s="985">
        <v>0</v>
      </c>
      <c r="Q155" s="985">
        <v>0</v>
      </c>
      <c r="R155" s="1116">
        <v>2023</v>
      </c>
      <c r="S155" s="1116">
        <v>2023</v>
      </c>
    </row>
    <row r="156" spans="1:19" s="2" customFormat="1" ht="38.450000000000003" customHeight="1">
      <c r="A156" s="1009">
        <v>101</v>
      </c>
      <c r="B156" s="1146" t="s">
        <v>2099</v>
      </c>
      <c r="C156" s="1114">
        <v>1965</v>
      </c>
      <c r="D156" s="1114"/>
      <c r="E156" s="1114" t="s">
        <v>218</v>
      </c>
      <c r="F156" s="1114">
        <v>5</v>
      </c>
      <c r="G156" s="1114">
        <v>3</v>
      </c>
      <c r="H156" s="1152">
        <v>2979.5</v>
      </c>
      <c r="I156" s="1152">
        <v>2416</v>
      </c>
      <c r="J156" s="1152">
        <v>2416</v>
      </c>
      <c r="K156" s="1114">
        <v>70</v>
      </c>
      <c r="L156" s="1023">
        <v>3270571.83</v>
      </c>
      <c r="M156" s="985">
        <v>0</v>
      </c>
      <c r="N156" s="985">
        <v>0</v>
      </c>
      <c r="O156" s="1023">
        <v>3270571.83</v>
      </c>
      <c r="P156" s="985">
        <v>0</v>
      </c>
      <c r="Q156" s="985">
        <v>0</v>
      </c>
      <c r="R156" s="1116">
        <v>2023</v>
      </c>
      <c r="S156" s="1116">
        <v>2023</v>
      </c>
    </row>
    <row r="157" spans="1:19" s="2" customFormat="1" ht="42.6" customHeight="1">
      <c r="A157" s="1009">
        <v>102</v>
      </c>
      <c r="B157" s="1146" t="s">
        <v>2100</v>
      </c>
      <c r="C157" s="1114">
        <v>1949</v>
      </c>
      <c r="D157" s="1114"/>
      <c r="E157" s="1114" t="s">
        <v>218</v>
      </c>
      <c r="F157" s="1114">
        <v>3</v>
      </c>
      <c r="G157" s="1114">
        <v>3</v>
      </c>
      <c r="H157" s="1152">
        <v>2081.1</v>
      </c>
      <c r="I157" s="1152">
        <v>972.4</v>
      </c>
      <c r="J157" s="1152">
        <v>862.3</v>
      </c>
      <c r="K157" s="1114">
        <v>40</v>
      </c>
      <c r="L157" s="1023">
        <v>5552714.71</v>
      </c>
      <c r="M157" s="985">
        <v>0</v>
      </c>
      <c r="N157" s="985">
        <v>0</v>
      </c>
      <c r="O157" s="1023">
        <v>5552714.71</v>
      </c>
      <c r="P157" s="985">
        <v>0</v>
      </c>
      <c r="Q157" s="985">
        <v>0</v>
      </c>
      <c r="R157" s="1116">
        <v>2023</v>
      </c>
      <c r="S157" s="1116">
        <v>2023</v>
      </c>
    </row>
    <row r="158" spans="1:19" s="2" customFormat="1" ht="37.9" customHeight="1">
      <c r="A158" s="1009">
        <v>103</v>
      </c>
      <c r="B158" s="1146" t="s">
        <v>1967</v>
      </c>
      <c r="C158" s="1009">
        <v>1952</v>
      </c>
      <c r="D158" s="1009"/>
      <c r="E158" s="1009" t="s">
        <v>218</v>
      </c>
      <c r="F158" s="1009">
        <v>2</v>
      </c>
      <c r="G158" s="1009">
        <v>2</v>
      </c>
      <c r="H158" s="1153">
        <v>898.3</v>
      </c>
      <c r="I158" s="1153">
        <v>898.3</v>
      </c>
      <c r="J158" s="1153">
        <v>517</v>
      </c>
      <c r="K158" s="1009">
        <v>18</v>
      </c>
      <c r="L158" s="1023">
        <v>5051597.53</v>
      </c>
      <c r="M158" s="985">
        <v>0</v>
      </c>
      <c r="N158" s="985">
        <v>0</v>
      </c>
      <c r="O158" s="1023">
        <v>5051597.53</v>
      </c>
      <c r="P158" s="985">
        <v>0</v>
      </c>
      <c r="Q158" s="985">
        <v>0</v>
      </c>
      <c r="R158" s="1116">
        <v>2023</v>
      </c>
      <c r="S158" s="1116">
        <v>2023</v>
      </c>
    </row>
    <row r="159" spans="1:19" s="2" customFormat="1" ht="36" customHeight="1">
      <c r="A159" s="1009">
        <v>104</v>
      </c>
      <c r="B159" s="1146" t="s">
        <v>1968</v>
      </c>
      <c r="C159" s="1009">
        <v>1982</v>
      </c>
      <c r="D159" s="1009"/>
      <c r="E159" s="1009" t="s">
        <v>219</v>
      </c>
      <c r="F159" s="1009">
        <v>5</v>
      </c>
      <c r="G159" s="1009">
        <v>8</v>
      </c>
      <c r="H159" s="1153">
        <v>6227.5</v>
      </c>
      <c r="I159" s="1153">
        <v>6227.5</v>
      </c>
      <c r="J159" s="1153">
        <v>4896.2</v>
      </c>
      <c r="K159" s="1009">
        <v>236</v>
      </c>
      <c r="L159" s="1023">
        <v>7244937.6100000003</v>
      </c>
      <c r="M159" s="985">
        <v>0</v>
      </c>
      <c r="N159" s="985">
        <v>0</v>
      </c>
      <c r="O159" s="1023">
        <v>7244937.6100000003</v>
      </c>
      <c r="P159" s="985">
        <v>0</v>
      </c>
      <c r="Q159" s="985">
        <v>0</v>
      </c>
      <c r="R159" s="1116">
        <v>2023</v>
      </c>
      <c r="S159" s="1116">
        <v>2023</v>
      </c>
    </row>
    <row r="160" spans="1:19" s="2" customFormat="1" ht="42.6" customHeight="1">
      <c r="A160" s="1009">
        <v>105</v>
      </c>
      <c r="B160" s="1146" t="s">
        <v>1969</v>
      </c>
      <c r="C160" s="1009">
        <v>1955</v>
      </c>
      <c r="D160" s="1009"/>
      <c r="E160" s="1009" t="s">
        <v>218</v>
      </c>
      <c r="F160" s="1009">
        <v>2</v>
      </c>
      <c r="G160" s="1009">
        <v>1</v>
      </c>
      <c r="H160" s="1153">
        <v>589.5</v>
      </c>
      <c r="I160" s="1153">
        <v>419.7</v>
      </c>
      <c r="J160" s="1153">
        <v>419.7</v>
      </c>
      <c r="K160" s="1009">
        <v>15</v>
      </c>
      <c r="L160" s="1023">
        <v>3333137.57</v>
      </c>
      <c r="M160" s="985">
        <v>0</v>
      </c>
      <c r="N160" s="985">
        <v>0</v>
      </c>
      <c r="O160" s="1023">
        <v>3333137.57</v>
      </c>
      <c r="P160" s="985">
        <v>0</v>
      </c>
      <c r="Q160" s="985">
        <v>0</v>
      </c>
      <c r="R160" s="1116">
        <v>2023</v>
      </c>
      <c r="S160" s="1116">
        <v>2023</v>
      </c>
    </row>
    <row r="161" spans="1:19" s="992" customFormat="1" ht="40.9" customHeight="1">
      <c r="A161" s="1009">
        <v>106</v>
      </c>
      <c r="B161" s="1146" t="s">
        <v>1970</v>
      </c>
      <c r="C161" s="1009">
        <v>1953</v>
      </c>
      <c r="D161" s="1009"/>
      <c r="E161" s="1009" t="s">
        <v>218</v>
      </c>
      <c r="F161" s="1009">
        <v>2</v>
      </c>
      <c r="G161" s="1009">
        <v>1</v>
      </c>
      <c r="H161" s="1153">
        <v>616.79999999999995</v>
      </c>
      <c r="I161" s="1153">
        <v>616.79999999999995</v>
      </c>
      <c r="J161" s="1153">
        <v>547.29999999999995</v>
      </c>
      <c r="K161" s="1009">
        <v>10</v>
      </c>
      <c r="L161" s="1023">
        <v>3077746.65</v>
      </c>
      <c r="M161" s="985">
        <v>0</v>
      </c>
      <c r="N161" s="985">
        <v>0</v>
      </c>
      <c r="O161" s="1023">
        <v>3077746.65</v>
      </c>
      <c r="P161" s="985">
        <v>0</v>
      </c>
      <c r="Q161" s="985">
        <v>0</v>
      </c>
      <c r="R161" s="1116">
        <v>2023</v>
      </c>
      <c r="S161" s="1116">
        <v>2023</v>
      </c>
    </row>
    <row r="162" spans="1:19" s="992" customFormat="1" ht="39.6" customHeight="1">
      <c r="A162" s="1009">
        <v>107</v>
      </c>
      <c r="B162" s="1146" t="s">
        <v>1971</v>
      </c>
      <c r="C162" s="1009">
        <v>1960</v>
      </c>
      <c r="D162" s="1009"/>
      <c r="E162" s="1009" t="s">
        <v>218</v>
      </c>
      <c r="F162" s="1009">
        <v>2</v>
      </c>
      <c r="G162" s="1009">
        <v>2</v>
      </c>
      <c r="H162" s="1153">
        <v>531.79999999999995</v>
      </c>
      <c r="I162" s="1153">
        <v>471.3</v>
      </c>
      <c r="J162" s="1153">
        <v>425.2</v>
      </c>
      <c r="K162" s="1009">
        <v>30</v>
      </c>
      <c r="L162" s="1023">
        <v>1992234.35</v>
      </c>
      <c r="M162" s="985">
        <v>0</v>
      </c>
      <c r="N162" s="985">
        <v>0</v>
      </c>
      <c r="O162" s="1023">
        <v>1992234.35</v>
      </c>
      <c r="P162" s="985">
        <v>0</v>
      </c>
      <c r="Q162" s="985">
        <v>0</v>
      </c>
      <c r="R162" s="1116">
        <v>2023</v>
      </c>
      <c r="S162" s="1116">
        <v>2023</v>
      </c>
    </row>
    <row r="163" spans="1:19" s="992" customFormat="1" ht="51" customHeight="1">
      <c r="A163" s="1009">
        <v>108</v>
      </c>
      <c r="B163" s="1146" t="s">
        <v>1972</v>
      </c>
      <c r="C163" s="1009">
        <v>1917</v>
      </c>
      <c r="D163" s="1009"/>
      <c r="E163" s="1009" t="s">
        <v>218</v>
      </c>
      <c r="F163" s="1009">
        <v>2</v>
      </c>
      <c r="G163" s="1009">
        <v>1</v>
      </c>
      <c r="H163" s="1153">
        <v>259.7</v>
      </c>
      <c r="I163" s="1153">
        <v>224</v>
      </c>
      <c r="J163" s="1153">
        <v>224</v>
      </c>
      <c r="K163" s="1009">
        <v>6</v>
      </c>
      <c r="L163" s="1023">
        <v>1447085.58</v>
      </c>
      <c r="M163" s="985">
        <v>0</v>
      </c>
      <c r="N163" s="985">
        <v>0</v>
      </c>
      <c r="O163" s="1023">
        <v>1447085.58</v>
      </c>
      <c r="P163" s="985">
        <v>0</v>
      </c>
      <c r="Q163" s="985">
        <v>0</v>
      </c>
      <c r="R163" s="1116">
        <v>2023</v>
      </c>
      <c r="S163" s="1116">
        <v>2023</v>
      </c>
    </row>
    <row r="164" spans="1:19" s="992" customFormat="1" ht="51" customHeight="1">
      <c r="A164" s="1009">
        <v>109</v>
      </c>
      <c r="B164" s="1146" t="s">
        <v>1973</v>
      </c>
      <c r="C164" s="1009">
        <v>2009</v>
      </c>
      <c r="D164" s="1009"/>
      <c r="E164" s="1009" t="s">
        <v>219</v>
      </c>
      <c r="F164" s="1009">
        <v>7</v>
      </c>
      <c r="G164" s="1009">
        <v>1</v>
      </c>
      <c r="H164" s="1023">
        <v>1801.1</v>
      </c>
      <c r="I164" s="1023">
        <v>1600.7</v>
      </c>
      <c r="J164" s="1023">
        <v>1367</v>
      </c>
      <c r="K164" s="1009">
        <v>66</v>
      </c>
      <c r="L164" s="1023">
        <v>3060340.13</v>
      </c>
      <c r="M164" s="985">
        <v>0</v>
      </c>
      <c r="N164" s="985">
        <v>0</v>
      </c>
      <c r="O164" s="1023">
        <v>3060340.13</v>
      </c>
      <c r="P164" s="985">
        <v>0</v>
      </c>
      <c r="Q164" s="985">
        <v>0</v>
      </c>
      <c r="R164" s="1116">
        <v>2023</v>
      </c>
      <c r="S164" s="1116">
        <v>2023</v>
      </c>
    </row>
    <row r="165" spans="1:19" s="992" customFormat="1" ht="51" customHeight="1">
      <c r="A165" s="1009">
        <v>110</v>
      </c>
      <c r="B165" s="1146" t="s">
        <v>1974</v>
      </c>
      <c r="C165" s="1009">
        <v>1999</v>
      </c>
      <c r="D165" s="1009"/>
      <c r="E165" s="1009" t="s">
        <v>219</v>
      </c>
      <c r="F165" s="1009">
        <v>9</v>
      </c>
      <c r="G165" s="1009">
        <v>3</v>
      </c>
      <c r="H165" s="1023">
        <v>9330.4</v>
      </c>
      <c r="I165" s="1023">
        <v>9330.4</v>
      </c>
      <c r="J165" s="1023">
        <v>7932.7</v>
      </c>
      <c r="K165" s="1009">
        <v>292</v>
      </c>
      <c r="L165" s="1023">
        <v>9181020.3800000008</v>
      </c>
      <c r="M165" s="985">
        <v>0</v>
      </c>
      <c r="N165" s="985">
        <v>0</v>
      </c>
      <c r="O165" s="1023">
        <v>9181020.3800000008</v>
      </c>
      <c r="P165" s="985">
        <v>0</v>
      </c>
      <c r="Q165" s="985">
        <v>0</v>
      </c>
      <c r="R165" s="1116">
        <v>2023</v>
      </c>
      <c r="S165" s="1116">
        <v>2023</v>
      </c>
    </row>
    <row r="166" spans="1:19" s="992" customFormat="1" ht="51" customHeight="1">
      <c r="A166" s="1009"/>
      <c r="B166" s="1426" t="s">
        <v>2005</v>
      </c>
      <c r="C166" s="1426"/>
      <c r="D166" s="1426"/>
      <c r="E166" s="1426"/>
      <c r="F166" s="1426"/>
      <c r="G166" s="1426"/>
      <c r="H166" s="1023">
        <f>H167</f>
        <v>953.1</v>
      </c>
      <c r="I166" s="1023">
        <f t="shared" ref="I166:Q166" si="41">I167</f>
        <v>849.2</v>
      </c>
      <c r="J166" s="1023">
        <f t="shared" si="41"/>
        <v>849.2</v>
      </c>
      <c r="K166" s="1023">
        <f t="shared" si="41"/>
        <v>36</v>
      </c>
      <c r="L166" s="1023">
        <f t="shared" si="41"/>
        <v>1018891.44</v>
      </c>
      <c r="M166" s="1023">
        <f t="shared" si="41"/>
        <v>0</v>
      </c>
      <c r="N166" s="1023">
        <f t="shared" si="41"/>
        <v>0</v>
      </c>
      <c r="O166" s="1023">
        <f t="shared" si="41"/>
        <v>1018891.44</v>
      </c>
      <c r="P166" s="1023">
        <f t="shared" si="41"/>
        <v>0</v>
      </c>
      <c r="Q166" s="1023">
        <f t="shared" si="41"/>
        <v>0</v>
      </c>
      <c r="R166" s="991" t="s">
        <v>40</v>
      </c>
      <c r="S166" s="991" t="s">
        <v>40</v>
      </c>
    </row>
    <row r="167" spans="1:19" s="992" customFormat="1" ht="51" customHeight="1">
      <c r="A167" s="1009">
        <v>111</v>
      </c>
      <c r="B167" s="1146" t="s">
        <v>2006</v>
      </c>
      <c r="C167" s="1009">
        <v>1981</v>
      </c>
      <c r="D167" s="1009"/>
      <c r="E167" s="1009" t="s">
        <v>219</v>
      </c>
      <c r="F167" s="1009">
        <v>2</v>
      </c>
      <c r="G167" s="1009">
        <v>2</v>
      </c>
      <c r="H167" s="1023">
        <v>953.1</v>
      </c>
      <c r="I167" s="1023">
        <v>849.2</v>
      </c>
      <c r="J167" s="1023">
        <v>849.2</v>
      </c>
      <c r="K167" s="1009">
        <v>36</v>
      </c>
      <c r="L167" s="1023">
        <v>1018891.44</v>
      </c>
      <c r="M167" s="985">
        <v>0</v>
      </c>
      <c r="N167" s="985">
        <v>0</v>
      </c>
      <c r="O167" s="1023">
        <v>1018891.44</v>
      </c>
      <c r="P167" s="985">
        <v>0</v>
      </c>
      <c r="Q167" s="985">
        <v>0</v>
      </c>
      <c r="R167" s="1116">
        <v>2023</v>
      </c>
      <c r="S167" s="1116">
        <v>2023</v>
      </c>
    </row>
    <row r="168" spans="1:19" s="1019" customFormat="1" ht="36" customHeight="1">
      <c r="A168" s="1114"/>
      <c r="B168" s="1426" t="s">
        <v>1100</v>
      </c>
      <c r="C168" s="1426"/>
      <c r="D168" s="1426"/>
      <c r="E168" s="1426"/>
      <c r="F168" s="1426"/>
      <c r="G168" s="1426"/>
      <c r="H168" s="985">
        <f>H169+H170</f>
        <v>867.6</v>
      </c>
      <c r="I168" s="985">
        <f t="shared" ref="I168:Q168" si="42">I169+I170</f>
        <v>817.6</v>
      </c>
      <c r="J168" s="985">
        <f t="shared" si="42"/>
        <v>771.6</v>
      </c>
      <c r="K168" s="1030">
        <f t="shared" si="42"/>
        <v>30</v>
      </c>
      <c r="L168" s="985">
        <f t="shared" si="42"/>
        <v>5002509.37</v>
      </c>
      <c r="M168" s="985">
        <f t="shared" si="42"/>
        <v>0</v>
      </c>
      <c r="N168" s="985">
        <f t="shared" si="42"/>
        <v>0</v>
      </c>
      <c r="O168" s="985">
        <f t="shared" si="42"/>
        <v>5002509.37</v>
      </c>
      <c r="P168" s="985">
        <f t="shared" si="42"/>
        <v>0</v>
      </c>
      <c r="Q168" s="985">
        <f t="shared" si="42"/>
        <v>0</v>
      </c>
      <c r="R168" s="991" t="s">
        <v>40</v>
      </c>
      <c r="S168" s="991" t="s">
        <v>40</v>
      </c>
    </row>
    <row r="169" spans="1:19" s="1019" customFormat="1" ht="46.5" customHeight="1">
      <c r="A169" s="1114">
        <v>112</v>
      </c>
      <c r="B169" s="1029" t="s">
        <v>1695</v>
      </c>
      <c r="C169" s="1030">
        <v>1970</v>
      </c>
      <c r="D169" s="1031"/>
      <c r="E169" s="1114" t="s">
        <v>218</v>
      </c>
      <c r="F169" s="987">
        <v>2</v>
      </c>
      <c r="G169" s="987">
        <v>2</v>
      </c>
      <c r="H169" s="993">
        <v>429.5</v>
      </c>
      <c r="I169" s="993">
        <v>429.5</v>
      </c>
      <c r="J169" s="993">
        <v>383.5</v>
      </c>
      <c r="K169" s="987">
        <v>11</v>
      </c>
      <c r="L169" s="986">
        <v>2584474.31</v>
      </c>
      <c r="M169" s="986">
        <v>0</v>
      </c>
      <c r="N169" s="986">
        <v>0</v>
      </c>
      <c r="O169" s="986">
        <v>2584474.31</v>
      </c>
      <c r="P169" s="993">
        <v>0</v>
      </c>
      <c r="Q169" s="986">
        <v>0</v>
      </c>
      <c r="R169" s="987">
        <v>2023</v>
      </c>
      <c r="S169" s="987">
        <v>2023</v>
      </c>
    </row>
    <row r="170" spans="1:19" s="1019" customFormat="1" ht="42" customHeight="1">
      <c r="A170" s="1114">
        <v>113</v>
      </c>
      <c r="B170" s="1111" t="s">
        <v>1145</v>
      </c>
      <c r="C170" s="1116">
        <v>1969</v>
      </c>
      <c r="D170" s="1116"/>
      <c r="E170" s="1114" t="s">
        <v>218</v>
      </c>
      <c r="F170" s="1116">
        <v>2</v>
      </c>
      <c r="G170" s="1116">
        <v>2</v>
      </c>
      <c r="H170" s="985">
        <v>438.1</v>
      </c>
      <c r="I170" s="985">
        <v>388.1</v>
      </c>
      <c r="J170" s="985">
        <v>388.1</v>
      </c>
      <c r="K170" s="1030">
        <v>19</v>
      </c>
      <c r="L170" s="986">
        <v>2418035.06</v>
      </c>
      <c r="M170" s="986">
        <v>0</v>
      </c>
      <c r="N170" s="986">
        <v>0</v>
      </c>
      <c r="O170" s="986">
        <v>2418035.06</v>
      </c>
      <c r="P170" s="993">
        <v>0</v>
      </c>
      <c r="Q170" s="986">
        <v>0</v>
      </c>
      <c r="R170" s="987">
        <v>2023</v>
      </c>
      <c r="S170" s="987">
        <v>2023</v>
      </c>
    </row>
    <row r="171" spans="1:19" s="1019" customFormat="1" ht="36" customHeight="1">
      <c r="A171" s="1114"/>
      <c r="B171" s="1029" t="s">
        <v>1239</v>
      </c>
      <c r="C171" s="1030"/>
      <c r="D171" s="1031"/>
      <c r="E171" s="1114"/>
      <c r="F171" s="987"/>
      <c r="G171" s="987"/>
      <c r="H171" s="985">
        <f>H172</f>
        <v>790.2</v>
      </c>
      <c r="I171" s="985">
        <f t="shared" ref="I171:Q171" si="43">I172</f>
        <v>731</v>
      </c>
      <c r="J171" s="985">
        <f t="shared" si="43"/>
        <v>731</v>
      </c>
      <c r="K171" s="1030">
        <f t="shared" si="43"/>
        <v>22</v>
      </c>
      <c r="L171" s="985">
        <f t="shared" si="43"/>
        <v>3927134.26</v>
      </c>
      <c r="M171" s="985">
        <f t="shared" si="43"/>
        <v>0</v>
      </c>
      <c r="N171" s="985">
        <f t="shared" si="43"/>
        <v>0</v>
      </c>
      <c r="O171" s="985">
        <f t="shared" si="43"/>
        <v>3927134.26</v>
      </c>
      <c r="P171" s="985">
        <f t="shared" si="43"/>
        <v>0</v>
      </c>
      <c r="Q171" s="985">
        <f t="shared" si="43"/>
        <v>0</v>
      </c>
      <c r="R171" s="991" t="s">
        <v>40</v>
      </c>
      <c r="S171" s="991" t="s">
        <v>40</v>
      </c>
    </row>
    <row r="172" spans="1:19" s="1019" customFormat="1" ht="40.9" customHeight="1">
      <c r="A172" s="1114">
        <v>114</v>
      </c>
      <c r="B172" s="1111" t="s">
        <v>1711</v>
      </c>
      <c r="C172" s="1116">
        <v>1976</v>
      </c>
      <c r="D172" s="1116"/>
      <c r="E172" s="1114" t="s">
        <v>219</v>
      </c>
      <c r="F172" s="1116">
        <v>2</v>
      </c>
      <c r="G172" s="1116">
        <v>2</v>
      </c>
      <c r="H172" s="985">
        <v>790.2</v>
      </c>
      <c r="I172" s="985">
        <v>731</v>
      </c>
      <c r="J172" s="985">
        <v>731</v>
      </c>
      <c r="K172" s="1030">
        <v>22</v>
      </c>
      <c r="L172" s="986">
        <v>3927134.26</v>
      </c>
      <c r="M172" s="986">
        <v>0</v>
      </c>
      <c r="N172" s="986">
        <v>0</v>
      </c>
      <c r="O172" s="986">
        <v>3927134.26</v>
      </c>
      <c r="P172" s="993">
        <v>0</v>
      </c>
      <c r="Q172" s="986">
        <v>0</v>
      </c>
      <c r="R172" s="987">
        <v>2023</v>
      </c>
      <c r="S172" s="987">
        <v>2023</v>
      </c>
    </row>
    <row r="173" spans="1:19" s="1019" customFormat="1" ht="43.9" customHeight="1">
      <c r="A173" s="1114"/>
      <c r="B173" s="1029" t="s">
        <v>1117</v>
      </c>
      <c r="C173" s="1030"/>
      <c r="D173" s="1031"/>
      <c r="E173" s="1114"/>
      <c r="F173" s="987"/>
      <c r="G173" s="987"/>
      <c r="H173" s="985">
        <f>H174</f>
        <v>4877.2</v>
      </c>
      <c r="I173" s="985">
        <f t="shared" ref="I173:Q173" si="44">I174</f>
        <v>4877.2</v>
      </c>
      <c r="J173" s="985">
        <f t="shared" si="44"/>
        <v>2993.9</v>
      </c>
      <c r="K173" s="985">
        <f t="shared" si="44"/>
        <v>133</v>
      </c>
      <c r="L173" s="985">
        <f t="shared" si="44"/>
        <v>9677432.0500000007</v>
      </c>
      <c r="M173" s="985">
        <f t="shared" si="44"/>
        <v>0</v>
      </c>
      <c r="N173" s="985">
        <f t="shared" si="44"/>
        <v>0</v>
      </c>
      <c r="O173" s="985">
        <f t="shared" si="44"/>
        <v>9677432.0500000007</v>
      </c>
      <c r="P173" s="985">
        <f t="shared" si="44"/>
        <v>0</v>
      </c>
      <c r="Q173" s="985">
        <f t="shared" si="44"/>
        <v>0</v>
      </c>
      <c r="R173" s="991" t="s">
        <v>40</v>
      </c>
      <c r="S173" s="991" t="s">
        <v>40</v>
      </c>
    </row>
    <row r="174" spans="1:19" s="1007" customFormat="1" ht="40.15" customHeight="1">
      <c r="A174" s="1114">
        <v>115</v>
      </c>
      <c r="B174" s="1111" t="s">
        <v>1355</v>
      </c>
      <c r="C174" s="1116">
        <v>1992</v>
      </c>
      <c r="D174" s="1116"/>
      <c r="E174" s="1114" t="s">
        <v>220</v>
      </c>
      <c r="F174" s="1116">
        <v>5</v>
      </c>
      <c r="G174" s="1116">
        <v>6</v>
      </c>
      <c r="H174" s="985">
        <v>4877.2</v>
      </c>
      <c r="I174" s="985">
        <v>4877.2</v>
      </c>
      <c r="J174" s="985">
        <v>2993.9</v>
      </c>
      <c r="K174" s="1030">
        <v>133</v>
      </c>
      <c r="L174" s="986">
        <v>9677432.0500000007</v>
      </c>
      <c r="M174" s="986">
        <v>0</v>
      </c>
      <c r="N174" s="986">
        <v>0</v>
      </c>
      <c r="O174" s="986">
        <v>9677432.0500000007</v>
      </c>
      <c r="P174" s="993">
        <v>0</v>
      </c>
      <c r="Q174" s="986">
        <v>0</v>
      </c>
      <c r="R174" s="987">
        <v>2023</v>
      </c>
      <c r="S174" s="987">
        <v>2023</v>
      </c>
    </row>
    <row r="175" spans="1:19" s="1007" customFormat="1" ht="40.15" customHeight="1">
      <c r="A175" s="1114"/>
      <c r="B175" s="1426" t="s">
        <v>1256</v>
      </c>
      <c r="C175" s="1426"/>
      <c r="D175" s="1426"/>
      <c r="E175" s="1426"/>
      <c r="F175" s="1426"/>
      <c r="G175" s="1426"/>
      <c r="H175" s="985">
        <f t="shared" ref="H175:Q175" si="45">SUM(H176:H177)</f>
        <v>2280.1999999999998</v>
      </c>
      <c r="I175" s="985">
        <f t="shared" si="45"/>
        <v>2225.4499999999998</v>
      </c>
      <c r="J175" s="985">
        <f t="shared" si="45"/>
        <v>2195.35</v>
      </c>
      <c r="K175" s="985">
        <f t="shared" si="45"/>
        <v>161</v>
      </c>
      <c r="L175" s="985">
        <f t="shared" si="45"/>
        <v>6654419.5700000003</v>
      </c>
      <c r="M175" s="985">
        <f t="shared" si="45"/>
        <v>0</v>
      </c>
      <c r="N175" s="985">
        <f t="shared" si="45"/>
        <v>0</v>
      </c>
      <c r="O175" s="985">
        <f t="shared" si="45"/>
        <v>6654419.5700000003</v>
      </c>
      <c r="P175" s="985">
        <f t="shared" si="45"/>
        <v>0</v>
      </c>
      <c r="Q175" s="985">
        <f t="shared" si="45"/>
        <v>0</v>
      </c>
      <c r="R175" s="991" t="s">
        <v>40</v>
      </c>
      <c r="S175" s="991" t="s">
        <v>40</v>
      </c>
    </row>
    <row r="176" spans="1:19" s="1007" customFormat="1" ht="40.15" customHeight="1">
      <c r="A176" s="1021">
        <v>116</v>
      </c>
      <c r="B176" s="1127" t="s">
        <v>1316</v>
      </c>
      <c r="C176" s="1017">
        <v>1961</v>
      </c>
      <c r="D176" s="1154">
        <v>2020</v>
      </c>
      <c r="E176" s="1114" t="s">
        <v>218</v>
      </c>
      <c r="F176" s="1017">
        <v>2</v>
      </c>
      <c r="G176" s="1017">
        <v>1</v>
      </c>
      <c r="H176" s="1023">
        <v>335.2</v>
      </c>
      <c r="I176" s="1018">
        <v>310</v>
      </c>
      <c r="J176" s="1018">
        <v>310</v>
      </c>
      <c r="K176" s="1008">
        <v>12</v>
      </c>
      <c r="L176" s="1018">
        <v>3314848.33</v>
      </c>
      <c r="M176" s="1018">
        <v>0</v>
      </c>
      <c r="N176" s="1018">
        <v>0</v>
      </c>
      <c r="O176" s="1018">
        <v>3314848.33</v>
      </c>
      <c r="P176" s="1018">
        <v>0</v>
      </c>
      <c r="Q176" s="1018">
        <v>0</v>
      </c>
      <c r="R176" s="1022">
        <v>2023</v>
      </c>
      <c r="S176" s="1022">
        <v>2023</v>
      </c>
    </row>
    <row r="177" spans="1:19" s="1007" customFormat="1" ht="40.15" customHeight="1">
      <c r="A177" s="1021">
        <v>117</v>
      </c>
      <c r="B177" s="1127" t="s">
        <v>1508</v>
      </c>
      <c r="C177" s="1017">
        <v>1983</v>
      </c>
      <c r="D177" s="1154"/>
      <c r="E177" s="1114" t="s">
        <v>218</v>
      </c>
      <c r="F177" s="1017">
        <v>5</v>
      </c>
      <c r="G177" s="1017">
        <v>1</v>
      </c>
      <c r="H177" s="1023">
        <v>1945</v>
      </c>
      <c r="I177" s="1018">
        <v>1915.45</v>
      </c>
      <c r="J177" s="1018">
        <v>1885.35</v>
      </c>
      <c r="K177" s="1008">
        <v>149</v>
      </c>
      <c r="L177" s="1018">
        <v>3339571.24</v>
      </c>
      <c r="M177" s="1018">
        <v>0</v>
      </c>
      <c r="N177" s="1018">
        <v>0</v>
      </c>
      <c r="O177" s="1018">
        <v>3339571.24</v>
      </c>
      <c r="P177" s="1018">
        <v>0</v>
      </c>
      <c r="Q177" s="1018">
        <v>0</v>
      </c>
      <c r="R177" s="1022">
        <v>2023</v>
      </c>
      <c r="S177" s="1022">
        <v>2023</v>
      </c>
    </row>
    <row r="178" spans="1:19" s="1020" customFormat="1" ht="40.9" customHeight="1">
      <c r="A178" s="1114"/>
      <c r="B178" s="1426" t="s">
        <v>66</v>
      </c>
      <c r="C178" s="1426"/>
      <c r="D178" s="1426"/>
      <c r="E178" s="1426"/>
      <c r="F178" s="1426"/>
      <c r="G178" s="1426"/>
      <c r="H178" s="985">
        <f>H179</f>
        <v>599.79999999999995</v>
      </c>
      <c r="I178" s="985">
        <f t="shared" ref="I178:Q179" si="46">I179</f>
        <v>482.2</v>
      </c>
      <c r="J178" s="985">
        <f t="shared" si="46"/>
        <v>256.8</v>
      </c>
      <c r="K178" s="1030">
        <f t="shared" si="46"/>
        <v>9</v>
      </c>
      <c r="L178" s="985">
        <f t="shared" si="46"/>
        <v>8284127.5899999999</v>
      </c>
      <c r="M178" s="985">
        <f t="shared" si="46"/>
        <v>0</v>
      </c>
      <c r="N178" s="985">
        <f t="shared" si="46"/>
        <v>0</v>
      </c>
      <c r="O178" s="985">
        <f t="shared" si="46"/>
        <v>8284127.5899999999</v>
      </c>
      <c r="P178" s="985">
        <f t="shared" si="46"/>
        <v>0</v>
      </c>
      <c r="Q178" s="985">
        <f t="shared" si="46"/>
        <v>0</v>
      </c>
      <c r="R178" s="991" t="s">
        <v>40</v>
      </c>
      <c r="S178" s="991" t="s">
        <v>40</v>
      </c>
    </row>
    <row r="179" spans="1:19" s="1020" customFormat="1" ht="40.9" customHeight="1">
      <c r="A179" s="1114"/>
      <c r="B179" s="1426" t="s">
        <v>1035</v>
      </c>
      <c r="C179" s="1426"/>
      <c r="D179" s="1426"/>
      <c r="E179" s="1426"/>
      <c r="F179" s="1426"/>
      <c r="G179" s="1426"/>
      <c r="H179" s="985">
        <f>H180</f>
        <v>599.79999999999995</v>
      </c>
      <c r="I179" s="985">
        <f t="shared" si="46"/>
        <v>482.2</v>
      </c>
      <c r="J179" s="985">
        <f t="shared" si="46"/>
        <v>256.8</v>
      </c>
      <c r="K179" s="985">
        <f t="shared" si="46"/>
        <v>9</v>
      </c>
      <c r="L179" s="985">
        <f t="shared" si="46"/>
        <v>8284127.5899999999</v>
      </c>
      <c r="M179" s="985">
        <f t="shared" si="46"/>
        <v>0</v>
      </c>
      <c r="N179" s="985">
        <f t="shared" si="46"/>
        <v>0</v>
      </c>
      <c r="O179" s="985">
        <f t="shared" si="46"/>
        <v>8284127.5899999999</v>
      </c>
      <c r="P179" s="985">
        <f t="shared" si="46"/>
        <v>0</v>
      </c>
      <c r="Q179" s="985">
        <f t="shared" si="46"/>
        <v>0</v>
      </c>
      <c r="R179" s="991" t="s">
        <v>40</v>
      </c>
      <c r="S179" s="991" t="s">
        <v>40</v>
      </c>
    </row>
    <row r="180" spans="1:19" s="1020" customFormat="1" ht="40.9" customHeight="1">
      <c r="A180" s="1114">
        <v>118</v>
      </c>
      <c r="B180" s="1111" t="s">
        <v>1504</v>
      </c>
      <c r="C180" s="1116">
        <v>1810</v>
      </c>
      <c r="D180" s="1116"/>
      <c r="E180" s="1114" t="s">
        <v>218</v>
      </c>
      <c r="F180" s="1116">
        <v>2</v>
      </c>
      <c r="G180" s="1116">
        <v>1</v>
      </c>
      <c r="H180" s="985">
        <v>599.79999999999995</v>
      </c>
      <c r="I180" s="985">
        <v>482.2</v>
      </c>
      <c r="J180" s="985">
        <v>256.8</v>
      </c>
      <c r="K180" s="1030">
        <v>9</v>
      </c>
      <c r="L180" s="986">
        <v>8284127.5899999999</v>
      </c>
      <c r="M180" s="986">
        <v>0</v>
      </c>
      <c r="N180" s="986">
        <v>0</v>
      </c>
      <c r="O180" s="986">
        <v>8284127.5899999999</v>
      </c>
      <c r="P180" s="993">
        <f t="shared" ref="P180" si="47">Q180</f>
        <v>0</v>
      </c>
      <c r="Q180" s="986">
        <v>0</v>
      </c>
      <c r="R180" s="987">
        <v>2023</v>
      </c>
      <c r="S180" s="987">
        <v>2023</v>
      </c>
    </row>
    <row r="181" spans="1:19" s="1020" customFormat="1" ht="44.45" customHeight="1">
      <c r="A181" s="1114"/>
      <c r="B181" s="1426" t="s">
        <v>207</v>
      </c>
      <c r="C181" s="1426"/>
      <c r="D181" s="1426"/>
      <c r="E181" s="1426"/>
      <c r="F181" s="1426"/>
      <c r="G181" s="1426"/>
      <c r="H181" s="985">
        <f>SUM(H182:H184)</f>
        <v>9522.2099999999991</v>
      </c>
      <c r="I181" s="985">
        <f t="shared" ref="I181:Q181" si="48">SUM(I182:I184)</f>
        <v>9522.2099999999991</v>
      </c>
      <c r="J181" s="985">
        <f t="shared" si="48"/>
        <v>8222.2099999999991</v>
      </c>
      <c r="K181" s="985">
        <f t="shared" si="48"/>
        <v>305</v>
      </c>
      <c r="L181" s="985">
        <f t="shared" si="48"/>
        <v>14503389.620000001</v>
      </c>
      <c r="M181" s="985">
        <f t="shared" si="48"/>
        <v>0</v>
      </c>
      <c r="N181" s="985">
        <f t="shared" si="48"/>
        <v>0</v>
      </c>
      <c r="O181" s="985">
        <f t="shared" si="48"/>
        <v>14503389.620000001</v>
      </c>
      <c r="P181" s="985">
        <f t="shared" si="48"/>
        <v>0</v>
      </c>
      <c r="Q181" s="985">
        <f t="shared" si="48"/>
        <v>0</v>
      </c>
      <c r="R181" s="991" t="s">
        <v>40</v>
      </c>
      <c r="S181" s="991" t="s">
        <v>40</v>
      </c>
    </row>
    <row r="182" spans="1:19" s="1020" customFormat="1" ht="42" customHeight="1">
      <c r="A182" s="1022">
        <v>119</v>
      </c>
      <c r="B182" s="1138" t="s">
        <v>1683</v>
      </c>
      <c r="C182" s="1022">
        <v>1982</v>
      </c>
      <c r="D182" s="1155"/>
      <c r="E182" s="1114" t="s">
        <v>219</v>
      </c>
      <c r="F182" s="1022">
        <v>5</v>
      </c>
      <c r="G182" s="1022">
        <v>4</v>
      </c>
      <c r="H182" s="1025">
        <v>3059.61</v>
      </c>
      <c r="I182" s="1025">
        <v>3059.61</v>
      </c>
      <c r="J182" s="1025">
        <v>3059.61</v>
      </c>
      <c r="K182" s="1156">
        <v>100</v>
      </c>
      <c r="L182" s="985">
        <v>3762059.91</v>
      </c>
      <c r="M182" s="1157">
        <v>0</v>
      </c>
      <c r="N182" s="1157">
        <v>0</v>
      </c>
      <c r="O182" s="1025">
        <v>3762059.91</v>
      </c>
      <c r="P182" s="1157">
        <v>0</v>
      </c>
      <c r="Q182" s="1157">
        <v>0</v>
      </c>
      <c r="R182" s="987">
        <v>2023</v>
      </c>
      <c r="S182" s="987">
        <v>2023</v>
      </c>
    </row>
    <row r="183" spans="1:19" s="1020" customFormat="1" ht="43.15" customHeight="1">
      <c r="A183" s="1022">
        <v>120</v>
      </c>
      <c r="B183" s="1138" t="s">
        <v>1684</v>
      </c>
      <c r="C183" s="1022">
        <v>1976</v>
      </c>
      <c r="D183" s="1155"/>
      <c r="E183" s="1114" t="s">
        <v>218</v>
      </c>
      <c r="F183" s="1022">
        <v>2</v>
      </c>
      <c r="G183" s="1022">
        <v>2</v>
      </c>
      <c r="H183" s="1025">
        <v>588.1</v>
      </c>
      <c r="I183" s="1025">
        <v>588.1</v>
      </c>
      <c r="J183" s="1025">
        <v>539.70000000000005</v>
      </c>
      <c r="K183" s="1156">
        <v>23</v>
      </c>
      <c r="L183" s="1025">
        <v>3063337.04</v>
      </c>
      <c r="M183" s="1157">
        <v>0</v>
      </c>
      <c r="N183" s="1157">
        <v>0</v>
      </c>
      <c r="O183" s="1025">
        <f>L183</f>
        <v>3063337.04</v>
      </c>
      <c r="P183" s="1157">
        <v>0</v>
      </c>
      <c r="Q183" s="1157">
        <v>0</v>
      </c>
      <c r="R183" s="987">
        <v>2023</v>
      </c>
      <c r="S183" s="987">
        <v>2023</v>
      </c>
    </row>
    <row r="184" spans="1:19" s="1020" customFormat="1" ht="43.15" customHeight="1">
      <c r="A184" s="1022">
        <v>121</v>
      </c>
      <c r="B184" s="1138" t="s">
        <v>428</v>
      </c>
      <c r="C184" s="1022">
        <v>1983</v>
      </c>
      <c r="D184" s="1155"/>
      <c r="E184" s="1114" t="s">
        <v>218</v>
      </c>
      <c r="F184" s="1022">
        <v>9</v>
      </c>
      <c r="G184" s="1022">
        <v>1</v>
      </c>
      <c r="H184" s="1025">
        <v>5874.5</v>
      </c>
      <c r="I184" s="1025">
        <v>5874.5</v>
      </c>
      <c r="J184" s="1025">
        <v>4622.8999999999996</v>
      </c>
      <c r="K184" s="1156">
        <v>182</v>
      </c>
      <c r="L184" s="1025">
        <v>7677992.6699999999</v>
      </c>
      <c r="M184" s="1157">
        <v>0</v>
      </c>
      <c r="N184" s="1157">
        <v>0</v>
      </c>
      <c r="O184" s="1025">
        <v>7677992.6699999999</v>
      </c>
      <c r="P184" s="1157">
        <v>0</v>
      </c>
      <c r="Q184" s="1157">
        <v>0</v>
      </c>
      <c r="R184" s="987">
        <v>2023</v>
      </c>
      <c r="S184" s="987">
        <v>2023</v>
      </c>
    </row>
    <row r="185" spans="1:19" s="2" customFormat="1" ht="39.6" customHeight="1">
      <c r="A185" s="1430" t="s">
        <v>35</v>
      </c>
      <c r="B185" s="1430"/>
      <c r="C185" s="1430"/>
      <c r="D185" s="1430"/>
      <c r="E185" s="1430"/>
      <c r="F185" s="1430"/>
      <c r="G185" s="1430"/>
      <c r="H185" s="1430"/>
      <c r="I185" s="1430"/>
      <c r="J185" s="1430"/>
      <c r="K185" s="1430"/>
      <c r="L185" s="1430"/>
      <c r="M185" s="1430"/>
      <c r="N185" s="1430"/>
      <c r="O185" s="1430"/>
      <c r="P185" s="1430"/>
      <c r="Q185" s="1430"/>
      <c r="R185" s="1430"/>
      <c r="S185" s="1430"/>
    </row>
    <row r="186" spans="1:19" s="2" customFormat="1" ht="43.9" customHeight="1">
      <c r="A186" s="1114"/>
      <c r="B186" s="1427" t="s">
        <v>42</v>
      </c>
      <c r="C186" s="1427"/>
      <c r="D186" s="1427"/>
      <c r="E186" s="1427"/>
      <c r="F186" s="1427"/>
      <c r="G186" s="1427"/>
      <c r="H186" s="985">
        <v>0</v>
      </c>
      <c r="I186" s="985">
        <v>0</v>
      </c>
      <c r="J186" s="985">
        <v>0</v>
      </c>
      <c r="K186" s="1030">
        <v>0</v>
      </c>
      <c r="L186" s="985">
        <v>0</v>
      </c>
      <c r="M186" s="985">
        <v>0</v>
      </c>
      <c r="N186" s="985">
        <v>0</v>
      </c>
      <c r="O186" s="985">
        <v>0</v>
      </c>
      <c r="P186" s="985">
        <v>0</v>
      </c>
      <c r="Q186" s="985">
        <v>0</v>
      </c>
      <c r="R186" s="991" t="s">
        <v>40</v>
      </c>
      <c r="S186" s="1116" t="s">
        <v>40</v>
      </c>
    </row>
    <row r="187" spans="1:19" s="2" customFormat="1" ht="42.6" customHeight="1">
      <c r="A187" s="1430" t="s">
        <v>1051</v>
      </c>
      <c r="B187" s="1430"/>
      <c r="C187" s="1430"/>
      <c r="D187" s="1430"/>
      <c r="E187" s="1430"/>
      <c r="F187" s="1430"/>
      <c r="G187" s="1430"/>
      <c r="H187" s="1430"/>
      <c r="I187" s="1430"/>
      <c r="J187" s="1430"/>
      <c r="K187" s="1430"/>
      <c r="L187" s="1430"/>
      <c r="M187" s="1430"/>
      <c r="N187" s="1430"/>
      <c r="O187" s="1430"/>
      <c r="P187" s="1430"/>
      <c r="Q187" s="1430"/>
      <c r="R187" s="1430"/>
      <c r="S187" s="1430"/>
    </row>
    <row r="188" spans="1:19" s="2" customFormat="1" ht="43.15" customHeight="1">
      <c r="A188" s="1114"/>
      <c r="B188" s="1427" t="s">
        <v>42</v>
      </c>
      <c r="C188" s="1427"/>
      <c r="D188" s="1427"/>
      <c r="E188" s="1427"/>
      <c r="F188" s="1427"/>
      <c r="G188" s="1427"/>
      <c r="H188" s="985">
        <f>H189</f>
        <v>21449.000000000004</v>
      </c>
      <c r="I188" s="985">
        <f t="shared" ref="I188:Q188" si="49">I189</f>
        <v>17826.599999999999</v>
      </c>
      <c r="J188" s="985">
        <f t="shared" si="49"/>
        <v>17826.599999999999</v>
      </c>
      <c r="K188" s="985">
        <f t="shared" si="49"/>
        <v>606</v>
      </c>
      <c r="L188" s="985">
        <f t="shared" si="49"/>
        <v>4141657</v>
      </c>
      <c r="M188" s="985">
        <f t="shared" si="49"/>
        <v>0</v>
      </c>
      <c r="N188" s="985">
        <f t="shared" si="49"/>
        <v>1096851</v>
      </c>
      <c r="O188" s="985">
        <f t="shared" si="49"/>
        <v>3044806</v>
      </c>
      <c r="P188" s="985">
        <f t="shared" si="49"/>
        <v>0</v>
      </c>
      <c r="Q188" s="985">
        <f t="shared" si="49"/>
        <v>0</v>
      </c>
      <c r="R188" s="991" t="s">
        <v>40</v>
      </c>
      <c r="S188" s="1116" t="s">
        <v>40</v>
      </c>
    </row>
    <row r="189" spans="1:19" s="2" customFormat="1" ht="40.15" customHeight="1">
      <c r="A189" s="1114"/>
      <c r="B189" s="1427" t="s">
        <v>1101</v>
      </c>
      <c r="C189" s="1427"/>
      <c r="D189" s="1427"/>
      <c r="E189" s="1427"/>
      <c r="F189" s="1427"/>
      <c r="G189" s="1427"/>
      <c r="H189" s="985">
        <f>SUM(H190:H210)</f>
        <v>21449.000000000004</v>
      </c>
      <c r="I189" s="985">
        <f t="shared" ref="I189:Q189" si="50">SUM(I190:I210)</f>
        <v>17826.599999999999</v>
      </c>
      <c r="J189" s="985">
        <f t="shared" si="50"/>
        <v>17826.599999999999</v>
      </c>
      <c r="K189" s="985">
        <f t="shared" si="50"/>
        <v>606</v>
      </c>
      <c r="L189" s="985">
        <f t="shared" si="50"/>
        <v>4141657</v>
      </c>
      <c r="M189" s="985">
        <f t="shared" si="50"/>
        <v>0</v>
      </c>
      <c r="N189" s="985">
        <f t="shared" si="50"/>
        <v>1096851</v>
      </c>
      <c r="O189" s="985">
        <f t="shared" si="50"/>
        <v>3044806</v>
      </c>
      <c r="P189" s="985">
        <f t="shared" si="50"/>
        <v>0</v>
      </c>
      <c r="Q189" s="985">
        <f t="shared" si="50"/>
        <v>0</v>
      </c>
      <c r="R189" s="1118" t="s">
        <v>40</v>
      </c>
      <c r="S189" s="1118" t="s">
        <v>40</v>
      </c>
    </row>
    <row r="190" spans="1:19" s="988" customFormat="1" ht="41.45" customHeight="1">
      <c r="A190" s="1021">
        <v>122</v>
      </c>
      <c r="B190" s="1112" t="s">
        <v>1187</v>
      </c>
      <c r="C190" s="1022">
        <v>1968</v>
      </c>
      <c r="D190" s="1116">
        <v>2021</v>
      </c>
      <c r="E190" s="1114" t="s">
        <v>220</v>
      </c>
      <c r="F190" s="1022">
        <v>2</v>
      </c>
      <c r="G190" s="1022">
        <v>2</v>
      </c>
      <c r="H190" s="1025">
        <v>555.1</v>
      </c>
      <c r="I190" s="1025">
        <v>533.29999999999995</v>
      </c>
      <c r="J190" s="1025">
        <v>533.29999999999995</v>
      </c>
      <c r="K190" s="1022">
        <v>19</v>
      </c>
      <c r="L190" s="985">
        <f>N190+O190</f>
        <v>327980</v>
      </c>
      <c r="M190" s="1136">
        <v>0</v>
      </c>
      <c r="N190" s="1025">
        <v>98394</v>
      </c>
      <c r="O190" s="1025">
        <v>229586</v>
      </c>
      <c r="P190" s="1136">
        <v>0</v>
      </c>
      <c r="Q190" s="985">
        <v>0</v>
      </c>
      <c r="R190" s="1022">
        <v>2023</v>
      </c>
      <c r="S190" s="1032">
        <v>2023</v>
      </c>
    </row>
    <row r="191" spans="1:19" s="988" customFormat="1" ht="42" customHeight="1">
      <c r="A191" s="1021">
        <v>123</v>
      </c>
      <c r="B191" s="1112" t="s">
        <v>1184</v>
      </c>
      <c r="C191" s="1022">
        <v>1971</v>
      </c>
      <c r="D191" s="1032">
        <v>2021</v>
      </c>
      <c r="E191" s="1114" t="s">
        <v>218</v>
      </c>
      <c r="F191" s="1022">
        <v>2</v>
      </c>
      <c r="G191" s="1022">
        <v>1</v>
      </c>
      <c r="H191" s="1025">
        <v>352.1</v>
      </c>
      <c r="I191" s="1025">
        <v>303.3</v>
      </c>
      <c r="J191" s="1025">
        <v>303.3</v>
      </c>
      <c r="K191" s="1022">
        <v>12</v>
      </c>
      <c r="L191" s="985">
        <f t="shared" ref="L191:L210" si="51">N191+O191</f>
        <v>127310</v>
      </c>
      <c r="M191" s="1136">
        <v>0</v>
      </c>
      <c r="N191" s="1025">
        <v>38193</v>
      </c>
      <c r="O191" s="1025">
        <v>89117</v>
      </c>
      <c r="P191" s="1136">
        <v>0</v>
      </c>
      <c r="Q191" s="985">
        <v>0</v>
      </c>
      <c r="R191" s="1022">
        <v>2023</v>
      </c>
      <c r="S191" s="1032">
        <v>2023</v>
      </c>
    </row>
    <row r="192" spans="1:19" s="988" customFormat="1" ht="42" customHeight="1">
      <c r="A192" s="1021">
        <v>124</v>
      </c>
      <c r="B192" s="1112" t="s">
        <v>1182</v>
      </c>
      <c r="C192" s="1022">
        <v>1972</v>
      </c>
      <c r="D192" s="1032">
        <v>2021</v>
      </c>
      <c r="E192" s="1114" t="s">
        <v>218</v>
      </c>
      <c r="F192" s="1022">
        <v>2</v>
      </c>
      <c r="G192" s="1022">
        <v>3</v>
      </c>
      <c r="H192" s="1025">
        <v>960.1</v>
      </c>
      <c r="I192" s="1025">
        <v>933.3</v>
      </c>
      <c r="J192" s="1025">
        <v>933.3</v>
      </c>
      <c r="K192" s="1022">
        <v>28</v>
      </c>
      <c r="L192" s="985">
        <f t="shared" si="51"/>
        <v>264124</v>
      </c>
      <c r="M192" s="1136">
        <v>0</v>
      </c>
      <c r="N192" s="1025">
        <v>79237</v>
      </c>
      <c r="O192" s="1025">
        <v>184887</v>
      </c>
      <c r="P192" s="1136">
        <v>0</v>
      </c>
      <c r="Q192" s="985">
        <v>0</v>
      </c>
      <c r="R192" s="1022">
        <v>2023</v>
      </c>
      <c r="S192" s="1032">
        <v>2023</v>
      </c>
    </row>
    <row r="193" spans="1:19" s="2" customFormat="1" ht="42" customHeight="1">
      <c r="A193" s="1021">
        <v>125</v>
      </c>
      <c r="B193" s="1112" t="s">
        <v>1235</v>
      </c>
      <c r="C193" s="1022">
        <v>1974</v>
      </c>
      <c r="D193" s="1032">
        <v>2022</v>
      </c>
      <c r="E193" s="1114" t="s">
        <v>218</v>
      </c>
      <c r="F193" s="1022">
        <v>2</v>
      </c>
      <c r="G193" s="1022">
        <v>2</v>
      </c>
      <c r="H193" s="1025">
        <v>752.3</v>
      </c>
      <c r="I193" s="1025">
        <v>732.5</v>
      </c>
      <c r="J193" s="1025">
        <v>732.5</v>
      </c>
      <c r="K193" s="1022">
        <v>24</v>
      </c>
      <c r="L193" s="985">
        <f t="shared" si="51"/>
        <v>175068</v>
      </c>
      <c r="M193" s="1136">
        <v>0</v>
      </c>
      <c r="N193" s="1025">
        <v>52520</v>
      </c>
      <c r="O193" s="1025">
        <v>122548</v>
      </c>
      <c r="P193" s="1136">
        <v>0</v>
      </c>
      <c r="Q193" s="985">
        <v>0</v>
      </c>
      <c r="R193" s="1022">
        <v>2023</v>
      </c>
      <c r="S193" s="1032">
        <v>2023</v>
      </c>
    </row>
    <row r="194" spans="1:19" s="992" customFormat="1" ht="39.6" customHeight="1">
      <c r="A194" s="1021">
        <v>126</v>
      </c>
      <c r="B194" s="1112" t="s">
        <v>1183</v>
      </c>
      <c r="C194" s="1022">
        <v>1985</v>
      </c>
      <c r="D194" s="1032">
        <v>2021</v>
      </c>
      <c r="E194" s="1114" t="s">
        <v>219</v>
      </c>
      <c r="F194" s="1022">
        <v>3</v>
      </c>
      <c r="G194" s="1022">
        <v>2</v>
      </c>
      <c r="H194" s="1025">
        <v>1235.9000000000001</v>
      </c>
      <c r="I194" s="1025">
        <v>762.4</v>
      </c>
      <c r="J194" s="1025">
        <v>762.4</v>
      </c>
      <c r="K194" s="1022">
        <v>23</v>
      </c>
      <c r="L194" s="985">
        <f t="shared" si="51"/>
        <v>182214</v>
      </c>
      <c r="M194" s="1136">
        <v>0</v>
      </c>
      <c r="N194" s="1025">
        <v>36443</v>
      </c>
      <c r="O194" s="1025">
        <v>145771</v>
      </c>
      <c r="P194" s="1136">
        <v>0</v>
      </c>
      <c r="Q194" s="985">
        <v>0</v>
      </c>
      <c r="R194" s="1022">
        <v>2023</v>
      </c>
      <c r="S194" s="1032">
        <v>2023</v>
      </c>
    </row>
    <row r="195" spans="1:19" s="992" customFormat="1" ht="40.9" customHeight="1">
      <c r="A195" s="1021">
        <v>127</v>
      </c>
      <c r="B195" s="1112" t="s">
        <v>1107</v>
      </c>
      <c r="C195" s="1022">
        <v>1980</v>
      </c>
      <c r="D195" s="1032">
        <v>2020</v>
      </c>
      <c r="E195" s="1114" t="s">
        <v>220</v>
      </c>
      <c r="F195" s="1022">
        <v>2</v>
      </c>
      <c r="G195" s="1022">
        <v>2</v>
      </c>
      <c r="H195" s="1025">
        <v>808</v>
      </c>
      <c r="I195" s="1025">
        <v>670.5</v>
      </c>
      <c r="J195" s="1025">
        <v>670.5</v>
      </c>
      <c r="K195" s="1022">
        <v>25</v>
      </c>
      <c r="L195" s="985">
        <f t="shared" si="51"/>
        <v>62000</v>
      </c>
      <c r="M195" s="1136">
        <v>0</v>
      </c>
      <c r="N195" s="1025">
        <v>18600</v>
      </c>
      <c r="O195" s="1025">
        <v>43400</v>
      </c>
      <c r="P195" s="1136">
        <v>0</v>
      </c>
      <c r="Q195" s="985">
        <v>0</v>
      </c>
      <c r="R195" s="1022">
        <v>2023</v>
      </c>
      <c r="S195" s="1032">
        <v>2023</v>
      </c>
    </row>
    <row r="196" spans="1:19" s="992" customFormat="1" ht="39.6" customHeight="1">
      <c r="A196" s="1021">
        <v>128</v>
      </c>
      <c r="B196" s="1112" t="s">
        <v>1233</v>
      </c>
      <c r="C196" s="1022">
        <v>1977</v>
      </c>
      <c r="D196" s="1032">
        <v>2016</v>
      </c>
      <c r="E196" s="1022" t="s">
        <v>220</v>
      </c>
      <c r="F196" s="1022">
        <v>2</v>
      </c>
      <c r="G196" s="1022">
        <v>2</v>
      </c>
      <c r="H196" s="1025">
        <v>836.8</v>
      </c>
      <c r="I196" s="1025">
        <v>783.6</v>
      </c>
      <c r="J196" s="1025">
        <v>783.6</v>
      </c>
      <c r="K196" s="1022">
        <v>32</v>
      </c>
      <c r="L196" s="985">
        <f t="shared" si="51"/>
        <v>62000</v>
      </c>
      <c r="M196" s="1136">
        <v>0</v>
      </c>
      <c r="N196" s="1025">
        <v>6200</v>
      </c>
      <c r="O196" s="1025">
        <v>55800</v>
      </c>
      <c r="P196" s="1136">
        <v>0</v>
      </c>
      <c r="Q196" s="985">
        <v>0</v>
      </c>
      <c r="R196" s="1022">
        <v>2023</v>
      </c>
      <c r="S196" s="1032">
        <v>2023</v>
      </c>
    </row>
    <row r="197" spans="1:19" s="992" customFormat="1" ht="40.9" customHeight="1">
      <c r="A197" s="1021">
        <v>129</v>
      </c>
      <c r="B197" s="1112" t="s">
        <v>1393</v>
      </c>
      <c r="C197" s="1022">
        <v>1989</v>
      </c>
      <c r="D197" s="1032">
        <v>2018</v>
      </c>
      <c r="E197" s="1114" t="s">
        <v>218</v>
      </c>
      <c r="F197" s="1022">
        <v>2</v>
      </c>
      <c r="G197" s="1022">
        <v>2</v>
      </c>
      <c r="H197" s="1025">
        <v>807.3</v>
      </c>
      <c r="I197" s="1025">
        <v>741.3</v>
      </c>
      <c r="J197" s="1025">
        <v>741.3</v>
      </c>
      <c r="K197" s="1022">
        <v>20</v>
      </c>
      <c r="L197" s="985">
        <f t="shared" si="51"/>
        <v>318425</v>
      </c>
      <c r="M197" s="1136">
        <v>0</v>
      </c>
      <c r="N197" s="1025">
        <v>63685</v>
      </c>
      <c r="O197" s="1025">
        <v>254740</v>
      </c>
      <c r="P197" s="1136">
        <v>0</v>
      </c>
      <c r="Q197" s="985">
        <v>0</v>
      </c>
      <c r="R197" s="1022">
        <v>2023</v>
      </c>
      <c r="S197" s="1032">
        <v>2023</v>
      </c>
    </row>
    <row r="198" spans="1:19" s="1033" customFormat="1" ht="39.6" customHeight="1">
      <c r="A198" s="1021">
        <v>130</v>
      </c>
      <c r="B198" s="1112" t="s">
        <v>1114</v>
      </c>
      <c r="C198" s="1022">
        <v>1989</v>
      </c>
      <c r="D198" s="1032">
        <v>2021</v>
      </c>
      <c r="E198" s="1114" t="s">
        <v>218</v>
      </c>
      <c r="F198" s="1022">
        <v>5</v>
      </c>
      <c r="G198" s="1022">
        <v>6</v>
      </c>
      <c r="H198" s="1025">
        <v>5612.1</v>
      </c>
      <c r="I198" s="1025">
        <v>4066.3</v>
      </c>
      <c r="J198" s="1025">
        <v>4066.3</v>
      </c>
      <c r="K198" s="1022">
        <v>123</v>
      </c>
      <c r="L198" s="985">
        <f t="shared" si="51"/>
        <v>205000</v>
      </c>
      <c r="M198" s="1136">
        <v>0</v>
      </c>
      <c r="N198" s="1025">
        <v>61500</v>
      </c>
      <c r="O198" s="1025">
        <v>143500</v>
      </c>
      <c r="P198" s="1136">
        <v>0</v>
      </c>
      <c r="Q198" s="985">
        <v>0</v>
      </c>
      <c r="R198" s="1022">
        <v>2023</v>
      </c>
      <c r="S198" s="1032">
        <v>2023</v>
      </c>
    </row>
    <row r="199" spans="1:19" s="1033" customFormat="1" ht="40.15" customHeight="1">
      <c r="A199" s="1021">
        <v>131</v>
      </c>
      <c r="B199" s="1112" t="s">
        <v>1394</v>
      </c>
      <c r="C199" s="1022">
        <v>1978</v>
      </c>
      <c r="D199" s="1032">
        <v>2016</v>
      </c>
      <c r="E199" s="1114" t="s">
        <v>220</v>
      </c>
      <c r="F199" s="1022">
        <v>2</v>
      </c>
      <c r="G199" s="1022">
        <v>2</v>
      </c>
      <c r="H199" s="1025">
        <v>825.5</v>
      </c>
      <c r="I199" s="1025">
        <v>761.5</v>
      </c>
      <c r="J199" s="1025">
        <v>761.5</v>
      </c>
      <c r="K199" s="1022">
        <v>23</v>
      </c>
      <c r="L199" s="985">
        <f t="shared" si="51"/>
        <v>530323</v>
      </c>
      <c r="M199" s="1136">
        <v>0</v>
      </c>
      <c r="N199" s="1025">
        <v>106065</v>
      </c>
      <c r="O199" s="1025">
        <v>424258</v>
      </c>
      <c r="P199" s="1136">
        <v>0</v>
      </c>
      <c r="Q199" s="985">
        <v>0</v>
      </c>
      <c r="R199" s="1022">
        <v>2023</v>
      </c>
      <c r="S199" s="1032">
        <v>2023</v>
      </c>
    </row>
    <row r="200" spans="1:19" s="2" customFormat="1" ht="40.15" customHeight="1">
      <c r="A200" s="1021">
        <v>132</v>
      </c>
      <c r="B200" s="1112" t="s">
        <v>1234</v>
      </c>
      <c r="C200" s="1022">
        <v>1984</v>
      </c>
      <c r="D200" s="1032">
        <v>2022</v>
      </c>
      <c r="E200" s="1114" t="s">
        <v>218</v>
      </c>
      <c r="F200" s="1022">
        <v>2</v>
      </c>
      <c r="G200" s="1022">
        <v>3</v>
      </c>
      <c r="H200" s="1025">
        <v>1390.5</v>
      </c>
      <c r="I200" s="1025">
        <v>833.8</v>
      </c>
      <c r="J200" s="1025">
        <v>833.8</v>
      </c>
      <c r="K200" s="1022">
        <v>37</v>
      </c>
      <c r="L200" s="985">
        <f t="shared" si="51"/>
        <v>336985</v>
      </c>
      <c r="M200" s="1136">
        <v>0</v>
      </c>
      <c r="N200" s="1025">
        <v>101095</v>
      </c>
      <c r="O200" s="1025">
        <v>235890</v>
      </c>
      <c r="P200" s="1136">
        <v>0</v>
      </c>
      <c r="Q200" s="985">
        <v>0</v>
      </c>
      <c r="R200" s="1022">
        <v>2023</v>
      </c>
      <c r="S200" s="1032">
        <v>2023</v>
      </c>
    </row>
    <row r="201" spans="1:19" s="2" customFormat="1" ht="40.15" customHeight="1">
      <c r="A201" s="1021">
        <v>133</v>
      </c>
      <c r="B201" s="1112" t="s">
        <v>1395</v>
      </c>
      <c r="C201" s="1022">
        <v>1978</v>
      </c>
      <c r="D201" s="1032">
        <v>2016</v>
      </c>
      <c r="E201" s="1114" t="s">
        <v>220</v>
      </c>
      <c r="F201" s="1022">
        <v>2</v>
      </c>
      <c r="G201" s="1022">
        <v>2</v>
      </c>
      <c r="H201" s="1025">
        <v>818.1</v>
      </c>
      <c r="I201" s="1025">
        <v>754.1</v>
      </c>
      <c r="J201" s="1025">
        <v>754.1</v>
      </c>
      <c r="K201" s="1022">
        <v>24</v>
      </c>
      <c r="L201" s="985">
        <f t="shared" si="51"/>
        <v>81000</v>
      </c>
      <c r="M201" s="1136">
        <v>0</v>
      </c>
      <c r="N201" s="1025">
        <v>24300</v>
      </c>
      <c r="O201" s="1025">
        <v>56700</v>
      </c>
      <c r="P201" s="1136">
        <v>0</v>
      </c>
      <c r="Q201" s="985">
        <v>0</v>
      </c>
      <c r="R201" s="1022">
        <v>2023</v>
      </c>
      <c r="S201" s="1032">
        <v>2023</v>
      </c>
    </row>
    <row r="202" spans="1:19" s="2" customFormat="1" ht="40.15" customHeight="1">
      <c r="A202" s="1021">
        <v>134</v>
      </c>
      <c r="B202" s="1112" t="s">
        <v>1186</v>
      </c>
      <c r="C202" s="1022">
        <v>1984</v>
      </c>
      <c r="D202" s="1032">
        <v>2022</v>
      </c>
      <c r="E202" s="1114" t="s">
        <v>220</v>
      </c>
      <c r="F202" s="1022">
        <v>2</v>
      </c>
      <c r="G202" s="1022">
        <v>2</v>
      </c>
      <c r="H202" s="1025">
        <v>790.4</v>
      </c>
      <c r="I202" s="1025">
        <v>741.2</v>
      </c>
      <c r="J202" s="1025">
        <v>741.2</v>
      </c>
      <c r="K202" s="1022">
        <v>22</v>
      </c>
      <c r="L202" s="985">
        <f t="shared" si="51"/>
        <v>47000</v>
      </c>
      <c r="M202" s="1136">
        <v>0</v>
      </c>
      <c r="N202" s="1025">
        <v>9400</v>
      </c>
      <c r="O202" s="1025">
        <v>37600</v>
      </c>
      <c r="P202" s="1136">
        <v>0</v>
      </c>
      <c r="Q202" s="985">
        <v>0</v>
      </c>
      <c r="R202" s="1022">
        <v>2023</v>
      </c>
      <c r="S202" s="1032">
        <v>2023</v>
      </c>
    </row>
    <row r="203" spans="1:19" s="2" customFormat="1" ht="40.15" customHeight="1">
      <c r="A203" s="1021">
        <v>135</v>
      </c>
      <c r="B203" s="1112" t="s">
        <v>1396</v>
      </c>
      <c r="C203" s="1022">
        <v>1978</v>
      </c>
      <c r="D203" s="1032">
        <v>2016</v>
      </c>
      <c r="E203" s="1114" t="s">
        <v>220</v>
      </c>
      <c r="F203" s="1022">
        <v>2</v>
      </c>
      <c r="G203" s="1022">
        <v>2</v>
      </c>
      <c r="H203" s="1025">
        <v>790.5</v>
      </c>
      <c r="I203" s="1025">
        <v>741.3</v>
      </c>
      <c r="J203" s="1025">
        <v>741.3</v>
      </c>
      <c r="K203" s="1022">
        <v>25</v>
      </c>
      <c r="L203" s="985">
        <f t="shared" si="51"/>
        <v>47000</v>
      </c>
      <c r="M203" s="1136">
        <v>0</v>
      </c>
      <c r="N203" s="1025">
        <v>14100</v>
      </c>
      <c r="O203" s="1025">
        <v>32900</v>
      </c>
      <c r="P203" s="1136">
        <v>0</v>
      </c>
      <c r="Q203" s="985">
        <v>0</v>
      </c>
      <c r="R203" s="1022">
        <v>2023</v>
      </c>
      <c r="S203" s="1032">
        <v>2023</v>
      </c>
    </row>
    <row r="204" spans="1:19" s="2" customFormat="1" ht="40.15" customHeight="1">
      <c r="A204" s="1021">
        <v>136</v>
      </c>
      <c r="B204" s="1112" t="s">
        <v>1236</v>
      </c>
      <c r="C204" s="1022">
        <v>1984</v>
      </c>
      <c r="D204" s="1032">
        <v>2022</v>
      </c>
      <c r="E204" s="1114" t="s">
        <v>220</v>
      </c>
      <c r="F204" s="1022">
        <v>2</v>
      </c>
      <c r="G204" s="1022">
        <v>3</v>
      </c>
      <c r="H204" s="1025">
        <v>1382</v>
      </c>
      <c r="I204" s="1025">
        <v>844.9</v>
      </c>
      <c r="J204" s="1025">
        <v>844.9</v>
      </c>
      <c r="K204" s="1022">
        <v>27</v>
      </c>
      <c r="L204" s="985">
        <f t="shared" si="51"/>
        <v>66000</v>
      </c>
      <c r="M204" s="1136">
        <v>0</v>
      </c>
      <c r="N204" s="1025">
        <v>19800</v>
      </c>
      <c r="O204" s="1025">
        <v>46200</v>
      </c>
      <c r="P204" s="1136">
        <v>0</v>
      </c>
      <c r="Q204" s="985">
        <v>0</v>
      </c>
      <c r="R204" s="1022">
        <v>2023</v>
      </c>
      <c r="S204" s="1032">
        <v>2023</v>
      </c>
    </row>
    <row r="205" spans="1:19" s="2" customFormat="1" ht="40.15" customHeight="1">
      <c r="A205" s="1021">
        <v>137</v>
      </c>
      <c r="B205" s="1112" t="s">
        <v>1397</v>
      </c>
      <c r="C205" s="1022">
        <v>1972</v>
      </c>
      <c r="D205" s="1032">
        <v>2016</v>
      </c>
      <c r="E205" s="1114" t="s">
        <v>218</v>
      </c>
      <c r="F205" s="1022">
        <v>2</v>
      </c>
      <c r="G205" s="1022">
        <v>2</v>
      </c>
      <c r="H205" s="1025">
        <v>547.4</v>
      </c>
      <c r="I205" s="1025">
        <v>499.4</v>
      </c>
      <c r="J205" s="1025">
        <v>499.4</v>
      </c>
      <c r="K205" s="1022">
        <v>19</v>
      </c>
      <c r="L205" s="985">
        <f t="shared" si="51"/>
        <v>39000</v>
      </c>
      <c r="M205" s="1136">
        <v>0</v>
      </c>
      <c r="N205" s="1025">
        <v>11700</v>
      </c>
      <c r="O205" s="1025">
        <v>27300</v>
      </c>
      <c r="P205" s="1136">
        <v>0</v>
      </c>
      <c r="Q205" s="985">
        <v>0</v>
      </c>
      <c r="R205" s="1022">
        <v>2023</v>
      </c>
      <c r="S205" s="1032">
        <v>2023</v>
      </c>
    </row>
    <row r="206" spans="1:19" s="2" customFormat="1" ht="42.6" customHeight="1">
      <c r="A206" s="1021">
        <v>138</v>
      </c>
      <c r="B206" s="1112" t="s">
        <v>1185</v>
      </c>
      <c r="C206" s="1022">
        <v>1973</v>
      </c>
      <c r="D206" s="1032">
        <v>2021</v>
      </c>
      <c r="E206" s="1114" t="s">
        <v>218</v>
      </c>
      <c r="F206" s="1022">
        <v>2</v>
      </c>
      <c r="G206" s="1022">
        <v>2</v>
      </c>
      <c r="H206" s="1025">
        <v>546.4</v>
      </c>
      <c r="I206" s="1025">
        <v>495.4</v>
      </c>
      <c r="J206" s="1025">
        <v>495.4</v>
      </c>
      <c r="K206" s="1022">
        <v>22</v>
      </c>
      <c r="L206" s="985">
        <f t="shared" si="51"/>
        <v>39000</v>
      </c>
      <c r="M206" s="1136">
        <v>0</v>
      </c>
      <c r="N206" s="1025">
        <v>11700</v>
      </c>
      <c r="O206" s="1025">
        <v>27300</v>
      </c>
      <c r="P206" s="1136">
        <v>0</v>
      </c>
      <c r="Q206" s="985">
        <v>0</v>
      </c>
      <c r="R206" s="1022">
        <v>2023</v>
      </c>
      <c r="S206" s="1032">
        <v>2023</v>
      </c>
    </row>
    <row r="207" spans="1:19" s="2" customFormat="1" ht="42.6" customHeight="1">
      <c r="A207" s="1021">
        <v>139</v>
      </c>
      <c r="B207" s="1112" t="s">
        <v>1398</v>
      </c>
      <c r="C207" s="1022">
        <v>1976</v>
      </c>
      <c r="D207" s="1032">
        <v>2017</v>
      </c>
      <c r="E207" s="1114" t="s">
        <v>218</v>
      </c>
      <c r="F207" s="1022">
        <v>2</v>
      </c>
      <c r="G207" s="1022">
        <v>2</v>
      </c>
      <c r="H207" s="1025">
        <v>834</v>
      </c>
      <c r="I207" s="1025">
        <v>769.3</v>
      </c>
      <c r="J207" s="1025">
        <v>769.3</v>
      </c>
      <c r="K207" s="1022">
        <v>34</v>
      </c>
      <c r="L207" s="985">
        <f t="shared" si="51"/>
        <v>47000</v>
      </c>
      <c r="M207" s="1136">
        <v>0</v>
      </c>
      <c r="N207" s="1025">
        <v>9400</v>
      </c>
      <c r="O207" s="1025">
        <v>37600</v>
      </c>
      <c r="P207" s="1136">
        <v>0</v>
      </c>
      <c r="Q207" s="985">
        <v>0</v>
      </c>
      <c r="R207" s="1022">
        <v>2023</v>
      </c>
      <c r="S207" s="1032">
        <v>2023</v>
      </c>
    </row>
    <row r="208" spans="1:19" s="2" customFormat="1" ht="42.6" customHeight="1">
      <c r="A208" s="1021">
        <v>140</v>
      </c>
      <c r="B208" s="1112" t="s">
        <v>1399</v>
      </c>
      <c r="C208" s="1022">
        <v>1975</v>
      </c>
      <c r="D208" s="1032">
        <v>2016</v>
      </c>
      <c r="E208" s="1114" t="s">
        <v>218</v>
      </c>
      <c r="F208" s="1022">
        <v>2</v>
      </c>
      <c r="G208" s="1022">
        <v>1</v>
      </c>
      <c r="H208" s="1025">
        <v>824</v>
      </c>
      <c r="I208" s="1025">
        <v>746</v>
      </c>
      <c r="J208" s="1025">
        <v>746</v>
      </c>
      <c r="K208" s="1022">
        <v>27</v>
      </c>
      <c r="L208" s="985">
        <f t="shared" si="51"/>
        <v>62000</v>
      </c>
      <c r="M208" s="1136">
        <v>0</v>
      </c>
      <c r="N208" s="1025">
        <v>18600</v>
      </c>
      <c r="O208" s="1025">
        <v>43400</v>
      </c>
      <c r="P208" s="1136">
        <v>0</v>
      </c>
      <c r="Q208" s="985">
        <v>0</v>
      </c>
      <c r="R208" s="1022">
        <v>2023</v>
      </c>
      <c r="S208" s="1032">
        <v>2023</v>
      </c>
    </row>
    <row r="209" spans="1:178" s="2" customFormat="1" ht="42" customHeight="1">
      <c r="A209" s="1021">
        <v>141</v>
      </c>
      <c r="B209" s="1112" t="s">
        <v>1189</v>
      </c>
      <c r="C209" s="1022">
        <v>1973</v>
      </c>
      <c r="D209" s="1032">
        <v>2021</v>
      </c>
      <c r="E209" s="1114" t="s">
        <v>218</v>
      </c>
      <c r="F209" s="1022">
        <v>2</v>
      </c>
      <c r="G209" s="1022">
        <v>2</v>
      </c>
      <c r="H209" s="1025">
        <v>780.5</v>
      </c>
      <c r="I209" s="1025">
        <v>716</v>
      </c>
      <c r="J209" s="1025">
        <v>716</v>
      </c>
      <c r="K209" s="1022">
        <v>21</v>
      </c>
      <c r="L209" s="985">
        <f t="shared" si="51"/>
        <v>914733</v>
      </c>
      <c r="M209" s="1136">
        <v>0</v>
      </c>
      <c r="N209" s="1025">
        <v>274420</v>
      </c>
      <c r="O209" s="1025">
        <v>640313</v>
      </c>
      <c r="P209" s="1136">
        <v>0</v>
      </c>
      <c r="Q209" s="985">
        <v>0</v>
      </c>
      <c r="R209" s="1022">
        <v>2023</v>
      </c>
      <c r="S209" s="1032">
        <v>2023</v>
      </c>
    </row>
    <row r="210" spans="1:178" s="2" customFormat="1" ht="42.6" customHeight="1">
      <c r="A210" s="1021">
        <v>142</v>
      </c>
      <c r="B210" s="1112" t="s">
        <v>1400</v>
      </c>
      <c r="C210" s="1022">
        <v>1989</v>
      </c>
      <c r="D210" s="1032">
        <v>2022</v>
      </c>
      <c r="E210" s="1114" t="s">
        <v>218</v>
      </c>
      <c r="F210" s="1022">
        <v>2</v>
      </c>
      <c r="G210" s="1022">
        <v>1</v>
      </c>
      <c r="H210" s="1025" t="s">
        <v>1401</v>
      </c>
      <c r="I210" s="1025">
        <v>397.2</v>
      </c>
      <c r="J210" s="1025">
        <v>397.2</v>
      </c>
      <c r="K210" s="1022">
        <v>19</v>
      </c>
      <c r="L210" s="985">
        <f t="shared" si="51"/>
        <v>207495</v>
      </c>
      <c r="M210" s="1136">
        <v>0</v>
      </c>
      <c r="N210" s="1025">
        <v>41499</v>
      </c>
      <c r="O210" s="1025">
        <v>165996</v>
      </c>
      <c r="P210" s="1136">
        <v>0</v>
      </c>
      <c r="Q210" s="985">
        <v>0</v>
      </c>
      <c r="R210" s="1022">
        <v>2023</v>
      </c>
      <c r="S210" s="1032">
        <v>2023</v>
      </c>
    </row>
    <row r="211" spans="1:178" s="992" customFormat="1" ht="39.6" customHeight="1">
      <c r="A211" s="1430" t="s">
        <v>1334</v>
      </c>
      <c r="B211" s="1426"/>
      <c r="C211" s="1426"/>
      <c r="D211" s="1426"/>
      <c r="E211" s="1426"/>
      <c r="F211" s="1426"/>
      <c r="G211" s="1426"/>
      <c r="H211" s="1426"/>
      <c r="I211" s="1426"/>
      <c r="J211" s="1426"/>
      <c r="K211" s="1426"/>
      <c r="L211" s="1426"/>
      <c r="M211" s="1426"/>
      <c r="N211" s="1426"/>
      <c r="O211" s="1426"/>
      <c r="P211" s="1426"/>
      <c r="Q211" s="1426"/>
      <c r="R211" s="1426"/>
      <c r="S211" s="1426"/>
    </row>
    <row r="212" spans="1:178" s="992" customFormat="1" ht="40.9" customHeight="1">
      <c r="A212" s="1430" t="s">
        <v>1041</v>
      </c>
      <c r="B212" s="1430"/>
      <c r="C212" s="1430"/>
      <c r="D212" s="1430"/>
      <c r="E212" s="1430"/>
      <c r="F212" s="1430"/>
      <c r="G212" s="1430"/>
      <c r="H212" s="1430"/>
      <c r="I212" s="1430"/>
      <c r="J212" s="1430"/>
      <c r="K212" s="1430"/>
      <c r="L212" s="1430"/>
      <c r="M212" s="1430"/>
      <c r="N212" s="1430"/>
      <c r="O212" s="1430"/>
      <c r="P212" s="1430"/>
      <c r="Q212" s="1430"/>
      <c r="R212" s="1430"/>
      <c r="S212" s="1430"/>
    </row>
    <row r="213" spans="1:178" s="992" customFormat="1" ht="37.9" customHeight="1">
      <c r="A213" s="1114"/>
      <c r="B213" s="1427" t="s">
        <v>42</v>
      </c>
      <c r="C213" s="1427"/>
      <c r="D213" s="1427"/>
      <c r="E213" s="1427"/>
      <c r="F213" s="1427"/>
      <c r="G213" s="1427"/>
      <c r="H213" s="993">
        <f>H214+H236+H245+H253+H256+H262+H264+H269+H272+H275+H277+H279+H284+H290+H296+H300+H311+H319+H321+H326+H328+H332+H334+H345+H341+H259+H317</f>
        <v>176060.66999999998</v>
      </c>
      <c r="I213" s="993">
        <f t="shared" ref="I213:Q213" si="52">I214+I236+I245+I253+I256+I262+I264+I269+I272+I275+I277+I279+I284+I290+I296+I300+I311+I319+I321+I326+I328+I332+I334+I345+I341+I259+I317</f>
        <v>160727.40000000002</v>
      </c>
      <c r="J213" s="993">
        <f t="shared" si="52"/>
        <v>499698.12999999995</v>
      </c>
      <c r="K213" s="993">
        <f t="shared" si="52"/>
        <v>6732</v>
      </c>
      <c r="L213" s="993">
        <f t="shared" si="52"/>
        <v>626456376.27999985</v>
      </c>
      <c r="M213" s="993">
        <f t="shared" si="52"/>
        <v>0</v>
      </c>
      <c r="N213" s="993">
        <f t="shared" si="52"/>
        <v>249600</v>
      </c>
      <c r="O213" s="993">
        <f t="shared" si="52"/>
        <v>626206776.27999985</v>
      </c>
      <c r="P213" s="993">
        <f t="shared" si="52"/>
        <v>0</v>
      </c>
      <c r="Q213" s="993">
        <f t="shared" si="52"/>
        <v>0</v>
      </c>
      <c r="R213" s="991" t="s">
        <v>40</v>
      </c>
      <c r="S213" s="991" t="s">
        <v>40</v>
      </c>
    </row>
    <row r="214" spans="1:178" s="992" customFormat="1" ht="39.6" customHeight="1">
      <c r="A214" s="1114"/>
      <c r="B214" s="1427" t="s">
        <v>1036</v>
      </c>
      <c r="C214" s="1427"/>
      <c r="D214" s="1427"/>
      <c r="E214" s="1427"/>
      <c r="F214" s="1427"/>
      <c r="G214" s="1427"/>
      <c r="H214" s="985">
        <f t="shared" ref="H214:Q214" si="53">SUM(H215:H235)</f>
        <v>36018.900000000009</v>
      </c>
      <c r="I214" s="985">
        <f t="shared" si="53"/>
        <v>31692.600000000006</v>
      </c>
      <c r="J214" s="985">
        <f t="shared" si="53"/>
        <v>29701.499999999996</v>
      </c>
      <c r="K214" s="1030">
        <f t="shared" si="53"/>
        <v>1631</v>
      </c>
      <c r="L214" s="985">
        <f t="shared" si="53"/>
        <v>223177973.08999994</v>
      </c>
      <c r="M214" s="985">
        <f t="shared" si="53"/>
        <v>0</v>
      </c>
      <c r="N214" s="985">
        <f t="shared" si="53"/>
        <v>0</v>
      </c>
      <c r="O214" s="985">
        <f t="shared" si="53"/>
        <v>223177973.08999994</v>
      </c>
      <c r="P214" s="985">
        <f t="shared" si="53"/>
        <v>0</v>
      </c>
      <c r="Q214" s="985">
        <f t="shared" si="53"/>
        <v>0</v>
      </c>
      <c r="R214" s="991" t="s">
        <v>40</v>
      </c>
      <c r="S214" s="991" t="s">
        <v>40</v>
      </c>
    </row>
    <row r="215" spans="1:178" s="998" customFormat="1" ht="42" customHeight="1">
      <c r="A215" s="1114">
        <v>1</v>
      </c>
      <c r="B215" s="1127" t="s">
        <v>1777</v>
      </c>
      <c r="C215" s="1017">
        <v>1980</v>
      </c>
      <c r="D215" s="1017"/>
      <c r="E215" s="1009" t="s">
        <v>219</v>
      </c>
      <c r="F215" s="1017">
        <v>9</v>
      </c>
      <c r="G215" s="1017">
        <v>1</v>
      </c>
      <c r="H215" s="1128">
        <v>2184.9</v>
      </c>
      <c r="I215" s="1128">
        <v>1942.7</v>
      </c>
      <c r="J215" s="1128">
        <v>1942.7</v>
      </c>
      <c r="K215" s="1017">
        <v>66</v>
      </c>
      <c r="L215" s="1129">
        <v>33500342.280000001</v>
      </c>
      <c r="M215" s="1130">
        <v>0</v>
      </c>
      <c r="N215" s="1130">
        <v>0</v>
      </c>
      <c r="O215" s="1129">
        <v>33500342.280000001</v>
      </c>
      <c r="P215" s="1130">
        <v>0</v>
      </c>
      <c r="Q215" s="1130">
        <v>0</v>
      </c>
      <c r="R215" s="1114">
        <v>2024</v>
      </c>
      <c r="S215" s="1158" t="s">
        <v>1490</v>
      </c>
    </row>
    <row r="216" spans="1:178" s="999" customFormat="1" ht="44.45" customHeight="1">
      <c r="A216" s="1114">
        <v>2</v>
      </c>
      <c r="B216" s="1127" t="s">
        <v>1776</v>
      </c>
      <c r="C216" s="1017">
        <v>1984</v>
      </c>
      <c r="D216" s="1017"/>
      <c r="E216" s="1009" t="s">
        <v>219</v>
      </c>
      <c r="F216" s="1017">
        <v>12</v>
      </c>
      <c r="G216" s="1017">
        <v>1</v>
      </c>
      <c r="H216" s="1128">
        <v>4376.1000000000004</v>
      </c>
      <c r="I216" s="1128">
        <v>3573.9</v>
      </c>
      <c r="J216" s="1128">
        <f>I216-112.6</f>
        <v>3461.3</v>
      </c>
      <c r="K216" s="1017">
        <v>177</v>
      </c>
      <c r="L216" s="1129">
        <v>29734760.809999995</v>
      </c>
      <c r="M216" s="1130">
        <v>0</v>
      </c>
      <c r="N216" s="1130">
        <v>0</v>
      </c>
      <c r="O216" s="1129">
        <v>29734760.809999995</v>
      </c>
      <c r="P216" s="1130">
        <v>0</v>
      </c>
      <c r="Q216" s="1130">
        <v>0</v>
      </c>
      <c r="R216" s="1114">
        <v>2024</v>
      </c>
      <c r="S216" s="1158" t="s">
        <v>1490</v>
      </c>
    </row>
    <row r="217" spans="1:178" s="1004" customFormat="1" ht="44.25" customHeight="1">
      <c r="A217" s="1114">
        <v>3</v>
      </c>
      <c r="B217" s="1327" t="s">
        <v>2101</v>
      </c>
      <c r="C217" s="1017">
        <v>1988</v>
      </c>
      <c r="D217" s="1017"/>
      <c r="E217" s="1009" t="s">
        <v>218</v>
      </c>
      <c r="F217" s="1017">
        <v>11</v>
      </c>
      <c r="G217" s="1017">
        <v>1</v>
      </c>
      <c r="H217" s="1128">
        <v>3508.1</v>
      </c>
      <c r="I217" s="1128">
        <v>3508.1</v>
      </c>
      <c r="J217" s="1128">
        <f>I217-66.5</f>
        <v>3441.6</v>
      </c>
      <c r="K217" s="1017">
        <v>241</v>
      </c>
      <c r="L217" s="1129">
        <v>9239393.4800000004</v>
      </c>
      <c r="M217" s="1130">
        <v>0</v>
      </c>
      <c r="N217" s="1130">
        <v>0</v>
      </c>
      <c r="O217" s="1129">
        <v>9239393.4800000004</v>
      </c>
      <c r="P217" s="1130">
        <v>0</v>
      </c>
      <c r="Q217" s="1130">
        <v>0</v>
      </c>
      <c r="R217" s="1114">
        <v>2024</v>
      </c>
      <c r="S217" s="1158" t="s">
        <v>1490</v>
      </c>
    </row>
    <row r="218" spans="1:178" s="1004" customFormat="1" ht="44.45" customHeight="1">
      <c r="A218" s="1114">
        <v>4</v>
      </c>
      <c r="B218" s="1127" t="s">
        <v>1795</v>
      </c>
      <c r="C218" s="1017">
        <v>1978</v>
      </c>
      <c r="D218" s="1017"/>
      <c r="E218" s="1009" t="s">
        <v>219</v>
      </c>
      <c r="F218" s="1017">
        <v>9</v>
      </c>
      <c r="G218" s="1017">
        <v>1</v>
      </c>
      <c r="H218" s="1128">
        <v>2165.6</v>
      </c>
      <c r="I218" s="1128">
        <v>1940.6</v>
      </c>
      <c r="J218" s="1128">
        <f>I218-66.5</f>
        <v>1874.1</v>
      </c>
      <c r="K218" s="1017">
        <v>286</v>
      </c>
      <c r="L218" s="1129">
        <v>16145744.640000001</v>
      </c>
      <c r="M218" s="1130">
        <v>0</v>
      </c>
      <c r="N218" s="1130">
        <v>0</v>
      </c>
      <c r="O218" s="1129">
        <v>16145744.640000001</v>
      </c>
      <c r="P218" s="1130">
        <v>0</v>
      </c>
      <c r="Q218" s="1130">
        <v>0</v>
      </c>
      <c r="R218" s="1114">
        <v>2024</v>
      </c>
      <c r="S218" s="1158" t="s">
        <v>1490</v>
      </c>
    </row>
    <row r="219" spans="1:178" s="1004" customFormat="1" ht="44.45" customHeight="1">
      <c r="A219" s="1114">
        <v>5</v>
      </c>
      <c r="B219" s="1127" t="s">
        <v>1789</v>
      </c>
      <c r="C219" s="1017">
        <v>1949</v>
      </c>
      <c r="D219" s="1017"/>
      <c r="E219" s="1009" t="s">
        <v>218</v>
      </c>
      <c r="F219" s="1017">
        <v>2</v>
      </c>
      <c r="G219" s="1017">
        <v>1</v>
      </c>
      <c r="H219" s="1128">
        <v>405.9</v>
      </c>
      <c r="I219" s="1128">
        <v>372.9</v>
      </c>
      <c r="J219" s="1128">
        <f>I219-132.4</f>
        <v>240.49999999999997</v>
      </c>
      <c r="K219" s="1017">
        <v>20</v>
      </c>
      <c r="L219" s="1129">
        <v>5536872.379999999</v>
      </c>
      <c r="M219" s="1130">
        <v>0</v>
      </c>
      <c r="N219" s="1130">
        <v>0</v>
      </c>
      <c r="O219" s="1129">
        <v>5536872.379999999</v>
      </c>
      <c r="P219" s="1130">
        <v>0</v>
      </c>
      <c r="Q219" s="1130">
        <v>0</v>
      </c>
      <c r="R219" s="1114">
        <v>2024</v>
      </c>
      <c r="S219" s="1158" t="s">
        <v>1490</v>
      </c>
    </row>
    <row r="220" spans="1:178" s="1004" customFormat="1" ht="44.45" customHeight="1">
      <c r="A220" s="1114">
        <v>6</v>
      </c>
      <c r="B220" s="1127" t="s">
        <v>1778</v>
      </c>
      <c r="C220" s="1017">
        <v>1949</v>
      </c>
      <c r="D220" s="1017"/>
      <c r="E220" s="1009" t="s">
        <v>218</v>
      </c>
      <c r="F220" s="1017">
        <v>2</v>
      </c>
      <c r="G220" s="1017">
        <v>1</v>
      </c>
      <c r="H220" s="1128">
        <v>396.2</v>
      </c>
      <c r="I220" s="1128">
        <v>363.9</v>
      </c>
      <c r="J220" s="1128">
        <v>363.9</v>
      </c>
      <c r="K220" s="1017">
        <v>18</v>
      </c>
      <c r="L220" s="1129">
        <v>4957673.88</v>
      </c>
      <c r="M220" s="1130">
        <v>0</v>
      </c>
      <c r="N220" s="1130">
        <v>0</v>
      </c>
      <c r="O220" s="1129">
        <v>4957673.88</v>
      </c>
      <c r="P220" s="1130">
        <v>0</v>
      </c>
      <c r="Q220" s="1130">
        <v>0</v>
      </c>
      <c r="R220" s="1114">
        <v>2024</v>
      </c>
      <c r="S220" s="1158" t="s">
        <v>1490</v>
      </c>
    </row>
    <row r="221" spans="1:178" s="1000" customFormat="1" ht="44.45" customHeight="1">
      <c r="A221" s="1114">
        <v>7</v>
      </c>
      <c r="B221" s="1127" t="s">
        <v>1779</v>
      </c>
      <c r="C221" s="1017">
        <v>1958</v>
      </c>
      <c r="D221" s="1017"/>
      <c r="E221" s="1009" t="s">
        <v>218</v>
      </c>
      <c r="F221" s="1017">
        <v>2</v>
      </c>
      <c r="G221" s="1017">
        <v>2</v>
      </c>
      <c r="H221" s="1128">
        <v>688.3</v>
      </c>
      <c r="I221" s="1128">
        <v>639.79999999999995</v>
      </c>
      <c r="J221" s="1128">
        <f>I221-98.8</f>
        <v>541</v>
      </c>
      <c r="K221" s="1017">
        <v>37</v>
      </c>
      <c r="L221" s="1129">
        <v>2617223.7800000003</v>
      </c>
      <c r="M221" s="1130">
        <v>0</v>
      </c>
      <c r="N221" s="1130">
        <v>0</v>
      </c>
      <c r="O221" s="1129">
        <v>2617223.7800000003</v>
      </c>
      <c r="P221" s="1130">
        <v>0</v>
      </c>
      <c r="Q221" s="1130">
        <v>0</v>
      </c>
      <c r="R221" s="1114">
        <v>2024</v>
      </c>
      <c r="S221" s="1158" t="s">
        <v>1490</v>
      </c>
    </row>
    <row r="222" spans="1:178" s="1004" customFormat="1" ht="39.6" customHeight="1">
      <c r="A222" s="1114">
        <v>8</v>
      </c>
      <c r="B222" s="1127" t="s">
        <v>1791</v>
      </c>
      <c r="C222" s="1017">
        <v>1955</v>
      </c>
      <c r="D222" s="1159"/>
      <c r="E222" s="1009" t="s">
        <v>218</v>
      </c>
      <c r="F222" s="1017">
        <v>2</v>
      </c>
      <c r="G222" s="1017">
        <v>2</v>
      </c>
      <c r="H222" s="1128">
        <v>912.6</v>
      </c>
      <c r="I222" s="1128">
        <v>875.4</v>
      </c>
      <c r="J222" s="1128">
        <f>754-95</f>
        <v>659</v>
      </c>
      <c r="K222" s="1017">
        <v>11</v>
      </c>
      <c r="L222" s="1129">
        <v>5790663.3700000001</v>
      </c>
      <c r="M222" s="1130">
        <v>0</v>
      </c>
      <c r="N222" s="1130">
        <v>0</v>
      </c>
      <c r="O222" s="1129">
        <v>5790663.3700000001</v>
      </c>
      <c r="P222" s="1130">
        <v>0</v>
      </c>
      <c r="Q222" s="1130">
        <v>0</v>
      </c>
      <c r="R222" s="1114">
        <v>2024</v>
      </c>
      <c r="S222" s="1158" t="s">
        <v>1490</v>
      </c>
      <c r="T222" s="1034"/>
      <c r="U222" s="1034"/>
      <c r="V222" s="1034"/>
      <c r="W222" s="1034"/>
      <c r="X222" s="1034"/>
      <c r="Y222" s="1034"/>
      <c r="Z222" s="1034"/>
      <c r="AA222" s="1034"/>
      <c r="AB222" s="1034"/>
      <c r="AC222" s="1034"/>
      <c r="AD222" s="1034"/>
      <c r="AE222" s="1034"/>
      <c r="AF222" s="1034"/>
      <c r="AG222" s="1034"/>
      <c r="AH222" s="1034"/>
      <c r="AI222" s="1034"/>
      <c r="AJ222" s="1034"/>
      <c r="AK222" s="1034"/>
      <c r="AL222" s="1034"/>
      <c r="AM222" s="1034"/>
      <c r="AN222" s="1034"/>
      <c r="AO222" s="1034"/>
      <c r="AP222" s="1034"/>
      <c r="AQ222" s="1034"/>
      <c r="AR222" s="1034"/>
      <c r="AS222" s="1034"/>
      <c r="AT222" s="1034"/>
      <c r="AU222" s="1034"/>
      <c r="AV222" s="1034"/>
      <c r="AW222" s="1034"/>
      <c r="AX222" s="1034"/>
      <c r="AY222" s="1034"/>
      <c r="AZ222" s="1034"/>
      <c r="BA222" s="1034"/>
      <c r="BB222" s="1034"/>
      <c r="BC222" s="1034"/>
      <c r="BD222" s="1034"/>
      <c r="BE222" s="1034"/>
      <c r="BF222" s="1034"/>
      <c r="BG222" s="1034"/>
      <c r="BH222" s="1034"/>
      <c r="BI222" s="1034"/>
      <c r="BJ222" s="1034"/>
      <c r="BK222" s="1034"/>
      <c r="BL222" s="1034"/>
      <c r="BM222" s="1034"/>
      <c r="BN222" s="1034"/>
      <c r="BO222" s="1034"/>
      <c r="BP222" s="1034"/>
      <c r="BQ222" s="1034"/>
      <c r="BR222" s="1034"/>
      <c r="BS222" s="1034"/>
      <c r="BT222" s="1034"/>
      <c r="BU222" s="1034"/>
      <c r="BV222" s="1034"/>
      <c r="BW222" s="1034"/>
      <c r="BX222" s="1034"/>
      <c r="BY222" s="1034"/>
      <c r="BZ222" s="1034"/>
      <c r="CA222" s="1034"/>
      <c r="CB222" s="1034"/>
      <c r="CC222" s="1034"/>
      <c r="CD222" s="1034"/>
      <c r="CE222" s="1034"/>
      <c r="CF222" s="1034"/>
      <c r="CG222" s="1034"/>
      <c r="CH222" s="1034"/>
      <c r="CI222" s="1034"/>
      <c r="CJ222" s="1034"/>
      <c r="CK222" s="1034"/>
      <c r="CL222" s="1034"/>
      <c r="CM222" s="1034"/>
      <c r="CN222" s="1034"/>
      <c r="CO222" s="1034"/>
      <c r="CP222" s="1034"/>
      <c r="CQ222" s="1034"/>
      <c r="CR222" s="1034"/>
      <c r="CS222" s="1034"/>
      <c r="CT222" s="1034"/>
      <c r="CU222" s="1034"/>
      <c r="CV222" s="1034"/>
      <c r="CW222" s="1034"/>
      <c r="CX222" s="1034"/>
      <c r="CY222" s="1034"/>
      <c r="CZ222" s="1034"/>
      <c r="DA222" s="1034"/>
      <c r="DB222" s="1034"/>
      <c r="DC222" s="1034"/>
      <c r="DD222" s="1034"/>
      <c r="DE222" s="1034"/>
      <c r="DF222" s="1034"/>
      <c r="DG222" s="1034"/>
      <c r="DH222" s="1034"/>
      <c r="DI222" s="1034"/>
      <c r="DJ222" s="1034"/>
      <c r="DK222" s="1034"/>
      <c r="DL222" s="1034"/>
      <c r="DM222" s="1034"/>
      <c r="DN222" s="1034"/>
      <c r="DO222" s="1034"/>
      <c r="DP222" s="1034"/>
      <c r="DQ222" s="1034"/>
      <c r="DR222" s="1034"/>
      <c r="DS222" s="1034"/>
      <c r="DT222" s="1034"/>
      <c r="DU222" s="1034"/>
      <c r="DV222" s="1034"/>
      <c r="DW222" s="1034"/>
      <c r="DX222" s="1034"/>
      <c r="DY222" s="1034"/>
      <c r="DZ222" s="1034"/>
      <c r="EA222" s="1034"/>
      <c r="EB222" s="1034"/>
      <c r="EC222" s="1034"/>
      <c r="ED222" s="1034"/>
      <c r="EE222" s="1034"/>
      <c r="EF222" s="1034"/>
      <c r="EG222" s="1034"/>
      <c r="EH222" s="1034"/>
      <c r="EI222" s="1034"/>
      <c r="EJ222" s="1034"/>
      <c r="EK222" s="1034"/>
      <c r="EL222" s="1034"/>
      <c r="EM222" s="1034"/>
      <c r="EN222" s="1034"/>
      <c r="EO222" s="1034"/>
      <c r="EP222" s="1034"/>
      <c r="EQ222" s="1034"/>
      <c r="ER222" s="1034"/>
      <c r="ES222" s="1034"/>
      <c r="ET222" s="1034"/>
      <c r="EU222" s="1034"/>
      <c r="EV222" s="1034"/>
      <c r="EW222" s="1034"/>
      <c r="EX222" s="1034"/>
      <c r="EY222" s="1034"/>
      <c r="EZ222" s="1034"/>
      <c r="FA222" s="1034"/>
      <c r="FB222" s="1034"/>
      <c r="FC222" s="1034"/>
      <c r="FD222" s="1034"/>
      <c r="FE222" s="1034"/>
      <c r="FF222" s="1034"/>
      <c r="FG222" s="1034"/>
      <c r="FH222" s="1034"/>
      <c r="FI222" s="1034"/>
      <c r="FJ222" s="1034"/>
      <c r="FK222" s="1034"/>
      <c r="FL222" s="1034"/>
      <c r="FM222" s="1034"/>
      <c r="FN222" s="1034"/>
      <c r="FO222" s="1034"/>
      <c r="FP222" s="1034"/>
      <c r="FQ222" s="1034"/>
      <c r="FR222" s="1034"/>
      <c r="FS222" s="1034"/>
      <c r="FT222" s="1034"/>
      <c r="FU222" s="1034"/>
      <c r="FV222" s="1034"/>
    </row>
    <row r="223" spans="1:178" s="1004" customFormat="1" ht="39.6" customHeight="1">
      <c r="A223" s="1114">
        <v>9</v>
      </c>
      <c r="B223" s="1127" t="s">
        <v>1796</v>
      </c>
      <c r="C223" s="1017">
        <v>1965</v>
      </c>
      <c r="D223" s="1017"/>
      <c r="E223" s="1009" t="s">
        <v>219</v>
      </c>
      <c r="F223" s="1017">
        <v>5</v>
      </c>
      <c r="G223" s="1017">
        <v>4</v>
      </c>
      <c r="H223" s="1128">
        <v>4592.8999999999996</v>
      </c>
      <c r="I223" s="1128">
        <v>3564.4</v>
      </c>
      <c r="J223" s="1128">
        <v>3518.2</v>
      </c>
      <c r="K223" s="1017">
        <v>152</v>
      </c>
      <c r="L223" s="1129">
        <v>6956571.0499999989</v>
      </c>
      <c r="M223" s="1130">
        <v>0</v>
      </c>
      <c r="N223" s="1130">
        <v>0</v>
      </c>
      <c r="O223" s="1129">
        <v>6956571.0499999989</v>
      </c>
      <c r="P223" s="1130">
        <v>0</v>
      </c>
      <c r="Q223" s="1130">
        <v>0</v>
      </c>
      <c r="R223" s="1114">
        <v>2024</v>
      </c>
      <c r="S223" s="1158" t="s">
        <v>1490</v>
      </c>
    </row>
    <row r="224" spans="1:178" s="1004" customFormat="1" ht="40.9" customHeight="1">
      <c r="A224" s="1114">
        <v>10</v>
      </c>
      <c r="B224" s="1127" t="s">
        <v>1780</v>
      </c>
      <c r="C224" s="1017">
        <v>1973</v>
      </c>
      <c r="D224" s="1017"/>
      <c r="E224" s="1009" t="s">
        <v>218</v>
      </c>
      <c r="F224" s="1017">
        <v>5</v>
      </c>
      <c r="G224" s="1017">
        <v>2</v>
      </c>
      <c r="H224" s="1128">
        <v>2371.8000000000002</v>
      </c>
      <c r="I224" s="1128">
        <v>1771.2</v>
      </c>
      <c r="J224" s="1128">
        <v>1639</v>
      </c>
      <c r="K224" s="1017">
        <v>93</v>
      </c>
      <c r="L224" s="1129">
        <v>14961522.02</v>
      </c>
      <c r="M224" s="1130">
        <v>0</v>
      </c>
      <c r="N224" s="1130">
        <v>0</v>
      </c>
      <c r="O224" s="1129">
        <v>14961522.02</v>
      </c>
      <c r="P224" s="1130">
        <v>0</v>
      </c>
      <c r="Q224" s="1130">
        <v>0</v>
      </c>
      <c r="R224" s="1114">
        <v>2024</v>
      </c>
      <c r="S224" s="1158" t="s">
        <v>1490</v>
      </c>
    </row>
    <row r="225" spans="1:19" s="1004" customFormat="1" ht="40.9" customHeight="1">
      <c r="A225" s="1114">
        <v>11</v>
      </c>
      <c r="B225" s="1127" t="s">
        <v>1781</v>
      </c>
      <c r="C225" s="1017">
        <v>1950</v>
      </c>
      <c r="D225" s="1017"/>
      <c r="E225" s="1009" t="s">
        <v>218</v>
      </c>
      <c r="F225" s="1017">
        <v>2</v>
      </c>
      <c r="G225" s="1017">
        <v>2</v>
      </c>
      <c r="H225" s="1128">
        <v>803.9</v>
      </c>
      <c r="I225" s="1128">
        <v>728.7</v>
      </c>
      <c r="J225" s="1128">
        <v>681.2</v>
      </c>
      <c r="K225" s="1017">
        <v>37</v>
      </c>
      <c r="L225" s="1129">
        <v>2832417.74</v>
      </c>
      <c r="M225" s="1130">
        <v>0</v>
      </c>
      <c r="N225" s="1130">
        <v>0</v>
      </c>
      <c r="O225" s="1129">
        <v>2832417.74</v>
      </c>
      <c r="P225" s="1130">
        <v>0</v>
      </c>
      <c r="Q225" s="1130">
        <v>0</v>
      </c>
      <c r="R225" s="1114">
        <v>2024</v>
      </c>
      <c r="S225" s="1158" t="s">
        <v>1490</v>
      </c>
    </row>
    <row r="226" spans="1:19" s="1004" customFormat="1" ht="43.15" customHeight="1">
      <c r="A226" s="1114">
        <v>12</v>
      </c>
      <c r="B226" s="1127" t="s">
        <v>1782</v>
      </c>
      <c r="C226" s="1154">
        <v>1947</v>
      </c>
      <c r="D226" s="1154"/>
      <c r="E226" s="1160" t="s">
        <v>218</v>
      </c>
      <c r="F226" s="1154">
        <v>2</v>
      </c>
      <c r="G226" s="1154">
        <v>2</v>
      </c>
      <c r="H226" s="1128">
        <v>784.4</v>
      </c>
      <c r="I226" s="1128">
        <v>709.5</v>
      </c>
      <c r="J226" s="1128">
        <v>637.79999999999995</v>
      </c>
      <c r="K226" s="1154">
        <v>33</v>
      </c>
      <c r="L226" s="1129">
        <v>2997056.7600000002</v>
      </c>
      <c r="M226" s="1130">
        <v>0</v>
      </c>
      <c r="N226" s="1130">
        <v>0</v>
      </c>
      <c r="O226" s="1129">
        <v>2997056.7600000002</v>
      </c>
      <c r="P226" s="1130">
        <v>0</v>
      </c>
      <c r="Q226" s="1130">
        <v>0</v>
      </c>
      <c r="R226" s="1114">
        <v>2024</v>
      </c>
      <c r="S226" s="1158" t="s">
        <v>1490</v>
      </c>
    </row>
    <row r="227" spans="1:19" s="1004" customFormat="1" ht="39.6" customHeight="1">
      <c r="A227" s="1114">
        <v>13</v>
      </c>
      <c r="B227" s="1127" t="s">
        <v>1790</v>
      </c>
      <c r="C227" s="1017">
        <v>1967</v>
      </c>
      <c r="D227" s="1017"/>
      <c r="E227" s="1009" t="s">
        <v>218</v>
      </c>
      <c r="F227" s="1017">
        <v>5</v>
      </c>
      <c r="G227" s="1017">
        <v>2</v>
      </c>
      <c r="H227" s="1128">
        <v>1958.2</v>
      </c>
      <c r="I227" s="1128">
        <v>1805.9</v>
      </c>
      <c r="J227" s="1128">
        <v>1765</v>
      </c>
      <c r="K227" s="1017">
        <v>97</v>
      </c>
      <c r="L227" s="1129">
        <v>13738096.710000001</v>
      </c>
      <c r="M227" s="1130">
        <v>0</v>
      </c>
      <c r="N227" s="1130">
        <v>0</v>
      </c>
      <c r="O227" s="1129">
        <v>13738096.710000001</v>
      </c>
      <c r="P227" s="1130">
        <v>0</v>
      </c>
      <c r="Q227" s="1130">
        <v>0</v>
      </c>
      <c r="R227" s="1114">
        <v>2024</v>
      </c>
      <c r="S227" s="1158" t="s">
        <v>1490</v>
      </c>
    </row>
    <row r="228" spans="1:19" s="1004" customFormat="1" ht="42" customHeight="1">
      <c r="A228" s="1114">
        <v>14</v>
      </c>
      <c r="B228" s="1127" t="s">
        <v>1783</v>
      </c>
      <c r="C228" s="1017">
        <v>1957</v>
      </c>
      <c r="D228" s="1017"/>
      <c r="E228" s="1009" t="s">
        <v>220</v>
      </c>
      <c r="F228" s="1017">
        <v>3</v>
      </c>
      <c r="G228" s="1017">
        <v>3</v>
      </c>
      <c r="H228" s="1128">
        <v>1566.9</v>
      </c>
      <c r="I228" s="1128">
        <v>1348.8</v>
      </c>
      <c r="J228" s="1128">
        <v>1301.5</v>
      </c>
      <c r="K228" s="1017">
        <v>51</v>
      </c>
      <c r="L228" s="1129">
        <v>11882228.34</v>
      </c>
      <c r="M228" s="1130">
        <v>0</v>
      </c>
      <c r="N228" s="1130">
        <v>0</v>
      </c>
      <c r="O228" s="1129">
        <v>11882228.34</v>
      </c>
      <c r="P228" s="1130">
        <v>0</v>
      </c>
      <c r="Q228" s="1130">
        <v>0</v>
      </c>
      <c r="R228" s="1114">
        <v>2024</v>
      </c>
      <c r="S228" s="1158" t="s">
        <v>1490</v>
      </c>
    </row>
    <row r="229" spans="1:19" s="992" customFormat="1" ht="42" customHeight="1">
      <c r="A229" s="1114">
        <v>15</v>
      </c>
      <c r="B229" s="1139" t="s">
        <v>1784</v>
      </c>
      <c r="C229" s="1017">
        <v>1953</v>
      </c>
      <c r="D229" s="1017"/>
      <c r="E229" s="1009" t="s">
        <v>218</v>
      </c>
      <c r="F229" s="1017">
        <v>2</v>
      </c>
      <c r="G229" s="1017">
        <v>2</v>
      </c>
      <c r="H229" s="1128">
        <v>903</v>
      </c>
      <c r="I229" s="1128">
        <v>835.2</v>
      </c>
      <c r="J229" s="1128">
        <v>798.6</v>
      </c>
      <c r="K229" s="1017">
        <v>41</v>
      </c>
      <c r="L229" s="1129">
        <v>3407491.1399999997</v>
      </c>
      <c r="M229" s="1130">
        <v>0</v>
      </c>
      <c r="N229" s="1130">
        <v>0</v>
      </c>
      <c r="O229" s="1129">
        <v>3407491.1399999997</v>
      </c>
      <c r="P229" s="1130">
        <v>0</v>
      </c>
      <c r="Q229" s="1130">
        <v>0</v>
      </c>
      <c r="R229" s="1114">
        <v>2024</v>
      </c>
      <c r="S229" s="1158" t="s">
        <v>1490</v>
      </c>
    </row>
    <row r="230" spans="1:19" s="992" customFormat="1" ht="42.6" customHeight="1">
      <c r="A230" s="1114">
        <v>16</v>
      </c>
      <c r="B230" s="1127" t="s">
        <v>1785</v>
      </c>
      <c r="C230" s="1017">
        <v>1952</v>
      </c>
      <c r="D230" s="1017"/>
      <c r="E230" s="1009" t="s">
        <v>218</v>
      </c>
      <c r="F230" s="1017">
        <v>2</v>
      </c>
      <c r="G230" s="1017">
        <v>1</v>
      </c>
      <c r="H230" s="1128">
        <v>409.7</v>
      </c>
      <c r="I230" s="1128">
        <v>381.1</v>
      </c>
      <c r="J230" s="1128">
        <v>381.1</v>
      </c>
      <c r="K230" s="1017">
        <v>27</v>
      </c>
      <c r="L230" s="1129">
        <v>2264681.5</v>
      </c>
      <c r="M230" s="1130">
        <v>0</v>
      </c>
      <c r="N230" s="1130">
        <v>0</v>
      </c>
      <c r="O230" s="1129">
        <v>2264681.5</v>
      </c>
      <c r="P230" s="1130">
        <v>0</v>
      </c>
      <c r="Q230" s="1130">
        <v>0</v>
      </c>
      <c r="R230" s="1114">
        <v>2024</v>
      </c>
      <c r="S230" s="1158" t="s">
        <v>1490</v>
      </c>
    </row>
    <row r="231" spans="1:19" s="1004" customFormat="1" ht="39" customHeight="1">
      <c r="A231" s="1114">
        <v>17</v>
      </c>
      <c r="B231" s="1127" t="s">
        <v>1786</v>
      </c>
      <c r="C231" s="1017">
        <v>1948</v>
      </c>
      <c r="D231" s="1017"/>
      <c r="E231" s="1009" t="s">
        <v>218</v>
      </c>
      <c r="F231" s="1017">
        <v>2</v>
      </c>
      <c r="G231" s="1017">
        <v>3</v>
      </c>
      <c r="H231" s="1128">
        <v>1329.8</v>
      </c>
      <c r="I231" s="1128">
        <v>1212.2</v>
      </c>
      <c r="J231" s="1128">
        <v>1010.5</v>
      </c>
      <c r="K231" s="1017">
        <v>55</v>
      </c>
      <c r="L231" s="1129">
        <v>4457333.42</v>
      </c>
      <c r="M231" s="1130">
        <v>0</v>
      </c>
      <c r="N231" s="1130">
        <v>0</v>
      </c>
      <c r="O231" s="1129">
        <v>4457333.42</v>
      </c>
      <c r="P231" s="1130">
        <v>0</v>
      </c>
      <c r="Q231" s="1130">
        <v>0</v>
      </c>
      <c r="R231" s="1114">
        <v>2024</v>
      </c>
      <c r="S231" s="1158" t="s">
        <v>1490</v>
      </c>
    </row>
    <row r="232" spans="1:19" s="1004" customFormat="1" ht="42" customHeight="1">
      <c r="A232" s="1114">
        <v>18</v>
      </c>
      <c r="B232" s="1127" t="s">
        <v>1787</v>
      </c>
      <c r="C232" s="1017">
        <v>1955</v>
      </c>
      <c r="D232" s="1017"/>
      <c r="E232" s="1009" t="s">
        <v>218</v>
      </c>
      <c r="F232" s="1017">
        <v>2</v>
      </c>
      <c r="G232" s="1017">
        <v>1</v>
      </c>
      <c r="H232" s="1128">
        <v>560</v>
      </c>
      <c r="I232" s="1128">
        <v>537.9</v>
      </c>
      <c r="J232" s="1128">
        <v>537.9</v>
      </c>
      <c r="K232" s="1017">
        <v>21</v>
      </c>
      <c r="L232" s="1129">
        <v>2287945.71</v>
      </c>
      <c r="M232" s="1130">
        <v>0</v>
      </c>
      <c r="N232" s="1130">
        <v>0</v>
      </c>
      <c r="O232" s="1129">
        <v>2287945.71</v>
      </c>
      <c r="P232" s="1130">
        <v>0</v>
      </c>
      <c r="Q232" s="1130">
        <v>0</v>
      </c>
      <c r="R232" s="1114">
        <v>2024</v>
      </c>
      <c r="S232" s="1158" t="s">
        <v>1490</v>
      </c>
    </row>
    <row r="233" spans="1:19" s="1004" customFormat="1" ht="44.45" customHeight="1">
      <c r="A233" s="1114">
        <v>19</v>
      </c>
      <c r="B233" s="1127" t="s">
        <v>1788</v>
      </c>
      <c r="C233" s="1017">
        <v>1954</v>
      </c>
      <c r="D233" s="1017"/>
      <c r="E233" s="1009" t="s">
        <v>218</v>
      </c>
      <c r="F233" s="1017">
        <v>3</v>
      </c>
      <c r="G233" s="1017">
        <v>3</v>
      </c>
      <c r="H233" s="1128">
        <v>2071</v>
      </c>
      <c r="I233" s="1128">
        <v>1876.6</v>
      </c>
      <c r="J233" s="1128">
        <v>1847</v>
      </c>
      <c r="K233" s="1017">
        <v>87</v>
      </c>
      <c r="L233" s="1129">
        <v>16311359.199999999</v>
      </c>
      <c r="M233" s="1130">
        <v>0</v>
      </c>
      <c r="N233" s="1130">
        <v>0</v>
      </c>
      <c r="O233" s="1129">
        <v>16311359.199999999</v>
      </c>
      <c r="P233" s="1130">
        <v>0</v>
      </c>
      <c r="Q233" s="1130">
        <v>0</v>
      </c>
      <c r="R233" s="1114">
        <v>2024</v>
      </c>
      <c r="S233" s="1158" t="s">
        <v>1490</v>
      </c>
    </row>
    <row r="234" spans="1:19" s="1004" customFormat="1" ht="44.45" customHeight="1">
      <c r="A234" s="1114">
        <v>20</v>
      </c>
      <c r="B234" s="1127" t="s">
        <v>1792</v>
      </c>
      <c r="C234" s="1017">
        <v>1946</v>
      </c>
      <c r="D234" s="1017"/>
      <c r="E234" s="1009" t="s">
        <v>218</v>
      </c>
      <c r="F234" s="1017">
        <v>3</v>
      </c>
      <c r="G234" s="1017">
        <v>3</v>
      </c>
      <c r="H234" s="1128">
        <v>2002.8</v>
      </c>
      <c r="I234" s="1128">
        <v>1847.4</v>
      </c>
      <c r="J234" s="1128">
        <v>1294.5999999999999</v>
      </c>
      <c r="K234" s="1017">
        <v>34</v>
      </c>
      <c r="L234" s="1129">
        <v>15370322.92</v>
      </c>
      <c r="M234" s="1130">
        <v>0</v>
      </c>
      <c r="N234" s="1130">
        <v>0</v>
      </c>
      <c r="O234" s="1129">
        <v>15370322.92</v>
      </c>
      <c r="P234" s="1130">
        <v>0</v>
      </c>
      <c r="Q234" s="1130">
        <v>0</v>
      </c>
      <c r="R234" s="1114">
        <v>2024</v>
      </c>
      <c r="S234" s="1158" t="s">
        <v>1490</v>
      </c>
    </row>
    <row r="235" spans="1:19" s="992" customFormat="1" ht="43.9" customHeight="1">
      <c r="A235" s="1114">
        <v>21</v>
      </c>
      <c r="B235" s="1127" t="s">
        <v>1793</v>
      </c>
      <c r="C235" s="1017">
        <v>1954</v>
      </c>
      <c r="D235" s="1017"/>
      <c r="E235" s="1009" t="s">
        <v>218</v>
      </c>
      <c r="F235" s="1017">
        <v>3</v>
      </c>
      <c r="G235" s="1017">
        <v>3</v>
      </c>
      <c r="H235" s="1128">
        <v>2026.8</v>
      </c>
      <c r="I235" s="1128">
        <v>1856.4</v>
      </c>
      <c r="J235" s="1128">
        <v>1765</v>
      </c>
      <c r="K235" s="1017">
        <v>47</v>
      </c>
      <c r="L235" s="1129">
        <v>18188271.960000001</v>
      </c>
      <c r="M235" s="1130">
        <v>0</v>
      </c>
      <c r="N235" s="1130">
        <v>0</v>
      </c>
      <c r="O235" s="1129">
        <v>18188271.960000001</v>
      </c>
      <c r="P235" s="1130">
        <v>0</v>
      </c>
      <c r="Q235" s="1130">
        <v>0</v>
      </c>
      <c r="R235" s="1114">
        <v>2024</v>
      </c>
      <c r="S235" s="1158" t="s">
        <v>1490</v>
      </c>
    </row>
    <row r="236" spans="1:19" s="1027" customFormat="1" ht="40.15" customHeight="1">
      <c r="A236" s="1095"/>
      <c r="B236" s="1427" t="s">
        <v>1093</v>
      </c>
      <c r="C236" s="1427"/>
      <c r="D236" s="1427"/>
      <c r="E236" s="1427"/>
      <c r="F236" s="1427"/>
      <c r="G236" s="1427"/>
      <c r="H236" s="1024">
        <f>SUM(H237:H244)</f>
        <v>6018.2000000000007</v>
      </c>
      <c r="I236" s="1024">
        <f t="shared" ref="I236:Q236" si="54">SUM(I237:I244)</f>
        <v>5764</v>
      </c>
      <c r="J236" s="1024">
        <f t="shared" si="54"/>
        <v>5343.2000000000007</v>
      </c>
      <c r="K236" s="1024">
        <f t="shared" si="54"/>
        <v>228</v>
      </c>
      <c r="L236" s="1024">
        <f t="shared" si="54"/>
        <v>40919487.259999998</v>
      </c>
      <c r="M236" s="1024">
        <f t="shared" si="54"/>
        <v>0</v>
      </c>
      <c r="N236" s="1024">
        <f t="shared" si="54"/>
        <v>0</v>
      </c>
      <c r="O236" s="1024">
        <f t="shared" si="54"/>
        <v>40919487.259999998</v>
      </c>
      <c r="P236" s="1024">
        <f t="shared" si="54"/>
        <v>0</v>
      </c>
      <c r="Q236" s="1024">
        <f t="shared" si="54"/>
        <v>0</v>
      </c>
      <c r="R236" s="991" t="s">
        <v>40</v>
      </c>
      <c r="S236" s="991" t="s">
        <v>40</v>
      </c>
    </row>
    <row r="237" spans="1:19" s="1027" customFormat="1" ht="40.15" customHeight="1">
      <c r="A237" s="1021">
        <v>22</v>
      </c>
      <c r="B237" s="1139" t="s">
        <v>1726</v>
      </c>
      <c r="C237" s="1161">
        <v>1941</v>
      </c>
      <c r="D237" s="1009"/>
      <c r="E237" s="1009" t="s">
        <v>221</v>
      </c>
      <c r="F237" s="1009">
        <v>2</v>
      </c>
      <c r="G237" s="1009">
        <v>2</v>
      </c>
      <c r="H237" s="1023">
        <v>637.9</v>
      </c>
      <c r="I237" s="1023">
        <v>591.6</v>
      </c>
      <c r="J237" s="1023">
        <v>591.6</v>
      </c>
      <c r="K237" s="1162">
        <v>19</v>
      </c>
      <c r="L237" s="1023">
        <v>3613142.7</v>
      </c>
      <c r="M237" s="1130">
        <v>0</v>
      </c>
      <c r="N237" s="1130">
        <v>0</v>
      </c>
      <c r="O237" s="1023">
        <v>3613142.7</v>
      </c>
      <c r="P237" s="1130">
        <v>0</v>
      </c>
      <c r="Q237" s="1130">
        <v>0</v>
      </c>
      <c r="R237" s="1009">
        <v>2024</v>
      </c>
      <c r="S237" s="1009">
        <v>2024</v>
      </c>
    </row>
    <row r="238" spans="1:19" s="1027" customFormat="1" ht="40.15" customHeight="1">
      <c r="A238" s="1021">
        <v>23</v>
      </c>
      <c r="B238" s="1139" t="s">
        <v>1730</v>
      </c>
      <c r="C238" s="1161">
        <v>1985</v>
      </c>
      <c r="D238" s="1009"/>
      <c r="E238" s="1009" t="s">
        <v>1023</v>
      </c>
      <c r="F238" s="1009">
        <v>2</v>
      </c>
      <c r="G238" s="1009">
        <v>3</v>
      </c>
      <c r="H238" s="1023">
        <v>967.6</v>
      </c>
      <c r="I238" s="1023">
        <v>967.6</v>
      </c>
      <c r="J238" s="1023">
        <v>863.7</v>
      </c>
      <c r="K238" s="1162">
        <v>38</v>
      </c>
      <c r="L238" s="1023">
        <v>1063583.21</v>
      </c>
      <c r="M238" s="1130">
        <v>0</v>
      </c>
      <c r="N238" s="1130">
        <v>0</v>
      </c>
      <c r="O238" s="1023">
        <v>1063583.21</v>
      </c>
      <c r="P238" s="1130">
        <v>0</v>
      </c>
      <c r="Q238" s="1130">
        <v>0</v>
      </c>
      <c r="R238" s="1009">
        <v>2024</v>
      </c>
      <c r="S238" s="1009">
        <v>2024</v>
      </c>
    </row>
    <row r="239" spans="1:19" s="1027" customFormat="1" ht="40.15" customHeight="1">
      <c r="A239" s="1021">
        <v>24</v>
      </c>
      <c r="B239" s="1139" t="s">
        <v>1727</v>
      </c>
      <c r="C239" s="1161">
        <v>1955</v>
      </c>
      <c r="D239" s="1009"/>
      <c r="E239" s="1009" t="s">
        <v>218</v>
      </c>
      <c r="F239" s="1009">
        <v>2</v>
      </c>
      <c r="G239" s="1009">
        <v>2</v>
      </c>
      <c r="H239" s="1023">
        <v>685.1</v>
      </c>
      <c r="I239" s="1023">
        <v>685.1</v>
      </c>
      <c r="J239" s="1023">
        <v>685.1</v>
      </c>
      <c r="K239" s="1162">
        <v>21</v>
      </c>
      <c r="L239" s="1023">
        <v>8113769.5999999996</v>
      </c>
      <c r="M239" s="1130">
        <v>0</v>
      </c>
      <c r="N239" s="1130">
        <v>0</v>
      </c>
      <c r="O239" s="1023">
        <v>8113769.5999999996</v>
      </c>
      <c r="P239" s="1130">
        <v>0</v>
      </c>
      <c r="Q239" s="1130">
        <v>0</v>
      </c>
      <c r="R239" s="1009">
        <v>2024</v>
      </c>
      <c r="S239" s="1009">
        <v>2024</v>
      </c>
    </row>
    <row r="240" spans="1:19" s="1027" customFormat="1" ht="40.15" customHeight="1">
      <c r="A240" s="1021">
        <v>25</v>
      </c>
      <c r="B240" s="1139" t="s">
        <v>1728</v>
      </c>
      <c r="C240" s="1161">
        <v>1983</v>
      </c>
      <c r="D240" s="1009"/>
      <c r="E240" s="1009" t="s">
        <v>221</v>
      </c>
      <c r="F240" s="1009">
        <v>2</v>
      </c>
      <c r="G240" s="1009">
        <v>2</v>
      </c>
      <c r="H240" s="1023">
        <v>644.4</v>
      </c>
      <c r="I240" s="1023">
        <v>588.4</v>
      </c>
      <c r="J240" s="1023">
        <v>555.5</v>
      </c>
      <c r="K240" s="1162">
        <v>28</v>
      </c>
      <c r="L240" s="1023">
        <v>5039129.6900000004</v>
      </c>
      <c r="M240" s="1130">
        <v>0</v>
      </c>
      <c r="N240" s="1130">
        <v>0</v>
      </c>
      <c r="O240" s="1023">
        <v>5039129.6900000004</v>
      </c>
      <c r="P240" s="1130">
        <v>0</v>
      </c>
      <c r="Q240" s="1130">
        <v>0</v>
      </c>
      <c r="R240" s="1009">
        <v>2024</v>
      </c>
      <c r="S240" s="1009">
        <v>2024</v>
      </c>
    </row>
    <row r="241" spans="1:19" s="1027" customFormat="1" ht="55.5" customHeight="1">
      <c r="A241" s="1021">
        <v>26</v>
      </c>
      <c r="B241" s="1139" t="s">
        <v>1729</v>
      </c>
      <c r="C241" s="1161">
        <v>1956</v>
      </c>
      <c r="D241" s="1009"/>
      <c r="E241" s="1009" t="s">
        <v>218</v>
      </c>
      <c r="F241" s="1009">
        <v>2</v>
      </c>
      <c r="G241" s="1009">
        <v>2</v>
      </c>
      <c r="H241" s="1023">
        <v>425.3</v>
      </c>
      <c r="I241" s="1023">
        <v>402.8</v>
      </c>
      <c r="J241" s="1023">
        <v>402.8</v>
      </c>
      <c r="K241" s="1162">
        <v>25</v>
      </c>
      <c r="L241" s="1023">
        <v>5923819.7199999997</v>
      </c>
      <c r="M241" s="1130">
        <v>0</v>
      </c>
      <c r="N241" s="1130">
        <v>0</v>
      </c>
      <c r="O241" s="1023">
        <v>5923819.7199999997</v>
      </c>
      <c r="P241" s="1130">
        <v>0</v>
      </c>
      <c r="Q241" s="1130">
        <v>0</v>
      </c>
      <c r="R241" s="1009">
        <v>2024</v>
      </c>
      <c r="S241" s="1009">
        <v>2024</v>
      </c>
    </row>
    <row r="242" spans="1:19" s="1035" customFormat="1" ht="57" customHeight="1">
      <c r="A242" s="1021">
        <v>27</v>
      </c>
      <c r="B242" s="1139" t="s">
        <v>1731</v>
      </c>
      <c r="C242" s="1009">
        <v>1973</v>
      </c>
      <c r="D242" s="1009"/>
      <c r="E242" s="1009" t="s">
        <v>218</v>
      </c>
      <c r="F242" s="1009">
        <v>2</v>
      </c>
      <c r="G242" s="1009">
        <v>4</v>
      </c>
      <c r="H242" s="1023">
        <v>868.8</v>
      </c>
      <c r="I242" s="1023">
        <v>868.8</v>
      </c>
      <c r="J242" s="1023">
        <v>584.9</v>
      </c>
      <c r="K242" s="1162">
        <v>32</v>
      </c>
      <c r="L242" s="1023">
        <v>5156749.29</v>
      </c>
      <c r="M242" s="1130">
        <v>0</v>
      </c>
      <c r="N242" s="1130">
        <v>0</v>
      </c>
      <c r="O242" s="1023">
        <v>5156749.29</v>
      </c>
      <c r="P242" s="1130">
        <v>0</v>
      </c>
      <c r="Q242" s="1130">
        <v>0</v>
      </c>
      <c r="R242" s="1009">
        <v>2024</v>
      </c>
      <c r="S242" s="1009">
        <v>2024</v>
      </c>
    </row>
    <row r="243" spans="1:19" s="1035" customFormat="1" ht="40.15" customHeight="1">
      <c r="A243" s="1021">
        <v>28</v>
      </c>
      <c r="B243" s="1139" t="s">
        <v>1732</v>
      </c>
      <c r="C243" s="1161">
        <v>1975</v>
      </c>
      <c r="D243" s="1009"/>
      <c r="E243" s="1009" t="s">
        <v>218</v>
      </c>
      <c r="F243" s="1009">
        <v>2</v>
      </c>
      <c r="G243" s="1009">
        <v>3</v>
      </c>
      <c r="H243" s="1023">
        <v>916.3</v>
      </c>
      <c r="I243" s="1023">
        <v>786.9</v>
      </c>
      <c r="J243" s="1023">
        <v>786.8</v>
      </c>
      <c r="K243" s="1162">
        <v>34</v>
      </c>
      <c r="L243" s="1023">
        <v>3385925.81</v>
      </c>
      <c r="M243" s="1130">
        <v>0</v>
      </c>
      <c r="N243" s="1130">
        <v>0</v>
      </c>
      <c r="O243" s="1023">
        <v>3385925.81</v>
      </c>
      <c r="P243" s="1130">
        <v>0</v>
      </c>
      <c r="Q243" s="1130">
        <v>0</v>
      </c>
      <c r="R243" s="1009">
        <v>2024</v>
      </c>
      <c r="S243" s="1009">
        <v>2024</v>
      </c>
    </row>
    <row r="244" spans="1:19" s="1035" customFormat="1" ht="40.15" customHeight="1">
      <c r="A244" s="1021">
        <v>29</v>
      </c>
      <c r="B244" s="1139" t="s">
        <v>1733</v>
      </c>
      <c r="C244" s="1161">
        <v>1978</v>
      </c>
      <c r="D244" s="1009"/>
      <c r="E244" s="1009" t="s">
        <v>218</v>
      </c>
      <c r="F244" s="1009">
        <v>2</v>
      </c>
      <c r="G244" s="1009">
        <v>3</v>
      </c>
      <c r="H244" s="1023">
        <v>872.8</v>
      </c>
      <c r="I244" s="1023">
        <v>872.8</v>
      </c>
      <c r="J244" s="1023">
        <v>872.8</v>
      </c>
      <c r="K244" s="1162">
        <v>31</v>
      </c>
      <c r="L244" s="1023">
        <v>8623367.2400000002</v>
      </c>
      <c r="M244" s="1130">
        <v>0</v>
      </c>
      <c r="N244" s="1130">
        <v>0</v>
      </c>
      <c r="O244" s="1023">
        <v>8623367.2400000002</v>
      </c>
      <c r="P244" s="1130">
        <v>0</v>
      </c>
      <c r="Q244" s="1130">
        <v>0</v>
      </c>
      <c r="R244" s="1009">
        <v>2024</v>
      </c>
      <c r="S244" s="1009">
        <v>2024</v>
      </c>
    </row>
    <row r="245" spans="1:19" s="992" customFormat="1" ht="44.45" customHeight="1">
      <c r="A245" s="1005"/>
      <c r="B245" s="1431" t="s">
        <v>1244</v>
      </c>
      <c r="C245" s="1431"/>
      <c r="D245" s="1431"/>
      <c r="E245" s="1431"/>
      <c r="F245" s="1431"/>
      <c r="G245" s="1431"/>
      <c r="H245" s="993">
        <f>SUM(H246:H252)</f>
        <v>16862.599999999999</v>
      </c>
      <c r="I245" s="993">
        <f t="shared" ref="I245:Q245" si="55">SUM(I246:I252)</f>
        <v>15584.6</v>
      </c>
      <c r="J245" s="993">
        <f t="shared" si="55"/>
        <v>13591.6</v>
      </c>
      <c r="K245" s="987">
        <f t="shared" si="55"/>
        <v>676</v>
      </c>
      <c r="L245" s="993">
        <f t="shared" si="55"/>
        <v>53142252.979999997</v>
      </c>
      <c r="M245" s="993">
        <f t="shared" si="55"/>
        <v>0</v>
      </c>
      <c r="N245" s="993">
        <f t="shared" si="55"/>
        <v>0</v>
      </c>
      <c r="O245" s="993">
        <f t="shared" si="55"/>
        <v>53142252.979999997</v>
      </c>
      <c r="P245" s="993">
        <f t="shared" si="55"/>
        <v>0</v>
      </c>
      <c r="Q245" s="993">
        <f t="shared" si="55"/>
        <v>0</v>
      </c>
      <c r="R245" s="1006" t="s">
        <v>40</v>
      </c>
      <c r="S245" s="1006" t="s">
        <v>40</v>
      </c>
    </row>
    <row r="246" spans="1:19" s="992" customFormat="1" ht="47.45" customHeight="1">
      <c r="A246" s="1009">
        <v>30</v>
      </c>
      <c r="B246" s="1146" t="s">
        <v>2102</v>
      </c>
      <c r="C246" s="1009">
        <v>1988</v>
      </c>
      <c r="D246" s="1009"/>
      <c r="E246" s="1009" t="s">
        <v>218</v>
      </c>
      <c r="F246" s="1009">
        <v>5</v>
      </c>
      <c r="G246" s="1009">
        <v>6</v>
      </c>
      <c r="H246" s="1023">
        <v>4659.1000000000004</v>
      </c>
      <c r="I246" s="1023">
        <v>4659.1000000000004</v>
      </c>
      <c r="J246" s="1023">
        <v>3578.1</v>
      </c>
      <c r="K246" s="1009">
        <v>204</v>
      </c>
      <c r="L246" s="1023">
        <v>11268753.82</v>
      </c>
      <c r="M246" s="1130">
        <v>0</v>
      </c>
      <c r="N246" s="1130">
        <v>0</v>
      </c>
      <c r="O246" s="1023">
        <v>11268753.82</v>
      </c>
      <c r="P246" s="1130">
        <v>0</v>
      </c>
      <c r="Q246" s="1130">
        <v>0</v>
      </c>
      <c r="R246" s="1009">
        <v>2024</v>
      </c>
      <c r="S246" s="1009">
        <v>2024</v>
      </c>
    </row>
    <row r="247" spans="1:19" s="992" customFormat="1" ht="44.45" customHeight="1">
      <c r="A247" s="1009">
        <v>31</v>
      </c>
      <c r="B247" s="1146" t="s">
        <v>2103</v>
      </c>
      <c r="C247" s="1009">
        <v>1990</v>
      </c>
      <c r="D247" s="1009"/>
      <c r="E247" s="1009" t="s">
        <v>220</v>
      </c>
      <c r="F247" s="1009">
        <v>5</v>
      </c>
      <c r="G247" s="1009">
        <v>7</v>
      </c>
      <c r="H247" s="1023">
        <v>4608.2</v>
      </c>
      <c r="I247" s="1023">
        <v>4608.2</v>
      </c>
      <c r="J247" s="1023">
        <v>4521.2</v>
      </c>
      <c r="K247" s="1009">
        <v>221</v>
      </c>
      <c r="L247" s="1023">
        <v>6906295.6600000001</v>
      </c>
      <c r="M247" s="1130">
        <v>0</v>
      </c>
      <c r="N247" s="1130">
        <v>0</v>
      </c>
      <c r="O247" s="1023">
        <v>6906295.6600000001</v>
      </c>
      <c r="P247" s="1130">
        <v>0</v>
      </c>
      <c r="Q247" s="1130">
        <v>0</v>
      </c>
      <c r="R247" s="1009">
        <v>2024</v>
      </c>
      <c r="S247" s="1009">
        <v>2024</v>
      </c>
    </row>
    <row r="248" spans="1:19" s="1004" customFormat="1" ht="37.9" customHeight="1">
      <c r="A248" s="1009">
        <v>32</v>
      </c>
      <c r="B248" s="1146" t="s">
        <v>2104</v>
      </c>
      <c r="C248" s="1009">
        <v>1971</v>
      </c>
      <c r="D248" s="1009"/>
      <c r="E248" s="1009" t="s">
        <v>218</v>
      </c>
      <c r="F248" s="1009">
        <v>2</v>
      </c>
      <c r="G248" s="1009">
        <v>2</v>
      </c>
      <c r="H248" s="1023">
        <v>466.3</v>
      </c>
      <c r="I248" s="1023">
        <v>214.4</v>
      </c>
      <c r="J248" s="1023">
        <v>214.4</v>
      </c>
      <c r="K248" s="1009">
        <v>6</v>
      </c>
      <c r="L248" s="1023">
        <v>3564967.46</v>
      </c>
      <c r="M248" s="1130">
        <v>0</v>
      </c>
      <c r="N248" s="1130">
        <v>0</v>
      </c>
      <c r="O248" s="1023">
        <v>3564967.46</v>
      </c>
      <c r="P248" s="1130">
        <v>0</v>
      </c>
      <c r="Q248" s="1130">
        <v>0</v>
      </c>
      <c r="R248" s="1009">
        <v>2024</v>
      </c>
      <c r="S248" s="1009">
        <v>2024</v>
      </c>
    </row>
    <row r="249" spans="1:19" s="1004" customFormat="1" ht="43.9" customHeight="1">
      <c r="A249" s="1009">
        <v>33</v>
      </c>
      <c r="B249" s="1146" t="s">
        <v>2105</v>
      </c>
      <c r="C249" s="1009">
        <v>1959</v>
      </c>
      <c r="D249" s="1009"/>
      <c r="E249" s="1009" t="s">
        <v>218</v>
      </c>
      <c r="F249" s="1009">
        <v>2</v>
      </c>
      <c r="G249" s="1009">
        <v>2</v>
      </c>
      <c r="H249" s="1023">
        <v>749.2</v>
      </c>
      <c r="I249" s="1023">
        <v>476.1</v>
      </c>
      <c r="J249" s="1023">
        <v>476.1</v>
      </c>
      <c r="K249" s="1009">
        <v>11</v>
      </c>
      <c r="L249" s="1023">
        <v>4297231.05</v>
      </c>
      <c r="M249" s="1130">
        <v>0</v>
      </c>
      <c r="N249" s="1130">
        <v>0</v>
      </c>
      <c r="O249" s="1023">
        <v>4297231.05</v>
      </c>
      <c r="P249" s="1130">
        <v>0</v>
      </c>
      <c r="Q249" s="1130">
        <v>0</v>
      </c>
      <c r="R249" s="1009">
        <v>2024</v>
      </c>
      <c r="S249" s="1009">
        <v>2024</v>
      </c>
    </row>
    <row r="250" spans="1:19" s="1004" customFormat="1" ht="40.15" customHeight="1">
      <c r="A250" s="1009">
        <v>34</v>
      </c>
      <c r="B250" s="1146" t="s">
        <v>2106</v>
      </c>
      <c r="C250" s="1009">
        <v>1988</v>
      </c>
      <c r="D250" s="1009"/>
      <c r="E250" s="1009" t="s">
        <v>218</v>
      </c>
      <c r="F250" s="1009">
        <v>5</v>
      </c>
      <c r="G250" s="1009">
        <v>6</v>
      </c>
      <c r="H250" s="1023">
        <v>4628</v>
      </c>
      <c r="I250" s="1023">
        <v>4628</v>
      </c>
      <c r="J250" s="1023">
        <v>3803</v>
      </c>
      <c r="K250" s="1009">
        <v>204</v>
      </c>
      <c r="L250" s="1023">
        <v>10007992.25</v>
      </c>
      <c r="M250" s="1130">
        <v>0</v>
      </c>
      <c r="N250" s="1130">
        <v>0</v>
      </c>
      <c r="O250" s="1023">
        <v>10007992.25</v>
      </c>
      <c r="P250" s="1130">
        <v>0</v>
      </c>
      <c r="Q250" s="1130">
        <v>0</v>
      </c>
      <c r="R250" s="1009">
        <v>2024</v>
      </c>
      <c r="S250" s="1009">
        <v>2024</v>
      </c>
    </row>
    <row r="251" spans="1:19" s="1004" customFormat="1" ht="39.6" customHeight="1">
      <c r="A251" s="1009">
        <v>35</v>
      </c>
      <c r="B251" s="1146" t="s">
        <v>2107</v>
      </c>
      <c r="C251" s="1009">
        <v>1953</v>
      </c>
      <c r="D251" s="1009"/>
      <c r="E251" s="1009" t="s">
        <v>218</v>
      </c>
      <c r="F251" s="1009">
        <v>2</v>
      </c>
      <c r="G251" s="1009">
        <v>1</v>
      </c>
      <c r="H251" s="1023">
        <v>1162.3</v>
      </c>
      <c r="I251" s="1023">
        <v>579.1</v>
      </c>
      <c r="J251" s="1023">
        <v>579.1</v>
      </c>
      <c r="K251" s="1009">
        <v>15</v>
      </c>
      <c r="L251" s="1023">
        <v>14807366.949999999</v>
      </c>
      <c r="M251" s="1130">
        <v>0</v>
      </c>
      <c r="N251" s="1130">
        <v>0</v>
      </c>
      <c r="O251" s="1023">
        <v>14807366.949999999</v>
      </c>
      <c r="P251" s="1130">
        <v>0</v>
      </c>
      <c r="Q251" s="1130">
        <v>0</v>
      </c>
      <c r="R251" s="1009">
        <v>2024</v>
      </c>
      <c r="S251" s="1009">
        <v>2024</v>
      </c>
    </row>
    <row r="252" spans="1:19" s="992" customFormat="1" ht="43.9" customHeight="1">
      <c r="A252" s="1009">
        <v>36</v>
      </c>
      <c r="B252" s="1146" t="s">
        <v>2108</v>
      </c>
      <c r="C252" s="1009">
        <v>1955</v>
      </c>
      <c r="D252" s="1009"/>
      <c r="E252" s="1009" t="s">
        <v>218</v>
      </c>
      <c r="F252" s="1009">
        <v>2</v>
      </c>
      <c r="G252" s="1009">
        <v>1</v>
      </c>
      <c r="H252" s="1023">
        <v>589.5</v>
      </c>
      <c r="I252" s="1023">
        <v>419.7</v>
      </c>
      <c r="J252" s="1023">
        <v>419.7</v>
      </c>
      <c r="K252" s="1009">
        <v>15</v>
      </c>
      <c r="L252" s="1023">
        <v>2289645.79</v>
      </c>
      <c r="M252" s="1130">
        <v>0</v>
      </c>
      <c r="N252" s="1130">
        <v>0</v>
      </c>
      <c r="O252" s="1023">
        <v>2289645.79</v>
      </c>
      <c r="P252" s="1130">
        <v>0</v>
      </c>
      <c r="Q252" s="1130">
        <v>0</v>
      </c>
      <c r="R252" s="1009">
        <v>2024</v>
      </c>
      <c r="S252" s="1009">
        <v>2024</v>
      </c>
    </row>
    <row r="253" spans="1:19" s="992" customFormat="1" ht="43.9" customHeight="1">
      <c r="A253" s="1114"/>
      <c r="B253" s="1426" t="s">
        <v>1024</v>
      </c>
      <c r="C253" s="1426"/>
      <c r="D253" s="1426"/>
      <c r="E253" s="1426"/>
      <c r="F253" s="1426"/>
      <c r="G253" s="1426"/>
      <c r="H253" s="985">
        <f t="shared" ref="H253:Q253" si="56">SUM(H254:H255)</f>
        <v>2731.7000000000003</v>
      </c>
      <c r="I253" s="985">
        <f t="shared" si="56"/>
        <v>2400</v>
      </c>
      <c r="J253" s="985">
        <f t="shared" si="56"/>
        <v>2400</v>
      </c>
      <c r="K253" s="1030">
        <f t="shared" si="56"/>
        <v>78</v>
      </c>
      <c r="L253" s="985">
        <f t="shared" si="56"/>
        <v>16524105.950000001</v>
      </c>
      <c r="M253" s="985">
        <f t="shared" si="56"/>
        <v>0</v>
      </c>
      <c r="N253" s="985">
        <f t="shared" si="56"/>
        <v>0</v>
      </c>
      <c r="O253" s="985">
        <f t="shared" si="56"/>
        <v>16524105.950000001</v>
      </c>
      <c r="P253" s="985">
        <f t="shared" si="56"/>
        <v>0</v>
      </c>
      <c r="Q253" s="985">
        <f t="shared" si="56"/>
        <v>0</v>
      </c>
      <c r="R253" s="991" t="s">
        <v>40</v>
      </c>
      <c r="S253" s="991" t="s">
        <v>40</v>
      </c>
    </row>
    <row r="254" spans="1:19" s="992" customFormat="1" ht="43.15" customHeight="1">
      <c r="A254" s="1116">
        <v>37</v>
      </c>
      <c r="B254" s="1113" t="s">
        <v>1405</v>
      </c>
      <c r="C254" s="1116">
        <v>1917</v>
      </c>
      <c r="D254" s="1116"/>
      <c r="E254" s="1114" t="s">
        <v>218</v>
      </c>
      <c r="F254" s="1116">
        <v>2</v>
      </c>
      <c r="G254" s="1116">
        <v>3</v>
      </c>
      <c r="H254" s="985">
        <v>432.4</v>
      </c>
      <c r="I254" s="985">
        <v>405.4</v>
      </c>
      <c r="J254" s="985">
        <v>405.4</v>
      </c>
      <c r="K254" s="1030">
        <v>12</v>
      </c>
      <c r="L254" s="985">
        <v>4913874.07</v>
      </c>
      <c r="M254" s="985">
        <v>0</v>
      </c>
      <c r="N254" s="985">
        <v>0</v>
      </c>
      <c r="O254" s="985">
        <f>L254</f>
        <v>4913874.07</v>
      </c>
      <c r="P254" s="985">
        <v>0</v>
      </c>
      <c r="Q254" s="985">
        <v>0</v>
      </c>
      <c r="R254" s="1116">
        <v>2023</v>
      </c>
      <c r="S254" s="1116">
        <v>2023</v>
      </c>
    </row>
    <row r="255" spans="1:19" s="992" customFormat="1" ht="43.15" customHeight="1">
      <c r="A255" s="1116">
        <v>38</v>
      </c>
      <c r="B255" s="1113" t="s">
        <v>1406</v>
      </c>
      <c r="C255" s="1116">
        <v>1933</v>
      </c>
      <c r="D255" s="1116"/>
      <c r="E255" s="1114" t="s">
        <v>218</v>
      </c>
      <c r="F255" s="1116">
        <v>3</v>
      </c>
      <c r="G255" s="1116">
        <v>4</v>
      </c>
      <c r="H255" s="985">
        <v>2299.3000000000002</v>
      </c>
      <c r="I255" s="985">
        <v>1994.6</v>
      </c>
      <c r="J255" s="985">
        <v>1994.6</v>
      </c>
      <c r="K255" s="1030">
        <v>66</v>
      </c>
      <c r="L255" s="985">
        <v>11610231.880000001</v>
      </c>
      <c r="M255" s="985">
        <v>0</v>
      </c>
      <c r="N255" s="985">
        <v>0</v>
      </c>
      <c r="O255" s="985">
        <f t="shared" ref="O255" si="57">L255</f>
        <v>11610231.880000001</v>
      </c>
      <c r="P255" s="985">
        <v>0</v>
      </c>
      <c r="Q255" s="985">
        <v>0</v>
      </c>
      <c r="R255" s="1116">
        <v>2023</v>
      </c>
      <c r="S255" s="1116">
        <v>2023</v>
      </c>
    </row>
    <row r="256" spans="1:19" s="992" customFormat="1" ht="43.15" customHeight="1">
      <c r="A256" s="1116"/>
      <c r="B256" s="1111" t="s">
        <v>1055</v>
      </c>
      <c r="C256" s="1116"/>
      <c r="D256" s="1096"/>
      <c r="E256" s="1114"/>
      <c r="F256" s="1116"/>
      <c r="G256" s="1116"/>
      <c r="H256" s="1024">
        <f t="shared" ref="H256:Q256" si="58">SUM(H257:H258)</f>
        <v>2842.7</v>
      </c>
      <c r="I256" s="1024">
        <f t="shared" si="58"/>
        <v>2496.5</v>
      </c>
      <c r="J256" s="1024">
        <f t="shared" si="58"/>
        <v>1944.13</v>
      </c>
      <c r="K256" s="1030">
        <f t="shared" si="58"/>
        <v>126</v>
      </c>
      <c r="L256" s="1024">
        <f t="shared" si="58"/>
        <v>10868333.24</v>
      </c>
      <c r="M256" s="1024">
        <f t="shared" si="58"/>
        <v>0</v>
      </c>
      <c r="N256" s="1024">
        <f t="shared" si="58"/>
        <v>0</v>
      </c>
      <c r="O256" s="1024">
        <f t="shared" si="58"/>
        <v>10868333.24</v>
      </c>
      <c r="P256" s="1024">
        <f t="shared" si="58"/>
        <v>0</v>
      </c>
      <c r="Q256" s="1024">
        <f t="shared" si="58"/>
        <v>0</v>
      </c>
      <c r="R256" s="991" t="s">
        <v>40</v>
      </c>
      <c r="S256" s="991" t="s">
        <v>40</v>
      </c>
    </row>
    <row r="257" spans="1:19" s="992" customFormat="1" ht="43.15" customHeight="1">
      <c r="A257" s="1116">
        <v>39</v>
      </c>
      <c r="B257" s="1111" t="s">
        <v>1567</v>
      </c>
      <c r="C257" s="1116">
        <v>1962</v>
      </c>
      <c r="D257" s="1116"/>
      <c r="E257" s="1114" t="s">
        <v>218</v>
      </c>
      <c r="F257" s="1116">
        <v>3</v>
      </c>
      <c r="G257" s="1116">
        <v>2</v>
      </c>
      <c r="H257" s="1036">
        <v>1075.8</v>
      </c>
      <c r="I257" s="1036">
        <v>958.4</v>
      </c>
      <c r="J257" s="1036">
        <v>767.4</v>
      </c>
      <c r="K257" s="1030">
        <v>45</v>
      </c>
      <c r="L257" s="985">
        <v>5434166.6200000001</v>
      </c>
      <c r="M257" s="985">
        <v>0</v>
      </c>
      <c r="N257" s="985">
        <v>0</v>
      </c>
      <c r="O257" s="985">
        <f>L257</f>
        <v>5434166.6200000001</v>
      </c>
      <c r="P257" s="985">
        <v>0</v>
      </c>
      <c r="Q257" s="985">
        <v>0</v>
      </c>
      <c r="R257" s="1116">
        <v>2024</v>
      </c>
      <c r="S257" s="1116">
        <v>2024</v>
      </c>
    </row>
    <row r="258" spans="1:19" s="992" customFormat="1" ht="36" customHeight="1">
      <c r="A258" s="1116">
        <v>40</v>
      </c>
      <c r="B258" s="1111" t="s">
        <v>1568</v>
      </c>
      <c r="C258" s="1116">
        <v>1964</v>
      </c>
      <c r="D258" s="1116"/>
      <c r="E258" s="1114" t="s">
        <v>218</v>
      </c>
      <c r="F258" s="1116">
        <v>5</v>
      </c>
      <c r="G258" s="1116">
        <v>2</v>
      </c>
      <c r="H258" s="1036">
        <v>1766.9</v>
      </c>
      <c r="I258" s="1036">
        <v>1538.1</v>
      </c>
      <c r="J258" s="1036">
        <v>1176.73</v>
      </c>
      <c r="K258" s="1030">
        <v>81</v>
      </c>
      <c r="L258" s="985">
        <v>5434166.6200000001</v>
      </c>
      <c r="M258" s="985">
        <v>0</v>
      </c>
      <c r="N258" s="985">
        <v>0</v>
      </c>
      <c r="O258" s="985">
        <f t="shared" ref="O258" si="59">L258</f>
        <v>5434166.6200000001</v>
      </c>
      <c r="P258" s="985">
        <v>0</v>
      </c>
      <c r="Q258" s="985">
        <v>0</v>
      </c>
      <c r="R258" s="1116">
        <v>2024</v>
      </c>
      <c r="S258" s="1116">
        <v>2024</v>
      </c>
    </row>
    <row r="259" spans="1:19" s="992" customFormat="1" ht="43.9" customHeight="1">
      <c r="A259" s="1116"/>
      <c r="B259" s="1111" t="s">
        <v>1054</v>
      </c>
      <c r="C259" s="1116"/>
      <c r="D259" s="1096"/>
      <c r="E259" s="1114"/>
      <c r="F259" s="1116"/>
      <c r="G259" s="1116"/>
      <c r="H259" s="1024">
        <f>H260+H261</f>
        <v>5399.4</v>
      </c>
      <c r="I259" s="1024">
        <f t="shared" ref="I259:Q259" si="60">I260+I261</f>
        <v>4325.6000000000004</v>
      </c>
      <c r="J259" s="1024">
        <f t="shared" si="60"/>
        <v>4037.1</v>
      </c>
      <c r="K259" s="1024">
        <f t="shared" si="60"/>
        <v>162</v>
      </c>
      <c r="L259" s="1024">
        <f t="shared" si="60"/>
        <v>4437569.01</v>
      </c>
      <c r="M259" s="1024">
        <f t="shared" si="60"/>
        <v>0</v>
      </c>
      <c r="N259" s="1024">
        <f t="shared" si="60"/>
        <v>0</v>
      </c>
      <c r="O259" s="1024">
        <f t="shared" si="60"/>
        <v>4437569.01</v>
      </c>
      <c r="P259" s="1024">
        <f t="shared" si="60"/>
        <v>0</v>
      </c>
      <c r="Q259" s="1024">
        <f t="shared" si="60"/>
        <v>0</v>
      </c>
      <c r="R259" s="991" t="s">
        <v>40</v>
      </c>
      <c r="S259" s="991" t="s">
        <v>40</v>
      </c>
    </row>
    <row r="260" spans="1:19" s="992" customFormat="1" ht="40.15" customHeight="1">
      <c r="A260" s="1116">
        <v>41</v>
      </c>
      <c r="B260" s="1111" t="s">
        <v>1482</v>
      </c>
      <c r="C260" s="1116">
        <v>1962</v>
      </c>
      <c r="D260" s="1116">
        <v>2012</v>
      </c>
      <c r="E260" s="1114" t="s">
        <v>218</v>
      </c>
      <c r="F260" s="1116">
        <v>4</v>
      </c>
      <c r="G260" s="1116">
        <v>3</v>
      </c>
      <c r="H260" s="1036">
        <v>2739.4</v>
      </c>
      <c r="I260" s="1036">
        <v>2186</v>
      </c>
      <c r="J260" s="1036">
        <v>2042</v>
      </c>
      <c r="K260" s="1030">
        <v>79</v>
      </c>
      <c r="L260" s="985">
        <v>2244560.6800000002</v>
      </c>
      <c r="M260" s="985">
        <v>0</v>
      </c>
      <c r="N260" s="985">
        <v>0</v>
      </c>
      <c r="O260" s="985">
        <f>L260</f>
        <v>2244560.6800000002</v>
      </c>
      <c r="P260" s="985">
        <v>0</v>
      </c>
      <c r="Q260" s="985">
        <v>0</v>
      </c>
      <c r="R260" s="1116">
        <v>2024</v>
      </c>
      <c r="S260" s="1116">
        <v>2024</v>
      </c>
    </row>
    <row r="261" spans="1:19" s="992" customFormat="1" ht="48" customHeight="1">
      <c r="A261" s="1116">
        <v>42</v>
      </c>
      <c r="B261" s="1111" t="s">
        <v>1483</v>
      </c>
      <c r="C261" s="1116">
        <v>1964</v>
      </c>
      <c r="D261" s="1116">
        <v>2012</v>
      </c>
      <c r="E261" s="1114" t="s">
        <v>218</v>
      </c>
      <c r="F261" s="1116">
        <v>4</v>
      </c>
      <c r="G261" s="1116">
        <v>3</v>
      </c>
      <c r="H261" s="1036">
        <v>2660</v>
      </c>
      <c r="I261" s="1036">
        <v>2139.6</v>
      </c>
      <c r="J261" s="1036">
        <v>1995.1</v>
      </c>
      <c r="K261" s="1030">
        <v>83</v>
      </c>
      <c r="L261" s="985">
        <v>2193008.33</v>
      </c>
      <c r="M261" s="985">
        <v>0</v>
      </c>
      <c r="N261" s="985">
        <v>0</v>
      </c>
      <c r="O261" s="985">
        <f>L261</f>
        <v>2193008.33</v>
      </c>
      <c r="P261" s="985">
        <v>0</v>
      </c>
      <c r="Q261" s="985">
        <v>0</v>
      </c>
      <c r="R261" s="1116">
        <v>2024</v>
      </c>
      <c r="S261" s="1116">
        <v>2024</v>
      </c>
    </row>
    <row r="262" spans="1:19" s="1001" customFormat="1" ht="45.6" customHeight="1">
      <c r="A262" s="1114"/>
      <c r="B262" s="1426" t="s">
        <v>1094</v>
      </c>
      <c r="C262" s="1426"/>
      <c r="D262" s="1426"/>
      <c r="E262" s="1426"/>
      <c r="F262" s="1426"/>
      <c r="G262" s="1426"/>
      <c r="H262" s="1036">
        <f>H263</f>
        <v>948.9</v>
      </c>
      <c r="I262" s="1036">
        <f t="shared" ref="I262:Q262" si="61">I263</f>
        <v>825.6</v>
      </c>
      <c r="J262" s="1036">
        <f t="shared" si="61"/>
        <v>825.6</v>
      </c>
      <c r="K262" s="1036">
        <f t="shared" si="61"/>
        <v>26</v>
      </c>
      <c r="L262" s="1036">
        <f t="shared" si="61"/>
        <v>6667741.7199999997</v>
      </c>
      <c r="M262" s="1036">
        <f t="shared" si="61"/>
        <v>0</v>
      </c>
      <c r="N262" s="1036">
        <f t="shared" si="61"/>
        <v>0</v>
      </c>
      <c r="O262" s="1036">
        <f t="shared" si="61"/>
        <v>6667741.7199999997</v>
      </c>
      <c r="P262" s="1036">
        <f t="shared" si="61"/>
        <v>0</v>
      </c>
      <c r="Q262" s="1036">
        <f t="shared" si="61"/>
        <v>0</v>
      </c>
      <c r="R262" s="991" t="s">
        <v>40</v>
      </c>
      <c r="S262" s="991" t="s">
        <v>40</v>
      </c>
    </row>
    <row r="263" spans="1:19" s="1001" customFormat="1" ht="42.6" customHeight="1">
      <c r="A263" s="1114">
        <v>43</v>
      </c>
      <c r="B263" s="1111" t="s">
        <v>1536</v>
      </c>
      <c r="C263" s="1116">
        <v>1984</v>
      </c>
      <c r="D263" s="1116"/>
      <c r="E263" s="1114" t="s">
        <v>218</v>
      </c>
      <c r="F263" s="1116">
        <v>2</v>
      </c>
      <c r="G263" s="1116">
        <v>3</v>
      </c>
      <c r="H263" s="1036">
        <v>948.9</v>
      </c>
      <c r="I263" s="1036">
        <v>825.6</v>
      </c>
      <c r="J263" s="1036">
        <v>825.6</v>
      </c>
      <c r="K263" s="1030">
        <v>26</v>
      </c>
      <c r="L263" s="985">
        <v>6667741.7199999997</v>
      </c>
      <c r="M263" s="985">
        <v>0</v>
      </c>
      <c r="N263" s="985">
        <v>0</v>
      </c>
      <c r="O263" s="985">
        <v>6667741.7199999997</v>
      </c>
      <c r="P263" s="985">
        <v>0</v>
      </c>
      <c r="Q263" s="985">
        <v>0</v>
      </c>
      <c r="R263" s="1116">
        <v>2024</v>
      </c>
      <c r="S263" s="1116">
        <v>2024</v>
      </c>
    </row>
    <row r="264" spans="1:19" s="1001" customFormat="1" ht="38.450000000000003" customHeight="1">
      <c r="A264" s="1114"/>
      <c r="B264" s="1112" t="s">
        <v>41</v>
      </c>
      <c r="C264" s="1116"/>
      <c r="D264" s="1096"/>
      <c r="E264" s="1114"/>
      <c r="F264" s="1116"/>
      <c r="G264" s="1116"/>
      <c r="H264" s="1024">
        <f>H265</f>
        <v>5495.3</v>
      </c>
      <c r="I264" s="1024">
        <f t="shared" ref="I264:Q264" si="62">I265</f>
        <v>5436.2</v>
      </c>
      <c r="J264" s="1024">
        <f t="shared" si="62"/>
        <v>5436.2</v>
      </c>
      <c r="K264" s="1030">
        <f t="shared" si="62"/>
        <v>227</v>
      </c>
      <c r="L264" s="1024">
        <f t="shared" si="62"/>
        <v>18720983.870000001</v>
      </c>
      <c r="M264" s="1024">
        <f t="shared" si="62"/>
        <v>0</v>
      </c>
      <c r="N264" s="1024">
        <f t="shared" si="62"/>
        <v>0</v>
      </c>
      <c r="O264" s="1024">
        <f t="shared" si="62"/>
        <v>18720983.870000001</v>
      </c>
      <c r="P264" s="1024">
        <f t="shared" si="62"/>
        <v>0</v>
      </c>
      <c r="Q264" s="1024">
        <f t="shared" si="62"/>
        <v>0</v>
      </c>
      <c r="R264" s="991" t="s">
        <v>40</v>
      </c>
      <c r="S264" s="991" t="s">
        <v>40</v>
      </c>
    </row>
    <row r="265" spans="1:19" s="1019" customFormat="1" ht="38.450000000000003" customHeight="1">
      <c r="A265" s="1114"/>
      <c r="B265" s="1112" t="s">
        <v>1270</v>
      </c>
      <c r="C265" s="1116"/>
      <c r="D265" s="1096"/>
      <c r="E265" s="1114"/>
      <c r="F265" s="1116"/>
      <c r="G265" s="1116"/>
      <c r="H265" s="1024">
        <f>H266+H267+H268</f>
        <v>5495.3</v>
      </c>
      <c r="I265" s="1024">
        <f t="shared" ref="I265:Q265" si="63">I266+I267+I268</f>
        <v>5436.2</v>
      </c>
      <c r="J265" s="1024">
        <f t="shared" si="63"/>
        <v>5436.2</v>
      </c>
      <c r="K265" s="1024">
        <f t="shared" si="63"/>
        <v>227</v>
      </c>
      <c r="L265" s="1024">
        <f t="shared" si="63"/>
        <v>18720983.870000001</v>
      </c>
      <c r="M265" s="1024">
        <f t="shared" si="63"/>
        <v>0</v>
      </c>
      <c r="N265" s="1024">
        <f t="shared" si="63"/>
        <v>0</v>
      </c>
      <c r="O265" s="1024">
        <f t="shared" si="63"/>
        <v>18720983.870000001</v>
      </c>
      <c r="P265" s="1024">
        <f t="shared" si="63"/>
        <v>0</v>
      </c>
      <c r="Q265" s="1024">
        <f t="shared" si="63"/>
        <v>0</v>
      </c>
      <c r="R265" s="991" t="s">
        <v>40</v>
      </c>
      <c r="S265" s="991" t="s">
        <v>40</v>
      </c>
    </row>
    <row r="266" spans="1:19" s="1019" customFormat="1" ht="38.450000000000003" customHeight="1">
      <c r="A266" s="1114">
        <v>44</v>
      </c>
      <c r="B266" s="1111" t="s">
        <v>1450</v>
      </c>
      <c r="C266" s="1116">
        <v>1968</v>
      </c>
      <c r="D266" s="1116"/>
      <c r="E266" s="1114" t="s">
        <v>218</v>
      </c>
      <c r="F266" s="1163">
        <v>4</v>
      </c>
      <c r="G266" s="1163">
        <v>3</v>
      </c>
      <c r="H266" s="1024">
        <v>1992.1</v>
      </c>
      <c r="I266" s="1024">
        <v>1992.1</v>
      </c>
      <c r="J266" s="1024">
        <v>1992.1</v>
      </c>
      <c r="K266" s="1030">
        <v>80</v>
      </c>
      <c r="L266" s="1024">
        <v>6179714.1900000004</v>
      </c>
      <c r="M266" s="1024">
        <v>0</v>
      </c>
      <c r="N266" s="1024">
        <v>0</v>
      </c>
      <c r="O266" s="1024">
        <v>6179714.1900000004</v>
      </c>
      <c r="P266" s="1024">
        <v>0</v>
      </c>
      <c r="Q266" s="1024">
        <v>0</v>
      </c>
      <c r="R266" s="1116">
        <v>2024</v>
      </c>
      <c r="S266" s="1116">
        <v>2024</v>
      </c>
    </row>
    <row r="267" spans="1:19" s="1019" customFormat="1" ht="45.6" customHeight="1">
      <c r="A267" s="1114">
        <v>45</v>
      </c>
      <c r="B267" s="1111" t="s">
        <v>1451</v>
      </c>
      <c r="C267" s="1116">
        <v>1958</v>
      </c>
      <c r="D267" s="1116"/>
      <c r="E267" s="1114" t="s">
        <v>218</v>
      </c>
      <c r="F267" s="1163">
        <v>2</v>
      </c>
      <c r="G267" s="1163">
        <v>2</v>
      </c>
      <c r="H267" s="1024">
        <v>686.2</v>
      </c>
      <c r="I267" s="1024">
        <v>633.79999999999995</v>
      </c>
      <c r="J267" s="1024">
        <v>633.79999999999995</v>
      </c>
      <c r="K267" s="1030">
        <v>30</v>
      </c>
      <c r="L267" s="1024">
        <v>6262780.6799999997</v>
      </c>
      <c r="M267" s="1024">
        <v>0</v>
      </c>
      <c r="N267" s="1024">
        <v>0</v>
      </c>
      <c r="O267" s="1024">
        <v>6262780.6799999997</v>
      </c>
      <c r="P267" s="1024">
        <v>0</v>
      </c>
      <c r="Q267" s="1024">
        <v>0</v>
      </c>
      <c r="R267" s="1116">
        <v>2024</v>
      </c>
      <c r="S267" s="1116">
        <v>2024</v>
      </c>
    </row>
    <row r="268" spans="1:19" s="1019" customFormat="1" ht="38.450000000000003" customHeight="1">
      <c r="A268" s="1114">
        <v>46</v>
      </c>
      <c r="B268" s="1111" t="s">
        <v>1452</v>
      </c>
      <c r="C268" s="1116">
        <v>1990</v>
      </c>
      <c r="D268" s="1116"/>
      <c r="E268" s="1114" t="s">
        <v>219</v>
      </c>
      <c r="F268" s="1163">
        <v>5</v>
      </c>
      <c r="G268" s="1163">
        <v>4</v>
      </c>
      <c r="H268" s="1024">
        <v>2817</v>
      </c>
      <c r="I268" s="1024">
        <v>2810.3</v>
      </c>
      <c r="J268" s="1024">
        <v>2810.3</v>
      </c>
      <c r="K268" s="1030">
        <v>117</v>
      </c>
      <c r="L268" s="1024">
        <v>6278489</v>
      </c>
      <c r="M268" s="1024">
        <v>0</v>
      </c>
      <c r="N268" s="1024">
        <v>0</v>
      </c>
      <c r="O268" s="1024">
        <v>6278489</v>
      </c>
      <c r="P268" s="1024">
        <v>0</v>
      </c>
      <c r="Q268" s="1024">
        <v>0</v>
      </c>
      <c r="R268" s="1116">
        <v>2024</v>
      </c>
      <c r="S268" s="1116">
        <v>2024</v>
      </c>
    </row>
    <row r="269" spans="1:19" s="1019" customFormat="1" ht="38.450000000000003" customHeight="1">
      <c r="A269" s="1114"/>
      <c r="B269" s="1112" t="s">
        <v>1237</v>
      </c>
      <c r="C269" s="1116"/>
      <c r="D269" s="1096"/>
      <c r="E269" s="1114"/>
      <c r="F269" s="1116"/>
      <c r="G269" s="1116"/>
      <c r="H269" s="1024">
        <f>H270+H271</f>
        <v>873.09999999999991</v>
      </c>
      <c r="I269" s="1024">
        <f t="shared" ref="I269:Q269" si="64">I270+I271</f>
        <v>741.90000000000009</v>
      </c>
      <c r="J269" s="1024">
        <f t="shared" si="64"/>
        <v>378.5</v>
      </c>
      <c r="K269" s="1024">
        <f t="shared" si="64"/>
        <v>31</v>
      </c>
      <c r="L269" s="1024">
        <f t="shared" si="64"/>
        <v>815494.4</v>
      </c>
      <c r="M269" s="1024">
        <f t="shared" si="64"/>
        <v>0</v>
      </c>
      <c r="N269" s="1024">
        <f t="shared" si="64"/>
        <v>0</v>
      </c>
      <c r="O269" s="1024">
        <f t="shared" si="64"/>
        <v>815494.4</v>
      </c>
      <c r="P269" s="1024">
        <f t="shared" si="64"/>
        <v>0</v>
      </c>
      <c r="Q269" s="1024">
        <f t="shared" si="64"/>
        <v>0</v>
      </c>
      <c r="R269" s="991" t="s">
        <v>40</v>
      </c>
      <c r="S269" s="991" t="s">
        <v>40</v>
      </c>
    </row>
    <row r="270" spans="1:19" s="1019" customFormat="1" ht="38.450000000000003" customHeight="1">
      <c r="A270" s="1114">
        <v>47</v>
      </c>
      <c r="B270" s="1115" t="s">
        <v>1386</v>
      </c>
      <c r="C270" s="1116">
        <v>1971</v>
      </c>
      <c r="D270" s="1116"/>
      <c r="E270" s="1114" t="s">
        <v>218</v>
      </c>
      <c r="F270" s="1116">
        <v>2</v>
      </c>
      <c r="G270" s="1116">
        <v>2</v>
      </c>
      <c r="H270" s="1024">
        <v>486.4</v>
      </c>
      <c r="I270" s="1024">
        <v>355.6</v>
      </c>
      <c r="J270" s="1024">
        <v>297</v>
      </c>
      <c r="K270" s="1030">
        <v>17</v>
      </c>
      <c r="L270" s="1024">
        <v>390874.52</v>
      </c>
      <c r="M270" s="1024">
        <v>0</v>
      </c>
      <c r="N270" s="1024">
        <v>0</v>
      </c>
      <c r="O270" s="1024">
        <v>390874.52</v>
      </c>
      <c r="P270" s="1024">
        <v>0</v>
      </c>
      <c r="Q270" s="1024">
        <v>0</v>
      </c>
      <c r="R270" s="1116">
        <v>2024</v>
      </c>
      <c r="S270" s="1116">
        <v>2024</v>
      </c>
    </row>
    <row r="271" spans="1:19" s="1019" customFormat="1" ht="38.450000000000003" customHeight="1">
      <c r="A271" s="1114">
        <v>48</v>
      </c>
      <c r="B271" s="1115" t="s">
        <v>1387</v>
      </c>
      <c r="C271" s="1116">
        <v>1977</v>
      </c>
      <c r="D271" s="1116"/>
      <c r="E271" s="1114" t="s">
        <v>218</v>
      </c>
      <c r="F271" s="1116">
        <v>2</v>
      </c>
      <c r="G271" s="1116">
        <v>1</v>
      </c>
      <c r="H271" s="1024">
        <v>386.7</v>
      </c>
      <c r="I271" s="1024">
        <v>386.3</v>
      </c>
      <c r="J271" s="1024">
        <v>81.5</v>
      </c>
      <c r="K271" s="1030">
        <v>14</v>
      </c>
      <c r="L271" s="1024">
        <v>424619.88</v>
      </c>
      <c r="M271" s="1024">
        <v>0</v>
      </c>
      <c r="N271" s="1024">
        <v>0</v>
      </c>
      <c r="O271" s="1024">
        <v>424619.88</v>
      </c>
      <c r="P271" s="1024">
        <v>0</v>
      </c>
      <c r="Q271" s="1024">
        <v>0</v>
      </c>
      <c r="R271" s="1116">
        <v>2024</v>
      </c>
      <c r="S271" s="1116">
        <v>2024</v>
      </c>
    </row>
    <row r="272" spans="1:19" s="1019" customFormat="1" ht="38.450000000000003" customHeight="1">
      <c r="A272" s="1114"/>
      <c r="B272" s="1427" t="s">
        <v>43</v>
      </c>
      <c r="C272" s="1427"/>
      <c r="D272" s="1427"/>
      <c r="E272" s="1427"/>
      <c r="F272" s="1427"/>
      <c r="G272" s="1427"/>
      <c r="H272" s="1024">
        <f>H273</f>
        <v>1313.4</v>
      </c>
      <c r="I272" s="1024">
        <f t="shared" ref="I272:Q272" si="65">I273</f>
        <v>1313.4</v>
      </c>
      <c r="J272" s="1024">
        <f t="shared" si="65"/>
        <v>1313.4</v>
      </c>
      <c r="K272" s="1030">
        <f t="shared" si="65"/>
        <v>32</v>
      </c>
      <c r="L272" s="1024">
        <f t="shared" si="65"/>
        <v>16322864.310000001</v>
      </c>
      <c r="M272" s="1024">
        <f t="shared" si="65"/>
        <v>0</v>
      </c>
      <c r="N272" s="1024">
        <f t="shared" si="65"/>
        <v>0</v>
      </c>
      <c r="O272" s="1024">
        <f t="shared" si="65"/>
        <v>16322864.310000001</v>
      </c>
      <c r="P272" s="1024">
        <f t="shared" si="65"/>
        <v>0</v>
      </c>
      <c r="Q272" s="1024">
        <f t="shared" si="65"/>
        <v>0</v>
      </c>
      <c r="R272" s="991" t="s">
        <v>40</v>
      </c>
      <c r="S272" s="991" t="s">
        <v>40</v>
      </c>
    </row>
    <row r="273" spans="1:19" s="1019" customFormat="1" ht="38.450000000000003" customHeight="1">
      <c r="A273" s="1114"/>
      <c r="B273" s="1429" t="s">
        <v>1040</v>
      </c>
      <c r="C273" s="1429"/>
      <c r="D273" s="1429"/>
      <c r="E273" s="1429"/>
      <c r="F273" s="1429"/>
      <c r="G273" s="1429"/>
      <c r="H273" s="1024">
        <f t="shared" ref="H273:Q273" si="66">SUM(H274:H274)</f>
        <v>1313.4</v>
      </c>
      <c r="I273" s="1024">
        <f t="shared" si="66"/>
        <v>1313.4</v>
      </c>
      <c r="J273" s="1024">
        <f t="shared" si="66"/>
        <v>1313.4</v>
      </c>
      <c r="K273" s="1030">
        <f t="shared" si="66"/>
        <v>32</v>
      </c>
      <c r="L273" s="1024">
        <f t="shared" si="66"/>
        <v>16322864.310000001</v>
      </c>
      <c r="M273" s="1024">
        <f t="shared" si="66"/>
        <v>0</v>
      </c>
      <c r="N273" s="1024">
        <f t="shared" si="66"/>
        <v>0</v>
      </c>
      <c r="O273" s="1024">
        <f t="shared" si="66"/>
        <v>16322864.310000001</v>
      </c>
      <c r="P273" s="1024">
        <f t="shared" si="66"/>
        <v>0</v>
      </c>
      <c r="Q273" s="1024">
        <f t="shared" si="66"/>
        <v>0</v>
      </c>
      <c r="R273" s="991" t="s">
        <v>40</v>
      </c>
      <c r="S273" s="991" t="s">
        <v>40</v>
      </c>
    </row>
    <row r="274" spans="1:19" s="1019" customFormat="1" ht="42.6" customHeight="1">
      <c r="A274" s="1116">
        <v>49</v>
      </c>
      <c r="B274" s="1111" t="s">
        <v>1608</v>
      </c>
      <c r="C274" s="1116">
        <v>1962</v>
      </c>
      <c r="D274" s="1114"/>
      <c r="E274" s="1114" t="s">
        <v>218</v>
      </c>
      <c r="F274" s="1116">
        <v>4</v>
      </c>
      <c r="G274" s="1116">
        <v>2</v>
      </c>
      <c r="H274" s="986">
        <v>1313.4</v>
      </c>
      <c r="I274" s="986">
        <v>1313.4</v>
      </c>
      <c r="J274" s="986">
        <v>1313.4</v>
      </c>
      <c r="K274" s="1030">
        <v>32</v>
      </c>
      <c r="L274" s="985">
        <v>16322864.310000001</v>
      </c>
      <c r="M274" s="985">
        <v>0</v>
      </c>
      <c r="N274" s="985">
        <v>0</v>
      </c>
      <c r="O274" s="985">
        <f>L274</f>
        <v>16322864.310000001</v>
      </c>
      <c r="P274" s="985">
        <v>0</v>
      </c>
      <c r="Q274" s="985">
        <v>0</v>
      </c>
      <c r="R274" s="1116">
        <v>2024</v>
      </c>
      <c r="S274" s="1116">
        <v>2024</v>
      </c>
    </row>
    <row r="275" spans="1:19" s="1011" customFormat="1" ht="42.6" customHeight="1">
      <c r="A275" s="1114"/>
      <c r="B275" s="1426" t="s">
        <v>1312</v>
      </c>
      <c r="C275" s="1426"/>
      <c r="D275" s="1426"/>
      <c r="E275" s="1426"/>
      <c r="F275" s="1426"/>
      <c r="G275" s="1426"/>
      <c r="H275" s="986">
        <f>H276</f>
        <v>2003.4</v>
      </c>
      <c r="I275" s="986">
        <f t="shared" ref="I275:Q275" si="67">I276</f>
        <v>1713.3</v>
      </c>
      <c r="J275" s="986">
        <f t="shared" si="67"/>
        <v>1661</v>
      </c>
      <c r="K275" s="986">
        <f t="shared" si="67"/>
        <v>52</v>
      </c>
      <c r="L275" s="986">
        <f t="shared" si="67"/>
        <v>4370826.05</v>
      </c>
      <c r="M275" s="986">
        <f t="shared" si="67"/>
        <v>0</v>
      </c>
      <c r="N275" s="986">
        <f t="shared" si="67"/>
        <v>0</v>
      </c>
      <c r="O275" s="986">
        <f t="shared" si="67"/>
        <v>4370826.05</v>
      </c>
      <c r="P275" s="986">
        <f t="shared" si="67"/>
        <v>0</v>
      </c>
      <c r="Q275" s="986">
        <f t="shared" si="67"/>
        <v>0</v>
      </c>
      <c r="R275" s="991" t="s">
        <v>40</v>
      </c>
      <c r="S275" s="991" t="s">
        <v>40</v>
      </c>
    </row>
    <row r="276" spans="1:19" s="992" customFormat="1" ht="38.450000000000003" customHeight="1">
      <c r="A276" s="1114">
        <v>50</v>
      </c>
      <c r="B276" s="1112" t="s">
        <v>1436</v>
      </c>
      <c r="C276" s="1116">
        <v>1985</v>
      </c>
      <c r="D276" s="1163"/>
      <c r="E276" s="1114" t="s">
        <v>219</v>
      </c>
      <c r="F276" s="1163">
        <v>3</v>
      </c>
      <c r="G276" s="1163">
        <v>2</v>
      </c>
      <c r="H276" s="986">
        <v>2003.4</v>
      </c>
      <c r="I276" s="986">
        <v>1713.3</v>
      </c>
      <c r="J276" s="986">
        <v>1661</v>
      </c>
      <c r="K276" s="1030">
        <v>52</v>
      </c>
      <c r="L276" s="986">
        <v>4370826.05</v>
      </c>
      <c r="M276" s="986">
        <v>0</v>
      </c>
      <c r="N276" s="986">
        <v>0</v>
      </c>
      <c r="O276" s="986">
        <v>4370826.05</v>
      </c>
      <c r="P276" s="986">
        <v>0</v>
      </c>
      <c r="Q276" s="986">
        <v>0</v>
      </c>
      <c r="R276" s="1116">
        <v>2024</v>
      </c>
      <c r="S276" s="1116">
        <v>2024</v>
      </c>
    </row>
    <row r="277" spans="1:19" s="1020" customFormat="1" ht="41.45" customHeight="1">
      <c r="A277" s="1114"/>
      <c r="B277" s="1426" t="s">
        <v>1098</v>
      </c>
      <c r="C277" s="1426"/>
      <c r="D277" s="1426"/>
      <c r="E277" s="1426"/>
      <c r="F277" s="1426"/>
      <c r="G277" s="1426"/>
      <c r="H277" s="986">
        <f>H278</f>
        <v>1587.9</v>
      </c>
      <c r="I277" s="986">
        <f t="shared" ref="I277:Q277" si="68">I278</f>
        <v>1587.9</v>
      </c>
      <c r="J277" s="986">
        <f t="shared" si="68"/>
        <v>1293.5999999999999</v>
      </c>
      <c r="K277" s="986">
        <f t="shared" si="68"/>
        <v>41</v>
      </c>
      <c r="L277" s="986">
        <f t="shared" si="68"/>
        <v>4158100.78</v>
      </c>
      <c r="M277" s="986">
        <f t="shared" si="68"/>
        <v>0</v>
      </c>
      <c r="N277" s="986">
        <f t="shared" si="68"/>
        <v>0</v>
      </c>
      <c r="O277" s="986">
        <f t="shared" si="68"/>
        <v>4158100.78</v>
      </c>
      <c r="P277" s="986">
        <f t="shared" si="68"/>
        <v>0</v>
      </c>
      <c r="Q277" s="986">
        <f t="shared" si="68"/>
        <v>0</v>
      </c>
      <c r="R277" s="991" t="s">
        <v>40</v>
      </c>
      <c r="S277" s="991" t="s">
        <v>40</v>
      </c>
    </row>
    <row r="278" spans="1:19" s="1020" customFormat="1" ht="37.15" customHeight="1">
      <c r="A278" s="1114">
        <v>51</v>
      </c>
      <c r="B278" s="1115" t="s">
        <v>1599</v>
      </c>
      <c r="C278" s="1116">
        <v>1993</v>
      </c>
      <c r="D278" s="1116"/>
      <c r="E278" s="1114" t="s">
        <v>219</v>
      </c>
      <c r="F278" s="1116">
        <v>3</v>
      </c>
      <c r="G278" s="1116">
        <v>2</v>
      </c>
      <c r="H278" s="985">
        <v>1587.9</v>
      </c>
      <c r="I278" s="985">
        <v>1587.9</v>
      </c>
      <c r="J278" s="985">
        <v>1293.5999999999999</v>
      </c>
      <c r="K278" s="1030">
        <v>41</v>
      </c>
      <c r="L278" s="985">
        <v>4158100.78</v>
      </c>
      <c r="M278" s="985">
        <v>0</v>
      </c>
      <c r="N278" s="985">
        <v>0</v>
      </c>
      <c r="O278" s="985">
        <v>4158100.78</v>
      </c>
      <c r="P278" s="985">
        <v>0</v>
      </c>
      <c r="Q278" s="985">
        <v>0</v>
      </c>
      <c r="R278" s="1116">
        <v>2024</v>
      </c>
      <c r="S278" s="1116">
        <v>2024</v>
      </c>
    </row>
    <row r="279" spans="1:19" s="1020" customFormat="1" ht="41.45" customHeight="1">
      <c r="A279" s="1114"/>
      <c r="B279" s="1426" t="s">
        <v>49</v>
      </c>
      <c r="C279" s="1426"/>
      <c r="D279" s="1426"/>
      <c r="E279" s="1426"/>
      <c r="F279" s="1426"/>
      <c r="G279" s="1426"/>
      <c r="H279" s="985">
        <f>H280+H282</f>
        <v>1344.5</v>
      </c>
      <c r="I279" s="985">
        <f t="shared" ref="I279:Q279" si="69">I280+I282</f>
        <v>1028.4000000000001</v>
      </c>
      <c r="J279" s="985">
        <f t="shared" si="69"/>
        <v>1028.4000000000001</v>
      </c>
      <c r="K279" s="985">
        <f t="shared" si="69"/>
        <v>51</v>
      </c>
      <c r="L279" s="985">
        <f t="shared" si="69"/>
        <v>5038527.6099999994</v>
      </c>
      <c r="M279" s="985">
        <f t="shared" si="69"/>
        <v>0</v>
      </c>
      <c r="N279" s="985">
        <f t="shared" si="69"/>
        <v>0</v>
      </c>
      <c r="O279" s="985">
        <f t="shared" si="69"/>
        <v>5038527.6099999994</v>
      </c>
      <c r="P279" s="985">
        <f t="shared" si="69"/>
        <v>0</v>
      </c>
      <c r="Q279" s="985">
        <f t="shared" si="69"/>
        <v>0</v>
      </c>
      <c r="R279" s="991" t="s">
        <v>40</v>
      </c>
      <c r="S279" s="991" t="s">
        <v>40</v>
      </c>
    </row>
    <row r="280" spans="1:19" s="1002" customFormat="1" ht="41.45" customHeight="1">
      <c r="A280" s="1114"/>
      <c r="B280" s="1426" t="s">
        <v>1056</v>
      </c>
      <c r="C280" s="1426"/>
      <c r="D280" s="1426"/>
      <c r="E280" s="1426"/>
      <c r="F280" s="1426"/>
      <c r="G280" s="1426"/>
      <c r="H280" s="985">
        <f>H281</f>
        <v>545.20000000000005</v>
      </c>
      <c r="I280" s="985">
        <f t="shared" ref="I280:Q280" si="70">I281</f>
        <v>545.20000000000005</v>
      </c>
      <c r="J280" s="985">
        <f t="shared" si="70"/>
        <v>545.20000000000005</v>
      </c>
      <c r="K280" s="1030">
        <f t="shared" si="70"/>
        <v>21</v>
      </c>
      <c r="L280" s="985">
        <f t="shared" si="70"/>
        <v>2119864.58</v>
      </c>
      <c r="M280" s="985">
        <f t="shared" si="70"/>
        <v>0</v>
      </c>
      <c r="N280" s="985">
        <f t="shared" si="70"/>
        <v>0</v>
      </c>
      <c r="O280" s="985">
        <f t="shared" si="70"/>
        <v>2119864.58</v>
      </c>
      <c r="P280" s="985">
        <f t="shared" si="70"/>
        <v>0</v>
      </c>
      <c r="Q280" s="985">
        <f t="shared" si="70"/>
        <v>0</v>
      </c>
      <c r="R280" s="991" t="s">
        <v>40</v>
      </c>
      <c r="S280" s="991" t="s">
        <v>40</v>
      </c>
    </row>
    <row r="281" spans="1:19" s="1002" customFormat="1" ht="45" customHeight="1">
      <c r="A281" s="1114">
        <v>52</v>
      </c>
      <c r="B281" s="1112" t="s">
        <v>1432</v>
      </c>
      <c r="C281" s="1116">
        <v>1970</v>
      </c>
      <c r="D281" s="1116"/>
      <c r="E281" s="1114" t="s">
        <v>219</v>
      </c>
      <c r="F281" s="1116">
        <v>2</v>
      </c>
      <c r="G281" s="1116">
        <v>2</v>
      </c>
      <c r="H281" s="985">
        <v>545.20000000000005</v>
      </c>
      <c r="I281" s="985">
        <v>545.20000000000005</v>
      </c>
      <c r="J281" s="985">
        <v>545.20000000000005</v>
      </c>
      <c r="K281" s="1030">
        <v>21</v>
      </c>
      <c r="L281" s="986">
        <v>2119864.58</v>
      </c>
      <c r="M281" s="986">
        <v>0</v>
      </c>
      <c r="N281" s="986">
        <v>0</v>
      </c>
      <c r="O281" s="986">
        <f>L281</f>
        <v>2119864.58</v>
      </c>
      <c r="P281" s="993">
        <v>0</v>
      </c>
      <c r="Q281" s="986">
        <v>0</v>
      </c>
      <c r="R281" s="987">
        <v>2024</v>
      </c>
      <c r="S281" s="987">
        <v>2024</v>
      </c>
    </row>
    <row r="282" spans="1:19" s="1002" customFormat="1" ht="46.9" customHeight="1">
      <c r="A282" s="1114"/>
      <c r="B282" s="1428" t="s">
        <v>1087</v>
      </c>
      <c r="C282" s="1428"/>
      <c r="D282" s="1428"/>
      <c r="E282" s="1428"/>
      <c r="F282" s="1428"/>
      <c r="G282" s="1428"/>
      <c r="H282" s="985">
        <f>H283</f>
        <v>799.3</v>
      </c>
      <c r="I282" s="985">
        <f t="shared" ref="I282:Q282" si="71">I283</f>
        <v>483.2</v>
      </c>
      <c r="J282" s="985">
        <f t="shared" si="71"/>
        <v>483.2</v>
      </c>
      <c r="K282" s="1030">
        <f t="shared" si="71"/>
        <v>30</v>
      </c>
      <c r="L282" s="985">
        <f t="shared" si="71"/>
        <v>2918663.03</v>
      </c>
      <c r="M282" s="985">
        <f t="shared" si="71"/>
        <v>0</v>
      </c>
      <c r="N282" s="985">
        <f t="shared" si="71"/>
        <v>0</v>
      </c>
      <c r="O282" s="985">
        <f t="shared" si="71"/>
        <v>2918663.03</v>
      </c>
      <c r="P282" s="985">
        <f t="shared" si="71"/>
        <v>0</v>
      </c>
      <c r="Q282" s="985">
        <f t="shared" si="71"/>
        <v>0</v>
      </c>
      <c r="R282" s="991" t="s">
        <v>40</v>
      </c>
      <c r="S282" s="991" t="s">
        <v>40</v>
      </c>
    </row>
    <row r="283" spans="1:19" s="992" customFormat="1" ht="39.6" customHeight="1">
      <c r="A283" s="1114">
        <v>53</v>
      </c>
      <c r="B283" s="1115" t="s">
        <v>1703</v>
      </c>
      <c r="C283" s="1116">
        <v>1965</v>
      </c>
      <c r="D283" s="1116"/>
      <c r="E283" s="1114" t="s">
        <v>220</v>
      </c>
      <c r="F283" s="1116">
        <v>2</v>
      </c>
      <c r="G283" s="1116">
        <v>1</v>
      </c>
      <c r="H283" s="985">
        <v>799.3</v>
      </c>
      <c r="I283" s="985">
        <v>483.2</v>
      </c>
      <c r="J283" s="985">
        <v>483.2</v>
      </c>
      <c r="K283" s="1030">
        <v>30</v>
      </c>
      <c r="L283" s="986">
        <v>2918663.03</v>
      </c>
      <c r="M283" s="986">
        <v>0</v>
      </c>
      <c r="N283" s="986">
        <v>0</v>
      </c>
      <c r="O283" s="986">
        <v>2918663.03</v>
      </c>
      <c r="P283" s="993">
        <v>0</v>
      </c>
      <c r="Q283" s="986">
        <v>0</v>
      </c>
      <c r="R283" s="987">
        <v>2024</v>
      </c>
      <c r="S283" s="987">
        <v>2024</v>
      </c>
    </row>
    <row r="284" spans="1:19" s="997" customFormat="1" ht="37.9" customHeight="1">
      <c r="A284" s="1114"/>
      <c r="B284" s="1426" t="s">
        <v>50</v>
      </c>
      <c r="C284" s="1426"/>
      <c r="D284" s="1426"/>
      <c r="E284" s="1426"/>
      <c r="F284" s="1426"/>
      <c r="G284" s="1426"/>
      <c r="H284" s="985">
        <f>H285</f>
        <v>4743.07</v>
      </c>
      <c r="I284" s="985">
        <f t="shared" ref="I284:Q284" si="72">I285</f>
        <v>4177.7</v>
      </c>
      <c r="J284" s="985">
        <f t="shared" si="72"/>
        <v>3759.9000000000005</v>
      </c>
      <c r="K284" s="1030">
        <f t="shared" si="72"/>
        <v>177</v>
      </c>
      <c r="L284" s="985">
        <f t="shared" si="72"/>
        <v>11257596.639999999</v>
      </c>
      <c r="M284" s="985">
        <f t="shared" si="72"/>
        <v>0</v>
      </c>
      <c r="N284" s="985">
        <f t="shared" si="72"/>
        <v>0</v>
      </c>
      <c r="O284" s="985">
        <f t="shared" si="72"/>
        <v>11257596.639999999</v>
      </c>
      <c r="P284" s="985">
        <f t="shared" si="72"/>
        <v>0</v>
      </c>
      <c r="Q284" s="985">
        <f t="shared" si="72"/>
        <v>0</v>
      </c>
      <c r="R284" s="991" t="s">
        <v>40</v>
      </c>
      <c r="S284" s="991" t="s">
        <v>40</v>
      </c>
    </row>
    <row r="285" spans="1:19" s="997" customFormat="1" ht="40.15" customHeight="1">
      <c r="A285" s="1114"/>
      <c r="B285" s="1426" t="s">
        <v>1028</v>
      </c>
      <c r="C285" s="1426"/>
      <c r="D285" s="1426"/>
      <c r="E285" s="1426"/>
      <c r="F285" s="1426"/>
      <c r="G285" s="1426"/>
      <c r="H285" s="985">
        <f>SUM(H286:H289)</f>
        <v>4743.07</v>
      </c>
      <c r="I285" s="985">
        <f t="shared" ref="I285:Q285" si="73">SUM(I286:I289)</f>
        <v>4177.7</v>
      </c>
      <c r="J285" s="985">
        <f t="shared" si="73"/>
        <v>3759.9000000000005</v>
      </c>
      <c r="K285" s="1030">
        <f t="shared" si="73"/>
        <v>177</v>
      </c>
      <c r="L285" s="985">
        <f t="shared" si="73"/>
        <v>11257596.639999999</v>
      </c>
      <c r="M285" s="985">
        <f t="shared" si="73"/>
        <v>0</v>
      </c>
      <c r="N285" s="985">
        <f t="shared" si="73"/>
        <v>0</v>
      </c>
      <c r="O285" s="985">
        <f t="shared" si="73"/>
        <v>11257596.639999999</v>
      </c>
      <c r="P285" s="985">
        <f t="shared" si="73"/>
        <v>0</v>
      </c>
      <c r="Q285" s="985">
        <f t="shared" si="73"/>
        <v>0</v>
      </c>
      <c r="R285" s="991" t="s">
        <v>40</v>
      </c>
      <c r="S285" s="991" t="s">
        <v>40</v>
      </c>
    </row>
    <row r="286" spans="1:19" s="997" customFormat="1" ht="36.6" customHeight="1">
      <c r="A286" s="1021">
        <v>54</v>
      </c>
      <c r="B286" s="1111" t="s">
        <v>1470</v>
      </c>
      <c r="C286" s="1116">
        <v>1974</v>
      </c>
      <c r="D286" s="1140"/>
      <c r="E286" s="1114" t="s">
        <v>220</v>
      </c>
      <c r="F286" s="1017">
        <v>2</v>
      </c>
      <c r="G286" s="1017">
        <v>2</v>
      </c>
      <c r="H286" s="1141">
        <v>496.17</v>
      </c>
      <c r="I286" s="1141">
        <v>453.2</v>
      </c>
      <c r="J286" s="1141">
        <v>407.8</v>
      </c>
      <c r="K286" s="1008">
        <v>8</v>
      </c>
      <c r="L286" s="1142">
        <v>1891142.35</v>
      </c>
      <c r="M286" s="1142">
        <v>0</v>
      </c>
      <c r="N286" s="1142">
        <v>0</v>
      </c>
      <c r="O286" s="1142">
        <v>1891142.35</v>
      </c>
      <c r="P286" s="1157">
        <v>0</v>
      </c>
      <c r="Q286" s="1157">
        <v>0</v>
      </c>
      <c r="R286" s="1021">
        <v>2024</v>
      </c>
      <c r="S286" s="1021">
        <v>2024</v>
      </c>
    </row>
    <row r="287" spans="1:19" s="997" customFormat="1" ht="42.6" customHeight="1">
      <c r="A287" s="1021">
        <v>55</v>
      </c>
      <c r="B287" s="1113" t="s">
        <v>1471</v>
      </c>
      <c r="C287" s="1116">
        <v>1989</v>
      </c>
      <c r="D287" s="1164"/>
      <c r="E287" s="1114" t="s">
        <v>218</v>
      </c>
      <c r="F287" s="1165">
        <v>5</v>
      </c>
      <c r="G287" s="1165">
        <v>4</v>
      </c>
      <c r="H287" s="1166">
        <v>3395</v>
      </c>
      <c r="I287" s="1166">
        <v>3037.5</v>
      </c>
      <c r="J287" s="1166">
        <v>2733.8</v>
      </c>
      <c r="K287" s="1167">
        <v>112</v>
      </c>
      <c r="L287" s="1168">
        <v>5411233.2699999996</v>
      </c>
      <c r="M287" s="1142">
        <v>0</v>
      </c>
      <c r="N287" s="1142">
        <v>0</v>
      </c>
      <c r="O287" s="1168">
        <v>5411233.2699999996</v>
      </c>
      <c r="P287" s="1157">
        <v>0</v>
      </c>
      <c r="Q287" s="1157">
        <v>0</v>
      </c>
      <c r="R287" s="1021">
        <v>2024</v>
      </c>
      <c r="S287" s="1021">
        <v>2024</v>
      </c>
    </row>
    <row r="288" spans="1:19" s="997" customFormat="1" ht="40.9" customHeight="1">
      <c r="A288" s="1021">
        <v>56</v>
      </c>
      <c r="B288" s="1113" t="s">
        <v>1472</v>
      </c>
      <c r="C288" s="1116">
        <v>1978</v>
      </c>
      <c r="D288" s="1164"/>
      <c r="E288" s="1114" t="s">
        <v>218</v>
      </c>
      <c r="F288" s="1165">
        <v>2</v>
      </c>
      <c r="G288" s="1165">
        <v>1</v>
      </c>
      <c r="H288" s="1166">
        <v>415</v>
      </c>
      <c r="I288" s="1166">
        <v>347.2</v>
      </c>
      <c r="J288" s="1166">
        <v>312.5</v>
      </c>
      <c r="K288" s="1167">
        <v>17</v>
      </c>
      <c r="L288" s="1168">
        <v>1891142.35</v>
      </c>
      <c r="M288" s="1142">
        <v>0</v>
      </c>
      <c r="N288" s="1142">
        <v>0</v>
      </c>
      <c r="O288" s="1168">
        <v>1891142.35</v>
      </c>
      <c r="P288" s="1157">
        <v>0</v>
      </c>
      <c r="Q288" s="1157">
        <v>0</v>
      </c>
      <c r="R288" s="1021">
        <v>2024</v>
      </c>
      <c r="S288" s="1021">
        <v>2024</v>
      </c>
    </row>
    <row r="289" spans="1:19" s="997" customFormat="1" ht="39.6" customHeight="1">
      <c r="A289" s="1021">
        <v>57</v>
      </c>
      <c r="B289" s="1169" t="s">
        <v>1473</v>
      </c>
      <c r="C289" s="1116">
        <v>1985</v>
      </c>
      <c r="D289" s="1170"/>
      <c r="E289" s="1114" t="s">
        <v>218</v>
      </c>
      <c r="F289" s="1165">
        <v>2</v>
      </c>
      <c r="G289" s="1165">
        <v>1</v>
      </c>
      <c r="H289" s="1166">
        <v>436.9</v>
      </c>
      <c r="I289" s="1171">
        <v>339.8</v>
      </c>
      <c r="J289" s="1171">
        <v>305.8</v>
      </c>
      <c r="K289" s="1172">
        <v>40</v>
      </c>
      <c r="L289" s="1173">
        <v>2064078.67</v>
      </c>
      <c r="M289" s="1174">
        <v>0</v>
      </c>
      <c r="N289" s="1174">
        <v>0</v>
      </c>
      <c r="O289" s="1173">
        <v>2064078.67</v>
      </c>
      <c r="P289" s="1157">
        <v>0</v>
      </c>
      <c r="Q289" s="1157">
        <v>0</v>
      </c>
      <c r="R289" s="1021">
        <v>2024</v>
      </c>
      <c r="S289" s="1021">
        <v>2024</v>
      </c>
    </row>
    <row r="290" spans="1:19" s="997" customFormat="1" ht="40.9" customHeight="1">
      <c r="A290" s="1114"/>
      <c r="B290" s="1426" t="s">
        <v>1067</v>
      </c>
      <c r="C290" s="1426"/>
      <c r="D290" s="1426"/>
      <c r="E290" s="1426"/>
      <c r="F290" s="1426"/>
      <c r="G290" s="1426"/>
      <c r="H290" s="985">
        <f>H291+H292+H293+H294+H295</f>
        <v>5619.9</v>
      </c>
      <c r="I290" s="985">
        <f t="shared" ref="I290:Q290" si="74">I291+I292+I293+I294+I295</f>
        <v>5484.6</v>
      </c>
      <c r="J290" s="985">
        <f t="shared" si="74"/>
        <v>4499.3</v>
      </c>
      <c r="K290" s="985">
        <f t="shared" si="74"/>
        <v>315</v>
      </c>
      <c r="L290" s="985">
        <f t="shared" si="74"/>
        <v>19728615.199999999</v>
      </c>
      <c r="M290" s="985">
        <f t="shared" si="74"/>
        <v>0</v>
      </c>
      <c r="N290" s="985">
        <f t="shared" si="74"/>
        <v>0</v>
      </c>
      <c r="O290" s="985">
        <f t="shared" si="74"/>
        <v>19728615.199999999</v>
      </c>
      <c r="P290" s="985">
        <f t="shared" si="74"/>
        <v>0</v>
      </c>
      <c r="Q290" s="985">
        <f t="shared" si="74"/>
        <v>0</v>
      </c>
      <c r="R290" s="991" t="s">
        <v>40</v>
      </c>
      <c r="S290" s="991" t="s">
        <v>40</v>
      </c>
    </row>
    <row r="291" spans="1:19" s="992" customFormat="1" ht="42" customHeight="1">
      <c r="A291" s="1009">
        <v>58</v>
      </c>
      <c r="B291" s="1144" t="s">
        <v>1522</v>
      </c>
      <c r="C291" s="1009" t="s">
        <v>190</v>
      </c>
      <c r="D291" s="1009"/>
      <c r="E291" s="1021" t="s">
        <v>218</v>
      </c>
      <c r="F291" s="1009">
        <v>2</v>
      </c>
      <c r="G291" s="1009">
        <v>1</v>
      </c>
      <c r="H291" s="1023">
        <v>394.7</v>
      </c>
      <c r="I291" s="1023">
        <v>259.39999999999998</v>
      </c>
      <c r="J291" s="1023">
        <v>259.39999999999998</v>
      </c>
      <c r="K291" s="1134">
        <v>20</v>
      </c>
      <c r="L291" s="985">
        <v>3641084.34</v>
      </c>
      <c r="M291" s="993">
        <v>0</v>
      </c>
      <c r="N291" s="993">
        <v>0</v>
      </c>
      <c r="O291" s="985">
        <v>3641084.34</v>
      </c>
      <c r="P291" s="1023">
        <v>0</v>
      </c>
      <c r="Q291" s="1023">
        <v>0</v>
      </c>
      <c r="R291" s="987">
        <v>2024</v>
      </c>
      <c r="S291" s="987">
        <v>2024</v>
      </c>
    </row>
    <row r="292" spans="1:19" s="992" customFormat="1" ht="42" customHeight="1">
      <c r="A292" s="1021">
        <v>59</v>
      </c>
      <c r="B292" s="1144" t="s">
        <v>1523</v>
      </c>
      <c r="C292" s="1017">
        <v>1985</v>
      </c>
      <c r="D292" s="1017"/>
      <c r="E292" s="1009" t="s">
        <v>218</v>
      </c>
      <c r="F292" s="1017">
        <v>5</v>
      </c>
      <c r="G292" s="1017">
        <v>4</v>
      </c>
      <c r="H292" s="1018">
        <v>3336.8</v>
      </c>
      <c r="I292" s="1018">
        <v>3336.8</v>
      </c>
      <c r="J292" s="1018">
        <v>2745.9</v>
      </c>
      <c r="K292" s="1008">
        <v>140</v>
      </c>
      <c r="L292" s="985">
        <v>4250384.2699999996</v>
      </c>
      <c r="M292" s="985">
        <v>0</v>
      </c>
      <c r="N292" s="985">
        <v>0</v>
      </c>
      <c r="O292" s="985">
        <v>4250384.2699999996</v>
      </c>
      <c r="P292" s="1018">
        <v>0</v>
      </c>
      <c r="Q292" s="1018">
        <v>0</v>
      </c>
      <c r="R292" s="987">
        <v>2024</v>
      </c>
      <c r="S292" s="987">
        <v>2024</v>
      </c>
    </row>
    <row r="293" spans="1:19" s="992" customFormat="1" ht="42.6" customHeight="1">
      <c r="A293" s="1009">
        <v>60</v>
      </c>
      <c r="B293" s="1144" t="s">
        <v>1524</v>
      </c>
      <c r="C293" s="1022">
        <v>1991</v>
      </c>
      <c r="D293" s="1022"/>
      <c r="E293" s="1021" t="s">
        <v>218</v>
      </c>
      <c r="F293" s="1022">
        <v>2</v>
      </c>
      <c r="G293" s="1022">
        <v>2</v>
      </c>
      <c r="H293" s="1025">
        <v>970.7</v>
      </c>
      <c r="I293" s="1025">
        <v>970.7</v>
      </c>
      <c r="J293" s="1025">
        <v>893.1</v>
      </c>
      <c r="K293" s="1032">
        <v>71</v>
      </c>
      <c r="L293" s="985">
        <v>1711675.5</v>
      </c>
      <c r="M293" s="985">
        <v>0</v>
      </c>
      <c r="N293" s="985">
        <v>0</v>
      </c>
      <c r="O293" s="985">
        <v>1711675.5</v>
      </c>
      <c r="P293" s="1025">
        <v>0</v>
      </c>
      <c r="Q293" s="1025">
        <v>0</v>
      </c>
      <c r="R293" s="987">
        <v>2024</v>
      </c>
      <c r="S293" s="987">
        <v>2024</v>
      </c>
    </row>
    <row r="294" spans="1:19" s="992" customFormat="1" ht="42.6" customHeight="1">
      <c r="A294" s="1021">
        <v>61</v>
      </c>
      <c r="B294" s="1144" t="s">
        <v>1525</v>
      </c>
      <c r="C294" s="1022">
        <v>1963</v>
      </c>
      <c r="D294" s="1022"/>
      <c r="E294" s="1021" t="s">
        <v>218</v>
      </c>
      <c r="F294" s="1022">
        <v>2</v>
      </c>
      <c r="G294" s="1022">
        <v>2</v>
      </c>
      <c r="H294" s="1025">
        <v>465.7</v>
      </c>
      <c r="I294" s="1025">
        <v>465.7</v>
      </c>
      <c r="J294" s="1025">
        <v>307.8</v>
      </c>
      <c r="K294" s="1032">
        <v>52</v>
      </c>
      <c r="L294" s="985">
        <v>5863889.7199999997</v>
      </c>
      <c r="M294" s="985">
        <v>0</v>
      </c>
      <c r="N294" s="985">
        <v>0</v>
      </c>
      <c r="O294" s="985">
        <v>5863889.7199999997</v>
      </c>
      <c r="P294" s="1025">
        <v>0</v>
      </c>
      <c r="Q294" s="1025">
        <v>0</v>
      </c>
      <c r="R294" s="987">
        <v>2024</v>
      </c>
      <c r="S294" s="987">
        <v>2024</v>
      </c>
    </row>
    <row r="295" spans="1:19" s="992" customFormat="1" ht="42.6" customHeight="1">
      <c r="A295" s="1009">
        <v>62</v>
      </c>
      <c r="B295" s="1144" t="s">
        <v>1526</v>
      </c>
      <c r="C295" s="1022">
        <v>1962</v>
      </c>
      <c r="D295" s="1022"/>
      <c r="E295" s="1021" t="s">
        <v>218</v>
      </c>
      <c r="F295" s="1022">
        <v>2</v>
      </c>
      <c r="G295" s="1022">
        <v>2</v>
      </c>
      <c r="H295" s="1025">
        <v>452</v>
      </c>
      <c r="I295" s="1025">
        <v>452</v>
      </c>
      <c r="J295" s="1025">
        <v>293.10000000000002</v>
      </c>
      <c r="K295" s="1032">
        <v>32</v>
      </c>
      <c r="L295" s="985">
        <v>4261581.37</v>
      </c>
      <c r="M295" s="985">
        <v>0</v>
      </c>
      <c r="N295" s="985">
        <v>0</v>
      </c>
      <c r="O295" s="985">
        <v>4261581.37</v>
      </c>
      <c r="P295" s="1025">
        <v>0</v>
      </c>
      <c r="Q295" s="1025">
        <v>0</v>
      </c>
      <c r="R295" s="987">
        <v>2024</v>
      </c>
      <c r="S295" s="987">
        <v>2024</v>
      </c>
    </row>
    <row r="296" spans="1:19" s="992" customFormat="1" ht="36" customHeight="1">
      <c r="A296" s="1114"/>
      <c r="B296" s="1111" t="s">
        <v>1243</v>
      </c>
      <c r="C296" s="1116"/>
      <c r="D296" s="1096"/>
      <c r="E296" s="1114"/>
      <c r="F296" s="1116"/>
      <c r="G296" s="1116"/>
      <c r="H296" s="985">
        <f>H297+H298+H299</f>
        <v>1609</v>
      </c>
      <c r="I296" s="985">
        <f t="shared" ref="I296:Q296" si="75">I297+I298+I299</f>
        <v>1488.5</v>
      </c>
      <c r="J296" s="985">
        <f t="shared" si="75"/>
        <v>1178</v>
      </c>
      <c r="K296" s="985">
        <f t="shared" si="75"/>
        <v>75</v>
      </c>
      <c r="L296" s="985">
        <f t="shared" si="75"/>
        <v>17639844.420000002</v>
      </c>
      <c r="M296" s="985">
        <f t="shared" si="75"/>
        <v>0</v>
      </c>
      <c r="N296" s="985">
        <f t="shared" si="75"/>
        <v>0</v>
      </c>
      <c r="O296" s="985">
        <f t="shared" si="75"/>
        <v>17639844.420000002</v>
      </c>
      <c r="P296" s="985">
        <f t="shared" si="75"/>
        <v>0</v>
      </c>
      <c r="Q296" s="985">
        <f t="shared" si="75"/>
        <v>0</v>
      </c>
      <c r="R296" s="991" t="s">
        <v>40</v>
      </c>
      <c r="S296" s="991" t="s">
        <v>40</v>
      </c>
    </row>
    <row r="297" spans="1:19" s="992" customFormat="1" ht="36" customHeight="1">
      <c r="A297" s="1114">
        <v>63</v>
      </c>
      <c r="B297" s="1111" t="s">
        <v>1424</v>
      </c>
      <c r="C297" s="1114">
        <v>1956</v>
      </c>
      <c r="D297" s="1116"/>
      <c r="E297" s="1114" t="s">
        <v>218</v>
      </c>
      <c r="F297" s="1116">
        <v>2</v>
      </c>
      <c r="G297" s="1116">
        <v>3</v>
      </c>
      <c r="H297" s="985">
        <v>552.6</v>
      </c>
      <c r="I297" s="985">
        <v>486.8</v>
      </c>
      <c r="J297" s="985">
        <v>486.8</v>
      </c>
      <c r="K297" s="987">
        <v>24</v>
      </c>
      <c r="L297" s="985">
        <v>4919655.0999999996</v>
      </c>
      <c r="M297" s="985">
        <v>0</v>
      </c>
      <c r="N297" s="985">
        <v>0</v>
      </c>
      <c r="O297" s="985">
        <v>4919655.0999999996</v>
      </c>
      <c r="P297" s="985">
        <v>0</v>
      </c>
      <c r="Q297" s="985">
        <v>0</v>
      </c>
      <c r="R297" s="1022">
        <v>2024</v>
      </c>
      <c r="S297" s="1022">
        <v>2024</v>
      </c>
    </row>
    <row r="298" spans="1:19" s="992" customFormat="1" ht="36" customHeight="1">
      <c r="A298" s="1114">
        <v>64</v>
      </c>
      <c r="B298" s="1111" t="s">
        <v>1425</v>
      </c>
      <c r="C298" s="1114">
        <v>1963</v>
      </c>
      <c r="D298" s="1116"/>
      <c r="E298" s="1114" t="s">
        <v>218</v>
      </c>
      <c r="F298" s="1116">
        <v>1</v>
      </c>
      <c r="G298" s="1116">
        <v>4</v>
      </c>
      <c r="H298" s="985">
        <v>498.5</v>
      </c>
      <c r="I298" s="985">
        <v>443.8</v>
      </c>
      <c r="J298" s="985">
        <v>402.4</v>
      </c>
      <c r="K298" s="987">
        <v>28</v>
      </c>
      <c r="L298" s="985">
        <v>8052008.9500000002</v>
      </c>
      <c r="M298" s="985">
        <v>0</v>
      </c>
      <c r="N298" s="985">
        <v>0</v>
      </c>
      <c r="O298" s="985">
        <v>8052008.9500000002</v>
      </c>
      <c r="P298" s="985">
        <v>0</v>
      </c>
      <c r="Q298" s="985">
        <v>0</v>
      </c>
      <c r="R298" s="1022">
        <v>2024</v>
      </c>
      <c r="S298" s="1022">
        <v>2024</v>
      </c>
    </row>
    <row r="299" spans="1:19" ht="40.15" customHeight="1">
      <c r="A299" s="1114">
        <v>65</v>
      </c>
      <c r="B299" s="1111" t="s">
        <v>1585</v>
      </c>
      <c r="C299" s="1114">
        <v>1956</v>
      </c>
      <c r="D299" s="1116"/>
      <c r="E299" s="1114" t="s">
        <v>218</v>
      </c>
      <c r="F299" s="1116">
        <v>2</v>
      </c>
      <c r="G299" s="1116">
        <v>2</v>
      </c>
      <c r="H299" s="985">
        <v>557.9</v>
      </c>
      <c r="I299" s="985">
        <v>557.9</v>
      </c>
      <c r="J299" s="985">
        <v>288.8</v>
      </c>
      <c r="K299" s="987">
        <v>23</v>
      </c>
      <c r="L299" s="985">
        <v>4668180.37</v>
      </c>
      <c r="M299" s="985">
        <v>0</v>
      </c>
      <c r="N299" s="985">
        <v>0</v>
      </c>
      <c r="O299" s="985">
        <v>4668180.37</v>
      </c>
      <c r="P299" s="985">
        <v>0</v>
      </c>
      <c r="Q299" s="985">
        <v>0</v>
      </c>
      <c r="R299" s="1022">
        <v>2024</v>
      </c>
      <c r="S299" s="1022">
        <v>2024</v>
      </c>
    </row>
    <row r="300" spans="1:19" ht="40.15" customHeight="1">
      <c r="A300" s="1021"/>
      <c r="B300" s="1426" t="s">
        <v>53</v>
      </c>
      <c r="C300" s="1426"/>
      <c r="D300" s="1426"/>
      <c r="E300" s="1426"/>
      <c r="F300" s="1426"/>
      <c r="G300" s="1426"/>
      <c r="H300" s="1018">
        <f>H301+H307+H309</f>
        <v>30570.999999999996</v>
      </c>
      <c r="I300" s="1018">
        <f t="shared" ref="I300:Q300" si="76">I301+I307+I309</f>
        <v>26587.1</v>
      </c>
      <c r="J300" s="1018">
        <f t="shared" si="76"/>
        <v>377407.89999999997</v>
      </c>
      <c r="K300" s="1018">
        <f t="shared" si="76"/>
        <v>991</v>
      </c>
      <c r="L300" s="1018">
        <f t="shared" si="76"/>
        <v>68185265.25</v>
      </c>
      <c r="M300" s="1018">
        <f t="shared" si="76"/>
        <v>0</v>
      </c>
      <c r="N300" s="1018">
        <f t="shared" si="76"/>
        <v>0</v>
      </c>
      <c r="O300" s="1018">
        <f t="shared" si="76"/>
        <v>68185265.25</v>
      </c>
      <c r="P300" s="1018">
        <f t="shared" si="76"/>
        <v>0</v>
      </c>
      <c r="Q300" s="1018">
        <f t="shared" si="76"/>
        <v>0</v>
      </c>
      <c r="R300" s="991" t="s">
        <v>40</v>
      </c>
      <c r="S300" s="991" t="s">
        <v>40</v>
      </c>
    </row>
    <row r="301" spans="1:19" s="992" customFormat="1" ht="51" customHeight="1">
      <c r="A301" s="1021"/>
      <c r="B301" s="1426" t="s">
        <v>1029</v>
      </c>
      <c r="C301" s="1426"/>
      <c r="D301" s="1426"/>
      <c r="E301" s="1426"/>
      <c r="F301" s="1426"/>
      <c r="G301" s="1426"/>
      <c r="H301" s="985">
        <f>SUM(H302:H306)</f>
        <v>28340.399999999998</v>
      </c>
      <c r="I301" s="985">
        <f t="shared" ref="I301:Q301" si="77">SUM(I302:I306)</f>
        <v>24469.3</v>
      </c>
      <c r="J301" s="985">
        <f t="shared" si="77"/>
        <v>375359.19999999995</v>
      </c>
      <c r="K301" s="985">
        <f t="shared" si="77"/>
        <v>918</v>
      </c>
      <c r="L301" s="985">
        <f t="shared" si="77"/>
        <v>54908170.200000003</v>
      </c>
      <c r="M301" s="985">
        <f t="shared" si="77"/>
        <v>0</v>
      </c>
      <c r="N301" s="985">
        <f t="shared" si="77"/>
        <v>0</v>
      </c>
      <c r="O301" s="985">
        <f t="shared" si="77"/>
        <v>54908170.200000003</v>
      </c>
      <c r="P301" s="985">
        <f t="shared" si="77"/>
        <v>0</v>
      </c>
      <c r="Q301" s="985">
        <f t="shared" si="77"/>
        <v>0</v>
      </c>
      <c r="R301" s="991" t="s">
        <v>40</v>
      </c>
      <c r="S301" s="991" t="s">
        <v>40</v>
      </c>
    </row>
    <row r="302" spans="1:19" s="992" customFormat="1" ht="51" customHeight="1">
      <c r="A302" s="1114">
        <v>66</v>
      </c>
      <c r="B302" s="1112" t="s">
        <v>1639</v>
      </c>
      <c r="C302" s="1030">
        <v>1965</v>
      </c>
      <c r="D302" s="1030"/>
      <c r="E302" s="1114" t="s">
        <v>219</v>
      </c>
      <c r="F302" s="1030">
        <v>5</v>
      </c>
      <c r="G302" s="1030">
        <v>4</v>
      </c>
      <c r="H302" s="1023">
        <v>3868.7</v>
      </c>
      <c r="I302" s="1023">
        <v>3545.9</v>
      </c>
      <c r="J302" s="1023">
        <v>354539</v>
      </c>
      <c r="K302" s="1009">
        <v>110</v>
      </c>
      <c r="L302" s="1023">
        <v>20006298.800000001</v>
      </c>
      <c r="M302" s="1023">
        <v>0</v>
      </c>
      <c r="N302" s="1023">
        <v>0</v>
      </c>
      <c r="O302" s="1023">
        <v>20006298.800000001</v>
      </c>
      <c r="P302" s="1023">
        <v>0</v>
      </c>
      <c r="Q302" s="1023">
        <v>0</v>
      </c>
      <c r="R302" s="1134">
        <v>2024</v>
      </c>
      <c r="S302" s="1145">
        <v>2024</v>
      </c>
    </row>
    <row r="303" spans="1:19" s="992" customFormat="1" ht="36" customHeight="1">
      <c r="A303" s="1114">
        <v>67</v>
      </c>
      <c r="B303" s="1112" t="s">
        <v>1640</v>
      </c>
      <c r="C303" s="1030">
        <v>1966</v>
      </c>
      <c r="D303" s="1030"/>
      <c r="E303" s="1114" t="s">
        <v>218</v>
      </c>
      <c r="F303" s="1030">
        <v>5</v>
      </c>
      <c r="G303" s="1030">
        <v>4</v>
      </c>
      <c r="H303" s="1023">
        <v>2965.2</v>
      </c>
      <c r="I303" s="1023">
        <v>2675.3</v>
      </c>
      <c r="J303" s="1023">
        <v>2675.3</v>
      </c>
      <c r="K303" s="1009">
        <v>104</v>
      </c>
      <c r="L303" s="1023">
        <v>4228571.9800000004</v>
      </c>
      <c r="M303" s="1023">
        <v>0</v>
      </c>
      <c r="N303" s="1023">
        <v>0</v>
      </c>
      <c r="O303" s="1023">
        <v>4228571.9800000004</v>
      </c>
      <c r="P303" s="1023">
        <v>0</v>
      </c>
      <c r="Q303" s="1023">
        <v>0</v>
      </c>
      <c r="R303" s="1134">
        <v>2024</v>
      </c>
      <c r="S303" s="1145">
        <v>2024</v>
      </c>
    </row>
    <row r="304" spans="1:19" s="992" customFormat="1" ht="42" customHeight="1">
      <c r="A304" s="1114">
        <v>68</v>
      </c>
      <c r="B304" s="1112" t="s">
        <v>1641</v>
      </c>
      <c r="C304" s="1030">
        <v>1960</v>
      </c>
      <c r="D304" s="1030"/>
      <c r="E304" s="1114" t="s">
        <v>218</v>
      </c>
      <c r="F304" s="1030">
        <v>2</v>
      </c>
      <c r="G304" s="1030">
        <v>2</v>
      </c>
      <c r="H304" s="1023">
        <v>520.1</v>
      </c>
      <c r="I304" s="1023">
        <v>475.3</v>
      </c>
      <c r="J304" s="1023">
        <v>410.1</v>
      </c>
      <c r="K304" s="1009">
        <v>16</v>
      </c>
      <c r="L304" s="1023">
        <v>4923509.12</v>
      </c>
      <c r="M304" s="1023">
        <v>0</v>
      </c>
      <c r="N304" s="1023">
        <v>0</v>
      </c>
      <c r="O304" s="1023">
        <v>4923509.12</v>
      </c>
      <c r="P304" s="1023">
        <v>0</v>
      </c>
      <c r="Q304" s="1023">
        <v>0</v>
      </c>
      <c r="R304" s="1134">
        <v>2024</v>
      </c>
      <c r="S304" s="1145">
        <v>2024</v>
      </c>
    </row>
    <row r="305" spans="1:19" s="992" customFormat="1" ht="43.9" customHeight="1">
      <c r="A305" s="1114">
        <v>69</v>
      </c>
      <c r="B305" s="1112" t="s">
        <v>1642</v>
      </c>
      <c r="C305" s="1030">
        <v>1998</v>
      </c>
      <c r="D305" s="1030"/>
      <c r="E305" s="1114" t="s">
        <v>219</v>
      </c>
      <c r="F305" s="1030">
        <v>9</v>
      </c>
      <c r="G305" s="1030">
        <v>5</v>
      </c>
      <c r="H305" s="1023">
        <v>11844.6</v>
      </c>
      <c r="I305" s="1023">
        <v>10025</v>
      </c>
      <c r="J305" s="1023">
        <v>10025</v>
      </c>
      <c r="K305" s="1009">
        <v>386</v>
      </c>
      <c r="L305" s="1023">
        <v>16082092.1</v>
      </c>
      <c r="M305" s="1023">
        <v>0</v>
      </c>
      <c r="N305" s="1023">
        <v>0</v>
      </c>
      <c r="O305" s="1023">
        <v>16082092.1</v>
      </c>
      <c r="P305" s="1023">
        <v>0</v>
      </c>
      <c r="Q305" s="1023">
        <v>0</v>
      </c>
      <c r="R305" s="1134">
        <v>2024</v>
      </c>
      <c r="S305" s="1145">
        <v>2024</v>
      </c>
    </row>
    <row r="306" spans="1:19" s="992" customFormat="1" ht="39" customHeight="1">
      <c r="A306" s="1114">
        <v>70</v>
      </c>
      <c r="B306" s="1112" t="s">
        <v>1643</v>
      </c>
      <c r="C306" s="1030">
        <v>1984</v>
      </c>
      <c r="D306" s="1030"/>
      <c r="E306" s="1114" t="s">
        <v>218</v>
      </c>
      <c r="F306" s="1030">
        <v>9</v>
      </c>
      <c r="G306" s="1030">
        <v>4</v>
      </c>
      <c r="H306" s="1023">
        <v>9141.7999999999993</v>
      </c>
      <c r="I306" s="1023">
        <v>7747.8</v>
      </c>
      <c r="J306" s="1023">
        <v>7709.8</v>
      </c>
      <c r="K306" s="1009">
        <v>302</v>
      </c>
      <c r="L306" s="1023">
        <v>9667698.1999999993</v>
      </c>
      <c r="M306" s="1023">
        <v>0</v>
      </c>
      <c r="N306" s="1023">
        <v>0</v>
      </c>
      <c r="O306" s="1023">
        <v>9667698.1999999993</v>
      </c>
      <c r="P306" s="1023">
        <v>0</v>
      </c>
      <c r="Q306" s="1023">
        <v>0</v>
      </c>
      <c r="R306" s="1134">
        <v>2024</v>
      </c>
      <c r="S306" s="1175">
        <v>2024</v>
      </c>
    </row>
    <row r="307" spans="1:19" s="992" customFormat="1" ht="36" customHeight="1">
      <c r="A307" s="1114"/>
      <c r="B307" s="1427" t="s">
        <v>1030</v>
      </c>
      <c r="C307" s="1426"/>
      <c r="D307" s="1426"/>
      <c r="E307" s="1426"/>
      <c r="F307" s="1426"/>
      <c r="G307" s="1426"/>
      <c r="H307" s="993">
        <f>H308</f>
        <v>607.79999999999995</v>
      </c>
      <c r="I307" s="993">
        <f t="shared" ref="I307:Q307" si="78">I308</f>
        <v>607.79999999999995</v>
      </c>
      <c r="J307" s="993">
        <f t="shared" si="78"/>
        <v>607.79999999999995</v>
      </c>
      <c r="K307" s="987">
        <f t="shared" si="78"/>
        <v>21</v>
      </c>
      <c r="L307" s="993">
        <f t="shared" si="78"/>
        <v>5414896.5300000003</v>
      </c>
      <c r="M307" s="993">
        <f t="shared" si="78"/>
        <v>0</v>
      </c>
      <c r="N307" s="993">
        <f t="shared" si="78"/>
        <v>0</v>
      </c>
      <c r="O307" s="993">
        <f t="shared" si="78"/>
        <v>5414896.5300000003</v>
      </c>
      <c r="P307" s="993">
        <f t="shared" si="78"/>
        <v>0</v>
      </c>
      <c r="Q307" s="993">
        <f t="shared" si="78"/>
        <v>0</v>
      </c>
      <c r="R307" s="991" t="s">
        <v>40</v>
      </c>
      <c r="S307" s="991" t="s">
        <v>40</v>
      </c>
    </row>
    <row r="308" spans="1:19" s="992" customFormat="1" ht="36" customHeight="1">
      <c r="A308" s="1114">
        <v>71</v>
      </c>
      <c r="B308" s="1112" t="s">
        <v>1439</v>
      </c>
      <c r="C308" s="1116">
        <v>1956</v>
      </c>
      <c r="D308" s="1030"/>
      <c r="E308" s="1114" t="s">
        <v>220</v>
      </c>
      <c r="F308" s="1030">
        <v>2</v>
      </c>
      <c r="G308" s="1030">
        <v>2</v>
      </c>
      <c r="H308" s="993">
        <v>607.79999999999995</v>
      </c>
      <c r="I308" s="993">
        <v>607.79999999999995</v>
      </c>
      <c r="J308" s="993">
        <v>607.79999999999995</v>
      </c>
      <c r="K308" s="987">
        <v>21</v>
      </c>
      <c r="L308" s="985">
        <v>5414896.5300000003</v>
      </c>
      <c r="M308" s="986">
        <v>0</v>
      </c>
      <c r="N308" s="986">
        <v>0</v>
      </c>
      <c r="O308" s="985">
        <v>5414896.5300000003</v>
      </c>
      <c r="P308" s="993">
        <v>0</v>
      </c>
      <c r="Q308" s="986">
        <v>0</v>
      </c>
      <c r="R308" s="987">
        <v>2024</v>
      </c>
      <c r="S308" s="987">
        <v>2024</v>
      </c>
    </row>
    <row r="309" spans="1:19" s="992" customFormat="1" ht="45" customHeight="1">
      <c r="A309" s="1114"/>
      <c r="B309" s="1427" t="s">
        <v>1031</v>
      </c>
      <c r="C309" s="1426"/>
      <c r="D309" s="1426"/>
      <c r="E309" s="1426"/>
      <c r="F309" s="1426"/>
      <c r="G309" s="1426"/>
      <c r="H309" s="993">
        <f>H310</f>
        <v>1622.8</v>
      </c>
      <c r="I309" s="993">
        <f t="shared" ref="I309:Q309" si="79">I310</f>
        <v>1510</v>
      </c>
      <c r="J309" s="993">
        <f t="shared" si="79"/>
        <v>1440.9</v>
      </c>
      <c r="K309" s="993">
        <f t="shared" si="79"/>
        <v>52</v>
      </c>
      <c r="L309" s="993">
        <f t="shared" si="79"/>
        <v>7862198.5199999996</v>
      </c>
      <c r="M309" s="993">
        <f t="shared" si="79"/>
        <v>0</v>
      </c>
      <c r="N309" s="993">
        <f t="shared" si="79"/>
        <v>0</v>
      </c>
      <c r="O309" s="993">
        <f t="shared" si="79"/>
        <v>7862198.5199999996</v>
      </c>
      <c r="P309" s="993">
        <f t="shared" si="79"/>
        <v>0</v>
      </c>
      <c r="Q309" s="993">
        <f t="shared" si="79"/>
        <v>0</v>
      </c>
      <c r="R309" s="991" t="s">
        <v>40</v>
      </c>
      <c r="S309" s="991" t="s">
        <v>40</v>
      </c>
    </row>
    <row r="310" spans="1:19" s="992" customFormat="1" ht="42" customHeight="1">
      <c r="A310" s="1114">
        <v>72</v>
      </c>
      <c r="B310" s="1115" t="s">
        <v>1708</v>
      </c>
      <c r="C310" s="1116">
        <v>1966</v>
      </c>
      <c r="D310" s="1111"/>
      <c r="E310" s="1114" t="s">
        <v>218</v>
      </c>
      <c r="F310" s="1030">
        <v>3</v>
      </c>
      <c r="G310" s="1030">
        <v>3</v>
      </c>
      <c r="H310" s="993">
        <v>1622.8</v>
      </c>
      <c r="I310" s="993">
        <v>1510</v>
      </c>
      <c r="J310" s="993">
        <v>1440.9</v>
      </c>
      <c r="K310" s="987">
        <v>52</v>
      </c>
      <c r="L310" s="985">
        <v>7862198.5199999996</v>
      </c>
      <c r="M310" s="986">
        <v>0</v>
      </c>
      <c r="N310" s="986">
        <v>0</v>
      </c>
      <c r="O310" s="985">
        <v>7862198.5199999996</v>
      </c>
      <c r="P310" s="993">
        <v>0</v>
      </c>
      <c r="Q310" s="986">
        <v>0</v>
      </c>
      <c r="R310" s="987">
        <v>2024</v>
      </c>
      <c r="S310" s="987">
        <v>2024</v>
      </c>
    </row>
    <row r="311" spans="1:19" s="992" customFormat="1" ht="40.9" customHeight="1">
      <c r="A311" s="1114"/>
      <c r="B311" s="1426" t="s">
        <v>1119</v>
      </c>
      <c r="C311" s="1426"/>
      <c r="D311" s="1426"/>
      <c r="E311" s="1426"/>
      <c r="F311" s="1426"/>
      <c r="G311" s="1426"/>
      <c r="H311" s="985">
        <f>H312+H313+H314+H315+H316</f>
        <v>9867</v>
      </c>
      <c r="I311" s="985">
        <f t="shared" ref="I311:Q311" si="80">I312+I313+I314+I315+I316</f>
        <v>9711.4</v>
      </c>
      <c r="J311" s="985">
        <f t="shared" si="80"/>
        <v>9270.9</v>
      </c>
      <c r="K311" s="985">
        <f t="shared" si="80"/>
        <v>352</v>
      </c>
      <c r="L311" s="985">
        <f t="shared" si="80"/>
        <v>20358302.16</v>
      </c>
      <c r="M311" s="985">
        <f t="shared" si="80"/>
        <v>0</v>
      </c>
      <c r="N311" s="985">
        <f t="shared" si="80"/>
        <v>0</v>
      </c>
      <c r="O311" s="985">
        <f t="shared" si="80"/>
        <v>20358302.16</v>
      </c>
      <c r="P311" s="985">
        <f t="shared" si="80"/>
        <v>0</v>
      </c>
      <c r="Q311" s="985">
        <f t="shared" si="80"/>
        <v>0</v>
      </c>
      <c r="R311" s="991" t="s">
        <v>40</v>
      </c>
      <c r="S311" s="991" t="s">
        <v>40</v>
      </c>
    </row>
    <row r="312" spans="1:19" s="992" customFormat="1" ht="42" customHeight="1">
      <c r="A312" s="1114">
        <v>73</v>
      </c>
      <c r="B312" s="1112" t="s">
        <v>1489</v>
      </c>
      <c r="C312" s="1116">
        <v>1971</v>
      </c>
      <c r="D312" s="1111"/>
      <c r="E312" s="1114" t="s">
        <v>219</v>
      </c>
      <c r="F312" s="1116">
        <v>5</v>
      </c>
      <c r="G312" s="1116">
        <v>6</v>
      </c>
      <c r="H312" s="985">
        <v>4377.8</v>
      </c>
      <c r="I312" s="985">
        <v>4377.8</v>
      </c>
      <c r="J312" s="985">
        <v>4333.6000000000004</v>
      </c>
      <c r="K312" s="1030">
        <v>161</v>
      </c>
      <c r="L312" s="985">
        <v>6158764.46</v>
      </c>
      <c r="M312" s="985">
        <v>0</v>
      </c>
      <c r="N312" s="985">
        <v>0</v>
      </c>
      <c r="O312" s="985">
        <v>6158764.46</v>
      </c>
      <c r="P312" s="985">
        <v>0</v>
      </c>
      <c r="Q312" s="985">
        <v>0</v>
      </c>
      <c r="R312" s="1149" t="s">
        <v>1490</v>
      </c>
      <c r="S312" s="1149" t="s">
        <v>1490</v>
      </c>
    </row>
    <row r="313" spans="1:19" s="992" customFormat="1" ht="36" customHeight="1">
      <c r="A313" s="1114">
        <v>74</v>
      </c>
      <c r="B313" s="1112" t="s">
        <v>1491</v>
      </c>
      <c r="C313" s="1116">
        <v>1953</v>
      </c>
      <c r="D313" s="1111"/>
      <c r="E313" s="1114" t="s">
        <v>218</v>
      </c>
      <c r="F313" s="1116">
        <v>2</v>
      </c>
      <c r="G313" s="1116">
        <v>1</v>
      </c>
      <c r="H313" s="985">
        <v>257.89999999999998</v>
      </c>
      <c r="I313" s="985">
        <v>257.89999999999998</v>
      </c>
      <c r="J313" s="985">
        <v>172.4</v>
      </c>
      <c r="K313" s="1030">
        <v>15</v>
      </c>
      <c r="L313" s="985">
        <v>936516.35</v>
      </c>
      <c r="M313" s="985">
        <v>0</v>
      </c>
      <c r="N313" s="985">
        <v>0</v>
      </c>
      <c r="O313" s="985">
        <v>936516.35</v>
      </c>
      <c r="P313" s="985">
        <v>0</v>
      </c>
      <c r="Q313" s="985">
        <v>0</v>
      </c>
      <c r="R313" s="1149" t="s">
        <v>1490</v>
      </c>
      <c r="S313" s="1149" t="s">
        <v>1490</v>
      </c>
    </row>
    <row r="314" spans="1:19" s="992" customFormat="1" ht="40.9" customHeight="1">
      <c r="A314" s="1114">
        <v>75</v>
      </c>
      <c r="B314" s="1112" t="s">
        <v>1492</v>
      </c>
      <c r="C314" s="1114">
        <v>1993</v>
      </c>
      <c r="D314" s="1116"/>
      <c r="E314" s="1114" t="s">
        <v>219</v>
      </c>
      <c r="F314" s="1116">
        <v>5</v>
      </c>
      <c r="G314" s="1116">
        <v>4</v>
      </c>
      <c r="H314" s="985">
        <v>3093.6</v>
      </c>
      <c r="I314" s="985">
        <v>3093.6</v>
      </c>
      <c r="J314" s="985">
        <v>2782.8</v>
      </c>
      <c r="K314" s="1030">
        <v>99</v>
      </c>
      <c r="L314" s="986">
        <v>4599548.28</v>
      </c>
      <c r="M314" s="986">
        <v>0</v>
      </c>
      <c r="N314" s="986">
        <v>0</v>
      </c>
      <c r="O314" s="986">
        <f>L314</f>
        <v>4599548.28</v>
      </c>
      <c r="P314" s="993">
        <v>0</v>
      </c>
      <c r="Q314" s="986">
        <v>0</v>
      </c>
      <c r="R314" s="1149" t="s">
        <v>1490</v>
      </c>
      <c r="S314" s="1149" t="s">
        <v>1490</v>
      </c>
    </row>
    <row r="315" spans="1:19" s="992" customFormat="1" ht="36" customHeight="1">
      <c r="A315" s="1114">
        <v>76</v>
      </c>
      <c r="B315" s="1112" t="s">
        <v>1493</v>
      </c>
      <c r="C315" s="1114">
        <v>1980</v>
      </c>
      <c r="D315" s="1116"/>
      <c r="E315" s="1114" t="s">
        <v>219</v>
      </c>
      <c r="F315" s="1116">
        <v>3</v>
      </c>
      <c r="G315" s="1116">
        <v>3</v>
      </c>
      <c r="H315" s="985">
        <v>1394.2</v>
      </c>
      <c r="I315" s="985">
        <v>1394.2</v>
      </c>
      <c r="J315" s="985">
        <v>1394.2</v>
      </c>
      <c r="K315" s="1030">
        <v>56</v>
      </c>
      <c r="L315" s="986">
        <v>3397919.78</v>
      </c>
      <c r="M315" s="986">
        <v>0</v>
      </c>
      <c r="N315" s="986">
        <v>0</v>
      </c>
      <c r="O315" s="986">
        <v>3397919.78</v>
      </c>
      <c r="P315" s="993">
        <v>0</v>
      </c>
      <c r="Q315" s="986">
        <v>0</v>
      </c>
      <c r="R315" s="1149" t="s">
        <v>1490</v>
      </c>
      <c r="S315" s="1149" t="s">
        <v>1490</v>
      </c>
    </row>
    <row r="316" spans="1:19" s="992" customFormat="1" ht="39.6" customHeight="1">
      <c r="A316" s="1114">
        <v>77</v>
      </c>
      <c r="B316" s="1112" t="s">
        <v>1494</v>
      </c>
      <c r="C316" s="1114">
        <v>1977</v>
      </c>
      <c r="D316" s="1116"/>
      <c r="E316" s="1114" t="s">
        <v>218</v>
      </c>
      <c r="F316" s="1116">
        <v>2</v>
      </c>
      <c r="G316" s="1116">
        <v>2</v>
      </c>
      <c r="H316" s="985">
        <v>743.5</v>
      </c>
      <c r="I316" s="985">
        <v>587.9</v>
      </c>
      <c r="J316" s="985">
        <v>587.9</v>
      </c>
      <c r="K316" s="1030">
        <v>21</v>
      </c>
      <c r="L316" s="986">
        <v>5265553.29</v>
      </c>
      <c r="M316" s="986">
        <v>0</v>
      </c>
      <c r="N316" s="986">
        <v>0</v>
      </c>
      <c r="O316" s="986">
        <v>5265553.29</v>
      </c>
      <c r="P316" s="993">
        <v>0</v>
      </c>
      <c r="Q316" s="986">
        <v>0</v>
      </c>
      <c r="R316" s="1149" t="s">
        <v>1490</v>
      </c>
      <c r="S316" s="1149" t="s">
        <v>1490</v>
      </c>
    </row>
    <row r="317" spans="1:19" s="992" customFormat="1" ht="36" customHeight="1">
      <c r="A317" s="1114"/>
      <c r="B317" s="1426" t="s">
        <v>1120</v>
      </c>
      <c r="C317" s="1426"/>
      <c r="D317" s="1426"/>
      <c r="E317" s="1426"/>
      <c r="F317" s="1426"/>
      <c r="G317" s="1426"/>
      <c r="H317" s="985">
        <f>H318</f>
        <v>820.1</v>
      </c>
      <c r="I317" s="985">
        <f t="shared" ref="I317:Q317" si="81">I318</f>
        <v>770.7</v>
      </c>
      <c r="J317" s="985">
        <f t="shared" si="81"/>
        <v>615.29999999999995</v>
      </c>
      <c r="K317" s="985">
        <f t="shared" si="81"/>
        <v>32</v>
      </c>
      <c r="L317" s="985">
        <f t="shared" si="81"/>
        <v>3062646.46</v>
      </c>
      <c r="M317" s="985">
        <f t="shared" si="81"/>
        <v>0</v>
      </c>
      <c r="N317" s="985">
        <f t="shared" si="81"/>
        <v>0</v>
      </c>
      <c r="O317" s="985">
        <f t="shared" si="81"/>
        <v>3062646.46</v>
      </c>
      <c r="P317" s="985">
        <f t="shared" si="81"/>
        <v>0</v>
      </c>
      <c r="Q317" s="985">
        <f t="shared" si="81"/>
        <v>0</v>
      </c>
      <c r="R317" s="991" t="s">
        <v>40</v>
      </c>
      <c r="S317" s="991" t="s">
        <v>40</v>
      </c>
    </row>
    <row r="318" spans="1:19" s="992" customFormat="1" ht="40.15" customHeight="1">
      <c r="A318" s="1114">
        <v>78</v>
      </c>
      <c r="B318" s="1112" t="s">
        <v>1590</v>
      </c>
      <c r="C318" s="1114">
        <v>1975</v>
      </c>
      <c r="D318" s="1116">
        <v>1999</v>
      </c>
      <c r="E318" s="1114" t="s">
        <v>218</v>
      </c>
      <c r="F318" s="1116">
        <v>2</v>
      </c>
      <c r="G318" s="1116">
        <v>2</v>
      </c>
      <c r="H318" s="985">
        <v>820.1</v>
      </c>
      <c r="I318" s="985">
        <v>770.7</v>
      </c>
      <c r="J318" s="985">
        <v>615.29999999999995</v>
      </c>
      <c r="K318" s="1030">
        <v>32</v>
      </c>
      <c r="L318" s="986">
        <v>3062646.46</v>
      </c>
      <c r="M318" s="986">
        <v>0</v>
      </c>
      <c r="N318" s="986">
        <v>0</v>
      </c>
      <c r="O318" s="986">
        <v>3062646.46</v>
      </c>
      <c r="P318" s="993">
        <v>0</v>
      </c>
      <c r="Q318" s="986">
        <v>0</v>
      </c>
      <c r="R318" s="987">
        <v>2024</v>
      </c>
      <c r="S318" s="987">
        <v>2024</v>
      </c>
    </row>
    <row r="319" spans="1:19" s="992" customFormat="1" ht="40.15" customHeight="1">
      <c r="A319" s="1114"/>
      <c r="B319" s="1426" t="s">
        <v>1066</v>
      </c>
      <c r="C319" s="1426"/>
      <c r="D319" s="1426"/>
      <c r="E319" s="1426"/>
      <c r="F319" s="1426"/>
      <c r="G319" s="1426"/>
      <c r="H319" s="985">
        <f>H320</f>
        <v>789</v>
      </c>
      <c r="I319" s="985">
        <f t="shared" ref="I319:Q319" si="82">I320</f>
        <v>722.3</v>
      </c>
      <c r="J319" s="985">
        <f t="shared" si="82"/>
        <v>597.9</v>
      </c>
      <c r="K319" s="985">
        <f t="shared" si="82"/>
        <v>16</v>
      </c>
      <c r="L319" s="985">
        <f t="shared" si="82"/>
        <v>4385584.43</v>
      </c>
      <c r="M319" s="985">
        <f t="shared" si="82"/>
        <v>0</v>
      </c>
      <c r="N319" s="985">
        <f t="shared" si="82"/>
        <v>0</v>
      </c>
      <c r="O319" s="985">
        <f t="shared" si="82"/>
        <v>4385584.43</v>
      </c>
      <c r="P319" s="985">
        <f t="shared" si="82"/>
        <v>0</v>
      </c>
      <c r="Q319" s="985">
        <f t="shared" si="82"/>
        <v>0</v>
      </c>
      <c r="R319" s="991" t="s">
        <v>40</v>
      </c>
      <c r="S319" s="991" t="s">
        <v>40</v>
      </c>
    </row>
    <row r="320" spans="1:19" s="992" customFormat="1" ht="42.6" customHeight="1">
      <c r="A320" s="1114">
        <v>79</v>
      </c>
      <c r="B320" s="1112" t="s">
        <v>1990</v>
      </c>
      <c r="C320" s="1114">
        <v>1953</v>
      </c>
      <c r="D320" s="1116"/>
      <c r="E320" s="1114" t="s">
        <v>218</v>
      </c>
      <c r="F320" s="1116">
        <v>2</v>
      </c>
      <c r="G320" s="1116">
        <v>2</v>
      </c>
      <c r="H320" s="1157">
        <v>789</v>
      </c>
      <c r="I320" s="1157">
        <v>722.3</v>
      </c>
      <c r="J320" s="1157">
        <v>597.9</v>
      </c>
      <c r="K320" s="1030">
        <v>16</v>
      </c>
      <c r="L320" s="986">
        <v>4385584.43</v>
      </c>
      <c r="M320" s="986">
        <v>0</v>
      </c>
      <c r="N320" s="986">
        <v>0</v>
      </c>
      <c r="O320" s="986">
        <f t="shared" ref="O320" si="83">L320</f>
        <v>4385584.43</v>
      </c>
      <c r="P320" s="993">
        <v>0</v>
      </c>
      <c r="Q320" s="986">
        <v>0</v>
      </c>
      <c r="R320" s="1116">
        <v>2024</v>
      </c>
      <c r="S320" s="1116">
        <v>2024</v>
      </c>
    </row>
    <row r="321" spans="1:19" s="992" customFormat="1" ht="40.9" customHeight="1">
      <c r="A321" s="1114"/>
      <c r="B321" s="1426" t="s">
        <v>1050</v>
      </c>
      <c r="C321" s="1426"/>
      <c r="D321" s="1426"/>
      <c r="E321" s="1426"/>
      <c r="F321" s="1426"/>
      <c r="G321" s="1426"/>
      <c r="H321" s="985">
        <f t="shared" ref="H321:Q321" si="84">SUM(H322:H325)</f>
        <v>15645.9</v>
      </c>
      <c r="I321" s="985">
        <f t="shared" si="84"/>
        <v>15645.9</v>
      </c>
      <c r="J321" s="985">
        <f t="shared" si="84"/>
        <v>13814.300000000001</v>
      </c>
      <c r="K321" s="1030">
        <f t="shared" si="84"/>
        <v>500</v>
      </c>
      <c r="L321" s="985">
        <f t="shared" si="84"/>
        <v>32177893.100000001</v>
      </c>
      <c r="M321" s="985">
        <f t="shared" si="84"/>
        <v>0</v>
      </c>
      <c r="N321" s="985">
        <f t="shared" si="84"/>
        <v>0</v>
      </c>
      <c r="O321" s="985">
        <f t="shared" si="84"/>
        <v>32177893.100000001</v>
      </c>
      <c r="P321" s="985">
        <f t="shared" si="84"/>
        <v>0</v>
      </c>
      <c r="Q321" s="985">
        <f t="shared" si="84"/>
        <v>0</v>
      </c>
      <c r="R321" s="991" t="s">
        <v>40</v>
      </c>
      <c r="S321" s="991" t="s">
        <v>40</v>
      </c>
    </row>
    <row r="322" spans="1:19" s="992" customFormat="1" ht="36" customHeight="1">
      <c r="A322" s="1114">
        <v>80</v>
      </c>
      <c r="B322" s="1115" t="s">
        <v>1370</v>
      </c>
      <c r="C322" s="1116">
        <v>1973</v>
      </c>
      <c r="D322" s="1116"/>
      <c r="E322" s="1114" t="s">
        <v>218</v>
      </c>
      <c r="F322" s="1116">
        <v>2</v>
      </c>
      <c r="G322" s="1116">
        <v>3</v>
      </c>
      <c r="H322" s="985">
        <v>1309.3</v>
      </c>
      <c r="I322" s="985">
        <v>1309.3</v>
      </c>
      <c r="J322" s="985">
        <v>544.29999999999995</v>
      </c>
      <c r="K322" s="1030">
        <v>23</v>
      </c>
      <c r="L322" s="985">
        <v>10116799.560000001</v>
      </c>
      <c r="M322" s="985">
        <v>0</v>
      </c>
      <c r="N322" s="985">
        <v>0</v>
      </c>
      <c r="O322" s="985">
        <v>10116799.560000001</v>
      </c>
      <c r="P322" s="985">
        <v>0</v>
      </c>
      <c r="Q322" s="985">
        <v>0</v>
      </c>
      <c r="R322" s="1116">
        <v>2024</v>
      </c>
      <c r="S322" s="1116">
        <v>2024</v>
      </c>
    </row>
    <row r="323" spans="1:19" s="992" customFormat="1" ht="43.15" customHeight="1">
      <c r="A323" s="1114">
        <v>81</v>
      </c>
      <c r="B323" s="1113" t="s">
        <v>1371</v>
      </c>
      <c r="C323" s="1116">
        <v>1988</v>
      </c>
      <c r="D323" s="1116"/>
      <c r="E323" s="1114" t="s">
        <v>218</v>
      </c>
      <c r="F323" s="1116">
        <v>4</v>
      </c>
      <c r="G323" s="1116">
        <v>6</v>
      </c>
      <c r="H323" s="985">
        <v>5116.1000000000004</v>
      </c>
      <c r="I323" s="985">
        <v>5116.1000000000004</v>
      </c>
      <c r="J323" s="985">
        <v>4705.6000000000004</v>
      </c>
      <c r="K323" s="1030">
        <v>243</v>
      </c>
      <c r="L323" s="993">
        <v>10157498.49</v>
      </c>
      <c r="M323" s="985">
        <v>0</v>
      </c>
      <c r="N323" s="985">
        <v>0</v>
      </c>
      <c r="O323" s="993">
        <v>10157498.49</v>
      </c>
      <c r="P323" s="985">
        <v>0</v>
      </c>
      <c r="Q323" s="985">
        <v>0</v>
      </c>
      <c r="R323" s="1116">
        <v>2024</v>
      </c>
      <c r="S323" s="1116">
        <v>2024</v>
      </c>
    </row>
    <row r="324" spans="1:19" s="992" customFormat="1" ht="42" customHeight="1">
      <c r="A324" s="1114">
        <v>82</v>
      </c>
      <c r="B324" s="1115" t="s">
        <v>1372</v>
      </c>
      <c r="C324" s="1116">
        <v>1973</v>
      </c>
      <c r="D324" s="1116">
        <v>2019</v>
      </c>
      <c r="E324" s="1114" t="s">
        <v>218</v>
      </c>
      <c r="F324" s="1116">
        <v>5</v>
      </c>
      <c r="G324" s="1116">
        <v>6</v>
      </c>
      <c r="H324" s="985">
        <v>5687.6</v>
      </c>
      <c r="I324" s="985">
        <v>5687.6</v>
      </c>
      <c r="J324" s="985">
        <v>5306.5</v>
      </c>
      <c r="K324" s="1030">
        <v>147</v>
      </c>
      <c r="L324" s="993">
        <v>4372497.2</v>
      </c>
      <c r="M324" s="985">
        <v>0</v>
      </c>
      <c r="N324" s="985">
        <v>0</v>
      </c>
      <c r="O324" s="993">
        <v>4372497.2</v>
      </c>
      <c r="P324" s="985">
        <v>0</v>
      </c>
      <c r="Q324" s="985">
        <v>0</v>
      </c>
      <c r="R324" s="1116">
        <v>2024</v>
      </c>
      <c r="S324" s="1116">
        <v>2024</v>
      </c>
    </row>
    <row r="325" spans="1:19" s="1001" customFormat="1" ht="42.6" customHeight="1">
      <c r="A325" s="1114">
        <v>83</v>
      </c>
      <c r="B325" s="1113" t="s">
        <v>1373</v>
      </c>
      <c r="C325" s="1116">
        <v>1977</v>
      </c>
      <c r="D325" s="1118"/>
      <c r="E325" s="1114" t="s">
        <v>218</v>
      </c>
      <c r="F325" s="1116">
        <v>5</v>
      </c>
      <c r="G325" s="1116">
        <v>4</v>
      </c>
      <c r="H325" s="985">
        <v>3532.9</v>
      </c>
      <c r="I325" s="985">
        <v>3532.9</v>
      </c>
      <c r="J325" s="985">
        <v>3257.9</v>
      </c>
      <c r="K325" s="1030">
        <v>87</v>
      </c>
      <c r="L325" s="993">
        <v>7531097.8499999996</v>
      </c>
      <c r="M325" s="985">
        <v>0</v>
      </c>
      <c r="N325" s="985">
        <v>0</v>
      </c>
      <c r="O325" s="993">
        <v>7531097.8499999996</v>
      </c>
      <c r="P325" s="985">
        <v>0</v>
      </c>
      <c r="Q325" s="985">
        <v>0</v>
      </c>
      <c r="R325" s="1116">
        <v>2024</v>
      </c>
      <c r="S325" s="1116">
        <v>2024</v>
      </c>
    </row>
    <row r="326" spans="1:19" s="992" customFormat="1" ht="48.75" customHeight="1">
      <c r="A326" s="1114"/>
      <c r="B326" s="1426" t="s">
        <v>1100</v>
      </c>
      <c r="C326" s="1426"/>
      <c r="D326" s="1426"/>
      <c r="E326" s="1426"/>
      <c r="F326" s="1426"/>
      <c r="G326" s="1426"/>
      <c r="H326" s="985">
        <f>H327</f>
        <v>647.6</v>
      </c>
      <c r="I326" s="985">
        <f t="shared" ref="I326:Q326" si="85">I327</f>
        <v>647.6</v>
      </c>
      <c r="J326" s="985">
        <f t="shared" si="85"/>
        <v>599.1</v>
      </c>
      <c r="K326" s="985">
        <f t="shared" si="85"/>
        <v>19</v>
      </c>
      <c r="L326" s="985">
        <f t="shared" si="85"/>
        <v>4982764.66</v>
      </c>
      <c r="M326" s="985">
        <f t="shared" si="85"/>
        <v>0</v>
      </c>
      <c r="N326" s="985">
        <f t="shared" si="85"/>
        <v>0</v>
      </c>
      <c r="O326" s="985">
        <f t="shared" si="85"/>
        <v>4982764.66</v>
      </c>
      <c r="P326" s="985">
        <f t="shared" si="85"/>
        <v>0</v>
      </c>
      <c r="Q326" s="985">
        <f t="shared" si="85"/>
        <v>0</v>
      </c>
      <c r="R326" s="991" t="s">
        <v>40</v>
      </c>
      <c r="S326" s="991" t="s">
        <v>40</v>
      </c>
    </row>
    <row r="327" spans="1:19" s="992" customFormat="1" ht="45" customHeight="1">
      <c r="A327" s="1114">
        <v>84</v>
      </c>
      <c r="B327" s="1112" t="s">
        <v>1696</v>
      </c>
      <c r="C327" s="1114">
        <v>1983</v>
      </c>
      <c r="D327" s="1114"/>
      <c r="E327" s="1114" t="s">
        <v>218</v>
      </c>
      <c r="F327" s="1114">
        <v>3</v>
      </c>
      <c r="G327" s="1114">
        <v>3</v>
      </c>
      <c r="H327" s="985">
        <v>647.6</v>
      </c>
      <c r="I327" s="985">
        <v>647.6</v>
      </c>
      <c r="J327" s="985">
        <v>599.1</v>
      </c>
      <c r="K327" s="1030">
        <v>19</v>
      </c>
      <c r="L327" s="985">
        <v>4982764.66</v>
      </c>
      <c r="M327" s="985">
        <v>0</v>
      </c>
      <c r="N327" s="985">
        <v>0</v>
      </c>
      <c r="O327" s="985">
        <v>4982764.66</v>
      </c>
      <c r="P327" s="993">
        <v>0</v>
      </c>
      <c r="Q327" s="985">
        <v>0</v>
      </c>
      <c r="R327" s="1030">
        <v>2024</v>
      </c>
      <c r="S327" s="1030">
        <v>2024</v>
      </c>
    </row>
    <row r="328" spans="1:19" s="992" customFormat="1" ht="36.6" customHeight="1">
      <c r="A328" s="1114"/>
      <c r="B328" s="1432" t="s">
        <v>1245</v>
      </c>
      <c r="C328" s="1432"/>
      <c r="D328" s="1432"/>
      <c r="E328" s="1432"/>
      <c r="F328" s="1432"/>
      <c r="G328" s="1432"/>
      <c r="H328" s="1024">
        <f t="shared" ref="H328:Q328" si="86">SUM(H329:H331)</f>
        <v>2623.4</v>
      </c>
      <c r="I328" s="1024">
        <f t="shared" si="86"/>
        <v>2623.4</v>
      </c>
      <c r="J328" s="1024">
        <f t="shared" si="86"/>
        <v>2623.4</v>
      </c>
      <c r="K328" s="1024">
        <f t="shared" si="86"/>
        <v>119</v>
      </c>
      <c r="L328" s="1024">
        <f t="shared" si="86"/>
        <v>9225287.8499999996</v>
      </c>
      <c r="M328" s="1024">
        <f t="shared" si="86"/>
        <v>0</v>
      </c>
      <c r="N328" s="1024">
        <f t="shared" si="86"/>
        <v>0</v>
      </c>
      <c r="O328" s="1024">
        <f t="shared" si="86"/>
        <v>9225287.8499999996</v>
      </c>
      <c r="P328" s="1024">
        <f t="shared" si="86"/>
        <v>0</v>
      </c>
      <c r="Q328" s="1024">
        <f t="shared" si="86"/>
        <v>0</v>
      </c>
      <c r="R328" s="991" t="s">
        <v>40</v>
      </c>
      <c r="S328" s="991" t="s">
        <v>40</v>
      </c>
    </row>
    <row r="329" spans="1:19" s="992" customFormat="1" ht="49.5" customHeight="1">
      <c r="A329" s="1114">
        <v>85</v>
      </c>
      <c r="B329" s="1026" t="s">
        <v>1509</v>
      </c>
      <c r="C329" s="1022">
        <v>1975</v>
      </c>
      <c r="D329" s="1022"/>
      <c r="E329" s="1114" t="s">
        <v>219</v>
      </c>
      <c r="F329" s="1022">
        <v>5</v>
      </c>
      <c r="G329" s="1022">
        <v>2</v>
      </c>
      <c r="H329" s="1025">
        <v>1777.5</v>
      </c>
      <c r="I329" s="1025">
        <v>1777.5</v>
      </c>
      <c r="J329" s="1025">
        <v>1777.5</v>
      </c>
      <c r="K329" s="1032">
        <v>82</v>
      </c>
      <c r="L329" s="1025">
        <v>2900867.32</v>
      </c>
      <c r="M329" s="1025">
        <v>0</v>
      </c>
      <c r="N329" s="1025">
        <v>0</v>
      </c>
      <c r="O329" s="1025">
        <v>2900867.32</v>
      </c>
      <c r="P329" s="1025">
        <v>0</v>
      </c>
      <c r="Q329" s="1025">
        <v>0</v>
      </c>
      <c r="R329" s="1008">
        <v>2024</v>
      </c>
      <c r="S329" s="1008">
        <v>2024</v>
      </c>
    </row>
    <row r="330" spans="1:19" s="992" customFormat="1" ht="36.6" customHeight="1">
      <c r="A330" s="1021">
        <v>86</v>
      </c>
      <c r="B330" s="1026" t="s">
        <v>1317</v>
      </c>
      <c r="C330" s="1022">
        <v>1964</v>
      </c>
      <c r="D330" s="1022"/>
      <c r="E330" s="1114" t="s">
        <v>218</v>
      </c>
      <c r="F330" s="1022">
        <v>2</v>
      </c>
      <c r="G330" s="1022">
        <v>1</v>
      </c>
      <c r="H330" s="1025">
        <v>314</v>
      </c>
      <c r="I330" s="1025">
        <v>314</v>
      </c>
      <c r="J330" s="1025">
        <v>314</v>
      </c>
      <c r="K330" s="1032">
        <v>13</v>
      </c>
      <c r="L330" s="1025">
        <v>3897733.44</v>
      </c>
      <c r="M330" s="1025">
        <v>0</v>
      </c>
      <c r="N330" s="1025">
        <v>0</v>
      </c>
      <c r="O330" s="1025">
        <v>3897733.44</v>
      </c>
      <c r="P330" s="1025">
        <v>0</v>
      </c>
      <c r="Q330" s="1025">
        <v>0</v>
      </c>
      <c r="R330" s="1008">
        <v>2024</v>
      </c>
      <c r="S330" s="1008">
        <v>2024</v>
      </c>
    </row>
    <row r="331" spans="1:19" s="992" customFormat="1" ht="36.6" customHeight="1">
      <c r="A331" s="1114">
        <v>87</v>
      </c>
      <c r="B331" s="1026" t="s">
        <v>1515</v>
      </c>
      <c r="C331" s="1116">
        <v>1970</v>
      </c>
      <c r="D331" s="1111"/>
      <c r="E331" s="1114" t="s">
        <v>218</v>
      </c>
      <c r="F331" s="1116">
        <v>2</v>
      </c>
      <c r="G331" s="1116">
        <v>2</v>
      </c>
      <c r="H331" s="1157">
        <v>531.9</v>
      </c>
      <c r="I331" s="1025">
        <v>531.9</v>
      </c>
      <c r="J331" s="1025">
        <v>531.9</v>
      </c>
      <c r="K331" s="1032">
        <v>24</v>
      </c>
      <c r="L331" s="1025">
        <v>2426687.09</v>
      </c>
      <c r="M331" s="1018">
        <v>0</v>
      </c>
      <c r="N331" s="1018">
        <v>0</v>
      </c>
      <c r="O331" s="1025">
        <v>2426687.09</v>
      </c>
      <c r="P331" s="1018">
        <v>0</v>
      </c>
      <c r="Q331" s="1018">
        <v>0</v>
      </c>
      <c r="R331" s="1008">
        <v>2024</v>
      </c>
      <c r="S331" s="1008">
        <v>2024</v>
      </c>
    </row>
    <row r="332" spans="1:19" s="992" customFormat="1" ht="42.6" customHeight="1">
      <c r="A332" s="1114"/>
      <c r="B332" s="1029" t="s">
        <v>1117</v>
      </c>
      <c r="C332" s="1030"/>
      <c r="D332" s="1031"/>
      <c r="E332" s="1114"/>
      <c r="F332" s="987"/>
      <c r="G332" s="987"/>
      <c r="H332" s="993">
        <f>H333</f>
        <v>841</v>
      </c>
      <c r="I332" s="993">
        <f t="shared" ref="I332:Q332" si="87">I333</f>
        <v>841</v>
      </c>
      <c r="J332" s="993">
        <f t="shared" si="87"/>
        <v>766.3</v>
      </c>
      <c r="K332" s="993">
        <f t="shared" si="87"/>
        <v>32</v>
      </c>
      <c r="L332" s="993">
        <f t="shared" si="87"/>
        <v>2967810.41</v>
      </c>
      <c r="M332" s="993">
        <f t="shared" si="87"/>
        <v>0</v>
      </c>
      <c r="N332" s="993">
        <f t="shared" si="87"/>
        <v>0</v>
      </c>
      <c r="O332" s="993">
        <f t="shared" si="87"/>
        <v>2967810.41</v>
      </c>
      <c r="P332" s="993">
        <f t="shared" si="87"/>
        <v>0</v>
      </c>
      <c r="Q332" s="993">
        <f t="shared" si="87"/>
        <v>0</v>
      </c>
      <c r="R332" s="991" t="s">
        <v>40</v>
      </c>
      <c r="S332" s="991" t="s">
        <v>40</v>
      </c>
    </row>
    <row r="333" spans="1:19" s="992" customFormat="1" ht="36.6" customHeight="1">
      <c r="A333" s="1114">
        <v>88</v>
      </c>
      <c r="B333" s="1029" t="s">
        <v>1356</v>
      </c>
      <c r="C333" s="1030">
        <v>1973</v>
      </c>
      <c r="D333" s="1030"/>
      <c r="E333" s="1114" t="s">
        <v>218</v>
      </c>
      <c r="F333" s="987">
        <v>2</v>
      </c>
      <c r="G333" s="987">
        <v>2</v>
      </c>
      <c r="H333" s="993">
        <v>841</v>
      </c>
      <c r="I333" s="993">
        <v>841</v>
      </c>
      <c r="J333" s="993">
        <v>766.3</v>
      </c>
      <c r="K333" s="987">
        <v>32</v>
      </c>
      <c r="L333" s="986">
        <v>2967810.41</v>
      </c>
      <c r="M333" s="986">
        <v>0</v>
      </c>
      <c r="N333" s="986">
        <v>0</v>
      </c>
      <c r="O333" s="986">
        <v>2967810.41</v>
      </c>
      <c r="P333" s="993">
        <v>0</v>
      </c>
      <c r="Q333" s="986">
        <v>0</v>
      </c>
      <c r="R333" s="1030">
        <v>2024</v>
      </c>
      <c r="S333" s="1030">
        <v>2024</v>
      </c>
    </row>
    <row r="334" spans="1:19" s="992" customFormat="1" ht="39.6" customHeight="1">
      <c r="A334" s="1114"/>
      <c r="B334" s="1426" t="s">
        <v>1053</v>
      </c>
      <c r="C334" s="1426"/>
      <c r="D334" s="1426"/>
      <c r="E334" s="1426"/>
      <c r="F334" s="1426"/>
      <c r="G334" s="1426"/>
      <c r="H334" s="985">
        <f>H335+H336+H337+H338+H339</f>
        <v>17610.5</v>
      </c>
      <c r="I334" s="985">
        <f t="shared" ref="I334:Q334" si="88">I335+I336+I337+I338+I339</f>
        <v>15972.2</v>
      </c>
      <c r="J334" s="985">
        <f t="shared" si="88"/>
        <v>14466.599999999999</v>
      </c>
      <c r="K334" s="985">
        <f t="shared" si="88"/>
        <v>704</v>
      </c>
      <c r="L334" s="985">
        <f t="shared" si="88"/>
        <v>26488505.43</v>
      </c>
      <c r="M334" s="985">
        <f t="shared" si="88"/>
        <v>0</v>
      </c>
      <c r="N334" s="985">
        <f t="shared" si="88"/>
        <v>0</v>
      </c>
      <c r="O334" s="985">
        <f t="shared" si="88"/>
        <v>26488505.43</v>
      </c>
      <c r="P334" s="985">
        <f t="shared" si="88"/>
        <v>0</v>
      </c>
      <c r="Q334" s="985">
        <f t="shared" si="88"/>
        <v>0</v>
      </c>
      <c r="R334" s="991" t="s">
        <v>40</v>
      </c>
      <c r="S334" s="991" t="s">
        <v>40</v>
      </c>
    </row>
    <row r="335" spans="1:19" s="992" customFormat="1" ht="45" customHeight="1">
      <c r="A335" s="1022">
        <v>89</v>
      </c>
      <c r="B335" s="1138" t="s">
        <v>1685</v>
      </c>
      <c r="C335" s="1022">
        <v>1975</v>
      </c>
      <c r="D335" s="1155"/>
      <c r="E335" s="1114" t="s">
        <v>219</v>
      </c>
      <c r="F335" s="1022">
        <v>5</v>
      </c>
      <c r="G335" s="1022">
        <v>8</v>
      </c>
      <c r="H335" s="1025">
        <v>4472.2</v>
      </c>
      <c r="I335" s="1025">
        <v>4472.2</v>
      </c>
      <c r="J335" s="1025">
        <v>3998.2</v>
      </c>
      <c r="K335" s="1156">
        <v>187</v>
      </c>
      <c r="L335" s="1025">
        <v>5645534.0899999999</v>
      </c>
      <c r="M335" s="1157">
        <v>0</v>
      </c>
      <c r="N335" s="1157">
        <v>0</v>
      </c>
      <c r="O335" s="1025">
        <f>L335</f>
        <v>5645534.0899999999</v>
      </c>
      <c r="P335" s="1157">
        <v>0</v>
      </c>
      <c r="Q335" s="1157">
        <v>0</v>
      </c>
      <c r="R335" s="987">
        <v>2024</v>
      </c>
      <c r="S335" s="987">
        <v>2024</v>
      </c>
    </row>
    <row r="336" spans="1:19" s="992" customFormat="1" ht="45" customHeight="1">
      <c r="A336" s="1022">
        <v>90</v>
      </c>
      <c r="B336" s="1138" t="s">
        <v>1686</v>
      </c>
      <c r="C336" s="1022">
        <v>1974</v>
      </c>
      <c r="D336" s="1155"/>
      <c r="E336" s="1114" t="s">
        <v>219</v>
      </c>
      <c r="F336" s="1022">
        <v>5</v>
      </c>
      <c r="G336" s="1022">
        <v>8</v>
      </c>
      <c r="H336" s="1025">
        <v>4391.7</v>
      </c>
      <c r="I336" s="1025">
        <v>4391.7</v>
      </c>
      <c r="J336" s="1025">
        <v>3955.7</v>
      </c>
      <c r="K336" s="1156">
        <v>208</v>
      </c>
      <c r="L336" s="1025">
        <v>5645534.0899999999</v>
      </c>
      <c r="M336" s="1157">
        <v>0</v>
      </c>
      <c r="N336" s="1157">
        <v>0</v>
      </c>
      <c r="O336" s="1025">
        <v>5645534.0899999999</v>
      </c>
      <c r="P336" s="1157">
        <v>0</v>
      </c>
      <c r="Q336" s="1157">
        <v>0</v>
      </c>
      <c r="R336" s="987">
        <v>2024</v>
      </c>
      <c r="S336" s="987">
        <v>2024</v>
      </c>
    </row>
    <row r="337" spans="1:19" s="992" customFormat="1" ht="45" customHeight="1">
      <c r="A337" s="1022">
        <v>91</v>
      </c>
      <c r="B337" s="1138" t="s">
        <v>1687</v>
      </c>
      <c r="C337" s="1022">
        <v>1975</v>
      </c>
      <c r="D337" s="1155"/>
      <c r="E337" s="1114" t="s">
        <v>218</v>
      </c>
      <c r="F337" s="1022">
        <v>2</v>
      </c>
      <c r="G337" s="1022">
        <v>2</v>
      </c>
      <c r="H337" s="1025">
        <v>529.4</v>
      </c>
      <c r="I337" s="1025">
        <v>519.4</v>
      </c>
      <c r="J337" s="1025">
        <v>477</v>
      </c>
      <c r="K337" s="1156">
        <v>25</v>
      </c>
      <c r="L337" s="1025">
        <v>2100054.89</v>
      </c>
      <c r="M337" s="1157">
        <v>0</v>
      </c>
      <c r="N337" s="1157">
        <v>0</v>
      </c>
      <c r="O337" s="1025">
        <v>2100054.89</v>
      </c>
      <c r="P337" s="1157">
        <v>0</v>
      </c>
      <c r="Q337" s="1157">
        <v>0</v>
      </c>
      <c r="R337" s="987">
        <v>2024</v>
      </c>
      <c r="S337" s="987">
        <v>2024</v>
      </c>
    </row>
    <row r="338" spans="1:19" s="992" customFormat="1" ht="69" customHeight="1">
      <c r="A338" s="1022">
        <v>92</v>
      </c>
      <c r="B338" s="1143" t="s">
        <v>1688</v>
      </c>
      <c r="C338" s="1022">
        <v>1986</v>
      </c>
      <c r="D338" s="1155"/>
      <c r="E338" s="1114" t="s">
        <v>219</v>
      </c>
      <c r="F338" s="1022">
        <v>9</v>
      </c>
      <c r="G338" s="1022">
        <v>2</v>
      </c>
      <c r="H338" s="1025">
        <v>5682</v>
      </c>
      <c r="I338" s="1025">
        <v>4367.6000000000004</v>
      </c>
      <c r="J338" s="1025">
        <v>3814.4</v>
      </c>
      <c r="K338" s="1156">
        <v>207</v>
      </c>
      <c r="L338" s="1025">
        <v>9880963.9399999995</v>
      </c>
      <c r="M338" s="1157">
        <v>0</v>
      </c>
      <c r="N338" s="1157">
        <v>0</v>
      </c>
      <c r="O338" s="1025">
        <f>L338</f>
        <v>9880963.9399999995</v>
      </c>
      <c r="P338" s="1157">
        <v>0</v>
      </c>
      <c r="Q338" s="1157">
        <v>0</v>
      </c>
      <c r="R338" s="987">
        <v>2024</v>
      </c>
      <c r="S338" s="987">
        <v>2024</v>
      </c>
    </row>
    <row r="339" spans="1:19" s="992" customFormat="1" ht="50.45" customHeight="1">
      <c r="A339" s="1022">
        <v>93</v>
      </c>
      <c r="B339" s="1143" t="s">
        <v>508</v>
      </c>
      <c r="C339" s="1022">
        <v>1988</v>
      </c>
      <c r="D339" s="1155"/>
      <c r="E339" s="1114" t="s">
        <v>219</v>
      </c>
      <c r="F339" s="1022">
        <v>9</v>
      </c>
      <c r="G339" s="1022">
        <v>1</v>
      </c>
      <c r="H339" s="1025">
        <v>2535.1999999999998</v>
      </c>
      <c r="I339" s="1025">
        <v>2221.3000000000002</v>
      </c>
      <c r="J339" s="1025">
        <v>2221.3000000000002</v>
      </c>
      <c r="K339" s="1156">
        <v>77</v>
      </c>
      <c r="L339" s="1025">
        <v>3216418.42</v>
      </c>
      <c r="M339" s="1157">
        <v>0</v>
      </c>
      <c r="N339" s="1157">
        <v>0</v>
      </c>
      <c r="O339" s="1025">
        <f>L339</f>
        <v>3216418.42</v>
      </c>
      <c r="P339" s="1157">
        <v>0</v>
      </c>
      <c r="Q339" s="1157">
        <v>0</v>
      </c>
      <c r="R339" s="987">
        <v>2024</v>
      </c>
      <c r="S339" s="987">
        <v>2024</v>
      </c>
    </row>
    <row r="340" spans="1:19" s="992" customFormat="1" ht="60.6" customHeight="1">
      <c r="A340" s="1430" t="s">
        <v>35</v>
      </c>
      <c r="B340" s="1430"/>
      <c r="C340" s="1430"/>
      <c r="D340" s="1430"/>
      <c r="E340" s="1430"/>
      <c r="F340" s="1430"/>
      <c r="G340" s="1430"/>
      <c r="H340" s="1430"/>
      <c r="I340" s="1430"/>
      <c r="J340" s="1430"/>
      <c r="K340" s="1430"/>
      <c r="L340" s="1430"/>
      <c r="M340" s="1430"/>
      <c r="N340" s="1430"/>
      <c r="O340" s="1430"/>
      <c r="P340" s="1430"/>
      <c r="Q340" s="1430"/>
      <c r="R340" s="1430"/>
      <c r="S340" s="1430"/>
    </row>
    <row r="341" spans="1:19" s="992" customFormat="1" ht="36" customHeight="1">
      <c r="A341" s="1114"/>
      <c r="B341" s="1427" t="s">
        <v>42</v>
      </c>
      <c r="C341" s="1427"/>
      <c r="D341" s="1427"/>
      <c r="E341" s="1427"/>
      <c r="F341" s="1427"/>
      <c r="G341" s="1427"/>
      <c r="H341" s="985">
        <f>H342</f>
        <v>0</v>
      </c>
      <c r="I341" s="985">
        <f t="shared" ref="I341:Q341" si="89">I342</f>
        <v>0</v>
      </c>
      <c r="J341" s="985">
        <f t="shared" si="89"/>
        <v>0</v>
      </c>
      <c r="K341" s="1030">
        <f t="shared" si="89"/>
        <v>0</v>
      </c>
      <c r="L341" s="985">
        <f t="shared" si="89"/>
        <v>0</v>
      </c>
      <c r="M341" s="985">
        <f t="shared" si="89"/>
        <v>0</v>
      </c>
      <c r="N341" s="985">
        <f t="shared" si="89"/>
        <v>0</v>
      </c>
      <c r="O341" s="985">
        <f t="shared" si="89"/>
        <v>0</v>
      </c>
      <c r="P341" s="985">
        <f t="shared" si="89"/>
        <v>0</v>
      </c>
      <c r="Q341" s="985">
        <f t="shared" si="89"/>
        <v>0</v>
      </c>
      <c r="R341" s="1116" t="s">
        <v>40</v>
      </c>
      <c r="S341" s="991" t="s">
        <v>40</v>
      </c>
    </row>
    <row r="342" spans="1:19" s="992" customFormat="1" ht="36" customHeight="1">
      <c r="A342" s="1114"/>
      <c r="B342" s="1427" t="s">
        <v>1036</v>
      </c>
      <c r="C342" s="1427"/>
      <c r="D342" s="1427"/>
      <c r="E342" s="1427"/>
      <c r="F342" s="1427"/>
      <c r="G342" s="1427"/>
      <c r="H342" s="985">
        <f>H343</f>
        <v>0</v>
      </c>
      <c r="I342" s="985">
        <f t="shared" ref="I342:Q342" si="90">I343</f>
        <v>0</v>
      </c>
      <c r="J342" s="985">
        <f t="shared" si="90"/>
        <v>0</v>
      </c>
      <c r="K342" s="1030">
        <f t="shared" si="90"/>
        <v>0</v>
      </c>
      <c r="L342" s="985">
        <f t="shared" si="90"/>
        <v>0</v>
      </c>
      <c r="M342" s="985">
        <f t="shared" si="90"/>
        <v>0</v>
      </c>
      <c r="N342" s="985">
        <f t="shared" si="90"/>
        <v>0</v>
      </c>
      <c r="O342" s="985">
        <f t="shared" si="90"/>
        <v>0</v>
      </c>
      <c r="P342" s="985">
        <f t="shared" si="90"/>
        <v>0</v>
      </c>
      <c r="Q342" s="985">
        <f t="shared" si="90"/>
        <v>0</v>
      </c>
      <c r="R342" s="1116" t="s">
        <v>40</v>
      </c>
      <c r="S342" s="991" t="s">
        <v>40</v>
      </c>
    </row>
    <row r="343" spans="1:19" s="992" customFormat="1" ht="36" customHeight="1">
      <c r="A343" s="1114"/>
      <c r="B343" s="1112"/>
      <c r="C343" s="1111"/>
      <c r="D343" s="1111"/>
      <c r="E343" s="1114"/>
      <c r="F343" s="1116"/>
      <c r="G343" s="1116"/>
      <c r="H343" s="985"/>
      <c r="I343" s="985"/>
      <c r="J343" s="985"/>
      <c r="K343" s="1030"/>
      <c r="L343" s="985"/>
      <c r="M343" s="985"/>
      <c r="N343" s="985"/>
      <c r="O343" s="985"/>
      <c r="P343" s="985"/>
      <c r="Q343" s="985"/>
      <c r="R343" s="987"/>
      <c r="S343" s="987"/>
    </row>
    <row r="344" spans="1:19" s="992" customFormat="1" ht="43.15" customHeight="1">
      <c r="A344" s="1430" t="s">
        <v>1051</v>
      </c>
      <c r="B344" s="1430"/>
      <c r="C344" s="1430"/>
      <c r="D344" s="1430"/>
      <c r="E344" s="1430"/>
      <c r="F344" s="1430"/>
      <c r="G344" s="1430"/>
      <c r="H344" s="1430"/>
      <c r="I344" s="1430"/>
      <c r="J344" s="1430"/>
      <c r="K344" s="1430"/>
      <c r="L344" s="1430"/>
      <c r="M344" s="1430"/>
      <c r="N344" s="1430"/>
      <c r="O344" s="1430"/>
      <c r="P344" s="1430"/>
      <c r="Q344" s="1430"/>
      <c r="R344" s="1430"/>
      <c r="S344" s="1430"/>
    </row>
    <row r="345" spans="1:19" s="992" customFormat="1" ht="36" customHeight="1">
      <c r="A345" s="1114"/>
      <c r="B345" s="1427" t="s">
        <v>42</v>
      </c>
      <c r="C345" s="1427"/>
      <c r="D345" s="1427"/>
      <c r="E345" s="1427"/>
      <c r="F345" s="1427"/>
      <c r="G345" s="1427"/>
      <c r="H345" s="985">
        <f>H346</f>
        <v>1233.1999999999998</v>
      </c>
      <c r="I345" s="985">
        <f t="shared" ref="I345:Q345" si="91">I346</f>
        <v>1145</v>
      </c>
      <c r="J345" s="985">
        <f t="shared" si="91"/>
        <v>1145</v>
      </c>
      <c r="K345" s="985">
        <f t="shared" si="91"/>
        <v>39</v>
      </c>
      <c r="L345" s="985">
        <f t="shared" si="91"/>
        <v>832000</v>
      </c>
      <c r="M345" s="985">
        <f t="shared" si="91"/>
        <v>0</v>
      </c>
      <c r="N345" s="985">
        <f t="shared" si="91"/>
        <v>249600</v>
      </c>
      <c r="O345" s="985">
        <f t="shared" si="91"/>
        <v>582400</v>
      </c>
      <c r="P345" s="985">
        <f t="shared" si="91"/>
        <v>0</v>
      </c>
      <c r="Q345" s="985">
        <f t="shared" si="91"/>
        <v>0</v>
      </c>
      <c r="R345" s="1116" t="s">
        <v>40</v>
      </c>
      <c r="S345" s="991" t="s">
        <v>40</v>
      </c>
    </row>
    <row r="346" spans="1:19" s="992" customFormat="1" ht="40.9" customHeight="1">
      <c r="A346" s="1114"/>
      <c r="B346" s="1427" t="s">
        <v>1115</v>
      </c>
      <c r="C346" s="1427"/>
      <c r="D346" s="1427"/>
      <c r="E346" s="1427"/>
      <c r="F346" s="1427"/>
      <c r="G346" s="1427"/>
      <c r="H346" s="985">
        <f t="shared" ref="H346:Q346" si="92">SUM(H347:H348)</f>
        <v>1233.1999999999998</v>
      </c>
      <c r="I346" s="985">
        <f t="shared" si="92"/>
        <v>1145</v>
      </c>
      <c r="J346" s="985">
        <f t="shared" si="92"/>
        <v>1145</v>
      </c>
      <c r="K346" s="1030">
        <f t="shared" si="92"/>
        <v>39</v>
      </c>
      <c r="L346" s="985">
        <f t="shared" si="92"/>
        <v>832000</v>
      </c>
      <c r="M346" s="985">
        <f t="shared" si="92"/>
        <v>0</v>
      </c>
      <c r="N346" s="985">
        <f t="shared" si="92"/>
        <v>249600</v>
      </c>
      <c r="O346" s="985">
        <f t="shared" si="92"/>
        <v>582400</v>
      </c>
      <c r="P346" s="985">
        <f t="shared" si="92"/>
        <v>0</v>
      </c>
      <c r="Q346" s="985">
        <f t="shared" si="92"/>
        <v>0</v>
      </c>
      <c r="R346" s="1116" t="s">
        <v>40</v>
      </c>
      <c r="S346" s="991" t="s">
        <v>40</v>
      </c>
    </row>
    <row r="347" spans="1:19" s="1011" customFormat="1" ht="42.6" customHeight="1">
      <c r="A347" s="1021">
        <v>94</v>
      </c>
      <c r="B347" s="1113" t="s">
        <v>1233</v>
      </c>
      <c r="C347" s="1022">
        <v>1977</v>
      </c>
      <c r="D347" s="1032">
        <v>2016</v>
      </c>
      <c r="E347" s="1114" t="s">
        <v>220</v>
      </c>
      <c r="F347" s="1022">
        <v>2</v>
      </c>
      <c r="G347" s="1022">
        <v>2</v>
      </c>
      <c r="H347" s="1176">
        <v>836.8</v>
      </c>
      <c r="I347" s="1176">
        <v>783.6</v>
      </c>
      <c r="J347" s="1176">
        <v>783.6</v>
      </c>
      <c r="K347" s="1032">
        <v>32</v>
      </c>
      <c r="L347" s="1025">
        <f>N347+O347</f>
        <v>700000</v>
      </c>
      <c r="M347" s="1025">
        <v>0</v>
      </c>
      <c r="N347" s="1025">
        <v>210000</v>
      </c>
      <c r="O347" s="1025">
        <v>490000</v>
      </c>
      <c r="P347" s="1036">
        <f>SUM(P348:P348)</f>
        <v>0</v>
      </c>
      <c r="Q347" s="1036">
        <f>SUM(Q348:Q348)</f>
        <v>0</v>
      </c>
      <c r="R347" s="1022">
        <v>2024</v>
      </c>
      <c r="S347" s="1022">
        <v>2024</v>
      </c>
    </row>
    <row r="348" spans="1:19" s="1011" customFormat="1" ht="39.6" customHeight="1">
      <c r="A348" s="1021">
        <v>95</v>
      </c>
      <c r="B348" s="1113" t="s">
        <v>1188</v>
      </c>
      <c r="C348" s="1022">
        <v>1985</v>
      </c>
      <c r="D348" s="1032">
        <v>2021</v>
      </c>
      <c r="E348" s="1114" t="s">
        <v>218</v>
      </c>
      <c r="F348" s="1022">
        <v>2</v>
      </c>
      <c r="G348" s="1022">
        <v>1</v>
      </c>
      <c r="H348" s="1176">
        <v>396.4</v>
      </c>
      <c r="I348" s="1176">
        <v>361.4</v>
      </c>
      <c r="J348" s="1176">
        <v>361.4</v>
      </c>
      <c r="K348" s="1032">
        <v>7</v>
      </c>
      <c r="L348" s="1025">
        <f>N348+O348</f>
        <v>132000</v>
      </c>
      <c r="M348" s="1025">
        <v>0</v>
      </c>
      <c r="N348" s="1025">
        <v>39600</v>
      </c>
      <c r="O348" s="1025">
        <v>92400</v>
      </c>
      <c r="P348" s="1036">
        <f>SUM(P349:P349)</f>
        <v>0</v>
      </c>
      <c r="Q348" s="1036">
        <f>SUM(Q349:Q349)</f>
        <v>0</v>
      </c>
      <c r="R348" s="1022">
        <v>2024</v>
      </c>
      <c r="S348" s="1022">
        <v>2024</v>
      </c>
    </row>
    <row r="349" spans="1:19" s="1011" customFormat="1" ht="37.9" customHeight="1">
      <c r="A349" s="1430" t="s">
        <v>1335</v>
      </c>
      <c r="B349" s="1426"/>
      <c r="C349" s="1426"/>
      <c r="D349" s="1426"/>
      <c r="E349" s="1426"/>
      <c r="F349" s="1426"/>
      <c r="G349" s="1426"/>
      <c r="H349" s="1426"/>
      <c r="I349" s="1426"/>
      <c r="J349" s="1426"/>
      <c r="K349" s="1426"/>
      <c r="L349" s="1426"/>
      <c r="M349" s="1426"/>
      <c r="N349" s="1426"/>
      <c r="O349" s="1426"/>
      <c r="P349" s="1426"/>
      <c r="Q349" s="1426"/>
      <c r="R349" s="1426"/>
      <c r="S349" s="1426"/>
    </row>
    <row r="350" spans="1:19" s="992" customFormat="1" ht="39.6" customHeight="1">
      <c r="A350" s="1430" t="s">
        <v>1041</v>
      </c>
      <c r="B350" s="1430"/>
      <c r="C350" s="1430"/>
      <c r="D350" s="1430"/>
      <c r="E350" s="1430"/>
      <c r="F350" s="1430"/>
      <c r="G350" s="1430"/>
      <c r="H350" s="1430"/>
      <c r="I350" s="1430"/>
      <c r="J350" s="1430"/>
      <c r="K350" s="1430"/>
      <c r="L350" s="1430"/>
      <c r="M350" s="1430"/>
      <c r="N350" s="1430"/>
      <c r="O350" s="1430"/>
      <c r="P350" s="1430"/>
      <c r="Q350" s="1430"/>
      <c r="R350" s="1430"/>
      <c r="S350" s="1430"/>
    </row>
    <row r="351" spans="1:19" s="992" customFormat="1" ht="42.6" customHeight="1">
      <c r="A351" s="1114"/>
      <c r="B351" s="1427" t="s">
        <v>42</v>
      </c>
      <c r="C351" s="1427"/>
      <c r="D351" s="1427"/>
      <c r="E351" s="1427"/>
      <c r="F351" s="1427"/>
      <c r="G351" s="1427"/>
      <c r="H351" s="993">
        <f>H352+H370+H376+H383+H388+H390+H392+H395+H399+H401+H406+H408+H410+H412+H423+H427+H432+H437+H453+H455+H458+H462+H465+H471+H475+H477+H480+H482+H488+H496+H473</f>
        <v>206384.37999999998</v>
      </c>
      <c r="I351" s="993">
        <f t="shared" ref="I351:Q351" si="93">I352+I370+I376+I383+I388+I390+I392+I395+I399+I401+I406+I408+I410+I412+I423+I427+I432+I437+I453+I455+I458+I462+I465+I471+I475+I477+I480+I482+I488+I496+I473</f>
        <v>191521.88</v>
      </c>
      <c r="J351" s="993">
        <f t="shared" si="93"/>
        <v>165752.46000000002</v>
      </c>
      <c r="K351" s="993">
        <f t="shared" si="93"/>
        <v>7420</v>
      </c>
      <c r="L351" s="993">
        <f t="shared" si="93"/>
        <v>672511329.8900001</v>
      </c>
      <c r="M351" s="993">
        <f t="shared" si="93"/>
        <v>0</v>
      </c>
      <c r="N351" s="993">
        <f t="shared" si="93"/>
        <v>1907958.78</v>
      </c>
      <c r="O351" s="993">
        <f t="shared" si="93"/>
        <v>670603371.11000013</v>
      </c>
      <c r="P351" s="993">
        <f t="shared" si="93"/>
        <v>0</v>
      </c>
      <c r="Q351" s="993">
        <f t="shared" si="93"/>
        <v>0</v>
      </c>
      <c r="R351" s="991" t="s">
        <v>40</v>
      </c>
      <c r="S351" s="991" t="s">
        <v>40</v>
      </c>
    </row>
    <row r="352" spans="1:19" s="992" customFormat="1" ht="39.6" customHeight="1">
      <c r="A352" s="1114"/>
      <c r="B352" s="1115" t="s">
        <v>1036</v>
      </c>
      <c r="C352" s="1115"/>
      <c r="D352" s="1115"/>
      <c r="E352" s="1115"/>
      <c r="F352" s="1115"/>
      <c r="G352" s="1115"/>
      <c r="H352" s="993">
        <f t="shared" ref="H352:Q352" si="94">SUM(H353:H369)</f>
        <v>45039.200000000004</v>
      </c>
      <c r="I352" s="993">
        <f t="shared" si="94"/>
        <v>41331.100000000006</v>
      </c>
      <c r="J352" s="993">
        <f t="shared" si="94"/>
        <v>34992.699999999997</v>
      </c>
      <c r="K352" s="993">
        <f t="shared" si="94"/>
        <v>1801</v>
      </c>
      <c r="L352" s="993">
        <f t="shared" si="94"/>
        <v>166554860.20000002</v>
      </c>
      <c r="M352" s="993">
        <f t="shared" si="94"/>
        <v>0</v>
      </c>
      <c r="N352" s="993">
        <f t="shared" si="94"/>
        <v>0</v>
      </c>
      <c r="O352" s="993">
        <f t="shared" si="94"/>
        <v>166554860.20000002</v>
      </c>
      <c r="P352" s="993">
        <f t="shared" si="94"/>
        <v>0</v>
      </c>
      <c r="Q352" s="993">
        <f t="shared" si="94"/>
        <v>0</v>
      </c>
      <c r="R352" s="991" t="s">
        <v>40</v>
      </c>
      <c r="S352" s="991" t="s">
        <v>40</v>
      </c>
    </row>
    <row r="353" spans="1:19" s="992" customFormat="1" ht="42" customHeight="1">
      <c r="A353" s="1114">
        <v>1</v>
      </c>
      <c r="B353" s="1127" t="s">
        <v>1797</v>
      </c>
      <c r="C353" s="1017">
        <v>1978</v>
      </c>
      <c r="D353" s="1017"/>
      <c r="E353" s="1009" t="s">
        <v>219</v>
      </c>
      <c r="F353" s="1017">
        <v>9</v>
      </c>
      <c r="G353" s="1017">
        <v>1</v>
      </c>
      <c r="H353" s="1128">
        <v>1912.7</v>
      </c>
      <c r="I353" s="1128">
        <v>1893</v>
      </c>
      <c r="J353" s="1128">
        <v>1765.4</v>
      </c>
      <c r="K353" s="1017">
        <v>83</v>
      </c>
      <c r="L353" s="1129">
        <v>14045704.83</v>
      </c>
      <c r="M353" s="1130">
        <v>0</v>
      </c>
      <c r="N353" s="1130">
        <v>0</v>
      </c>
      <c r="O353" s="1129">
        <v>14045704.83</v>
      </c>
      <c r="P353" s="1130">
        <v>0</v>
      </c>
      <c r="Q353" s="1130">
        <v>0</v>
      </c>
      <c r="R353" s="1114">
        <v>2025</v>
      </c>
      <c r="S353" s="1158" t="s">
        <v>1714</v>
      </c>
    </row>
    <row r="354" spans="1:19" s="992" customFormat="1" ht="40.15" customHeight="1">
      <c r="A354" s="1114">
        <v>2</v>
      </c>
      <c r="B354" s="1127" t="s">
        <v>1798</v>
      </c>
      <c r="C354" s="1017">
        <v>1979</v>
      </c>
      <c r="D354" s="1017"/>
      <c r="E354" s="1009" t="s">
        <v>219</v>
      </c>
      <c r="F354" s="1017">
        <v>9</v>
      </c>
      <c r="G354" s="1017">
        <v>1</v>
      </c>
      <c r="H354" s="1128">
        <v>2130.9</v>
      </c>
      <c r="I354" s="1128">
        <v>1912.3</v>
      </c>
      <c r="J354" s="1128">
        <v>1843.5</v>
      </c>
      <c r="K354" s="1017">
        <v>82</v>
      </c>
      <c r="L354" s="1129">
        <v>16559001.150000002</v>
      </c>
      <c r="M354" s="1130">
        <v>0</v>
      </c>
      <c r="N354" s="1130">
        <v>0</v>
      </c>
      <c r="O354" s="1129">
        <v>16559001.150000002</v>
      </c>
      <c r="P354" s="1130">
        <v>0</v>
      </c>
      <c r="Q354" s="1130">
        <v>0</v>
      </c>
      <c r="R354" s="1114">
        <v>2025</v>
      </c>
      <c r="S354" s="1158" t="s">
        <v>1714</v>
      </c>
    </row>
    <row r="355" spans="1:19" s="1011" customFormat="1" ht="37.9" customHeight="1">
      <c r="A355" s="1114">
        <v>3</v>
      </c>
      <c r="B355" s="1127" t="s">
        <v>1799</v>
      </c>
      <c r="C355" s="1017">
        <v>1990</v>
      </c>
      <c r="D355" s="1017"/>
      <c r="E355" s="1009" t="s">
        <v>219</v>
      </c>
      <c r="F355" s="1017">
        <v>10</v>
      </c>
      <c r="G355" s="1017">
        <v>3</v>
      </c>
      <c r="H355" s="1128">
        <v>7874.6</v>
      </c>
      <c r="I355" s="1128">
        <v>7119.3</v>
      </c>
      <c r="J355" s="1128">
        <v>6937.9</v>
      </c>
      <c r="K355" s="1017">
        <v>316</v>
      </c>
      <c r="L355" s="1129">
        <v>27373618.790000003</v>
      </c>
      <c r="M355" s="1130">
        <v>0</v>
      </c>
      <c r="N355" s="1130">
        <v>0</v>
      </c>
      <c r="O355" s="1129">
        <v>27373618.790000003</v>
      </c>
      <c r="P355" s="1130">
        <v>0</v>
      </c>
      <c r="Q355" s="1130">
        <v>0</v>
      </c>
      <c r="R355" s="1114">
        <v>2025</v>
      </c>
      <c r="S355" s="1158" t="s">
        <v>1714</v>
      </c>
    </row>
    <row r="356" spans="1:19" s="1011" customFormat="1" ht="43.15" customHeight="1">
      <c r="A356" s="1114">
        <v>4</v>
      </c>
      <c r="B356" s="1127" t="s">
        <v>1800</v>
      </c>
      <c r="C356" s="1017">
        <v>1989</v>
      </c>
      <c r="D356" s="1017"/>
      <c r="E356" s="1009" t="s">
        <v>218</v>
      </c>
      <c r="F356" s="1017">
        <v>9</v>
      </c>
      <c r="G356" s="1017">
        <v>1</v>
      </c>
      <c r="H356" s="1128">
        <v>4798.8999999999996</v>
      </c>
      <c r="I356" s="1128">
        <v>4112.6000000000004</v>
      </c>
      <c r="J356" s="1128">
        <v>3139.1</v>
      </c>
      <c r="K356" s="1017">
        <v>169</v>
      </c>
      <c r="L356" s="1129">
        <v>4706272.7299999995</v>
      </c>
      <c r="M356" s="1130">
        <v>0</v>
      </c>
      <c r="N356" s="1130">
        <v>0</v>
      </c>
      <c r="O356" s="1129">
        <v>4706272.7299999995</v>
      </c>
      <c r="P356" s="1130">
        <v>0</v>
      </c>
      <c r="Q356" s="1130">
        <v>0</v>
      </c>
      <c r="R356" s="1114">
        <v>2025</v>
      </c>
      <c r="S356" s="1158" t="s">
        <v>1714</v>
      </c>
    </row>
    <row r="357" spans="1:19" s="1011" customFormat="1" ht="42.6" customHeight="1">
      <c r="A357" s="1114">
        <v>5</v>
      </c>
      <c r="B357" s="1127" t="s">
        <v>1801</v>
      </c>
      <c r="C357" s="1017">
        <v>1951</v>
      </c>
      <c r="D357" s="1017"/>
      <c r="E357" s="1009" t="s">
        <v>220</v>
      </c>
      <c r="F357" s="1017">
        <v>2</v>
      </c>
      <c r="G357" s="1017">
        <v>1</v>
      </c>
      <c r="H357" s="1128">
        <v>559.9</v>
      </c>
      <c r="I357" s="1128">
        <v>515.29999999999995</v>
      </c>
      <c r="J357" s="1128">
        <v>515.29999999999995</v>
      </c>
      <c r="K357" s="1017">
        <v>24</v>
      </c>
      <c r="L357" s="1129">
        <v>6506317.5099999998</v>
      </c>
      <c r="M357" s="1130">
        <v>0</v>
      </c>
      <c r="N357" s="1130">
        <v>0</v>
      </c>
      <c r="O357" s="1129">
        <v>6506317.5099999998</v>
      </c>
      <c r="P357" s="1130">
        <v>0</v>
      </c>
      <c r="Q357" s="1130">
        <v>0</v>
      </c>
      <c r="R357" s="1114">
        <v>2025</v>
      </c>
      <c r="S357" s="1158" t="s">
        <v>1714</v>
      </c>
    </row>
    <row r="358" spans="1:19" s="1011" customFormat="1" ht="42.6" customHeight="1">
      <c r="A358" s="1114">
        <v>6</v>
      </c>
      <c r="B358" s="1127" t="s">
        <v>1802</v>
      </c>
      <c r="C358" s="1017">
        <v>1961</v>
      </c>
      <c r="D358" s="1017"/>
      <c r="E358" s="1009" t="s">
        <v>218</v>
      </c>
      <c r="F358" s="1017">
        <v>5</v>
      </c>
      <c r="G358" s="1017">
        <v>4</v>
      </c>
      <c r="H358" s="1128">
        <v>3477.9</v>
      </c>
      <c r="I358" s="1128">
        <v>3233.1</v>
      </c>
      <c r="J358" s="1128">
        <v>2505</v>
      </c>
      <c r="K358" s="1017">
        <v>132</v>
      </c>
      <c r="L358" s="1129">
        <v>14877184.949999999</v>
      </c>
      <c r="M358" s="1130">
        <v>0</v>
      </c>
      <c r="N358" s="1130">
        <v>0</v>
      </c>
      <c r="O358" s="1129">
        <v>14877184.949999999</v>
      </c>
      <c r="P358" s="1130">
        <v>0</v>
      </c>
      <c r="Q358" s="1130">
        <v>0</v>
      </c>
      <c r="R358" s="1114">
        <v>2025</v>
      </c>
      <c r="S358" s="1158" t="s">
        <v>1714</v>
      </c>
    </row>
    <row r="359" spans="1:19" s="1011" customFormat="1" ht="39" customHeight="1">
      <c r="A359" s="1114">
        <v>7</v>
      </c>
      <c r="B359" s="1113" t="s">
        <v>1803</v>
      </c>
      <c r="C359" s="1017">
        <v>1950</v>
      </c>
      <c r="D359" s="1017"/>
      <c r="E359" s="1009" t="s">
        <v>218</v>
      </c>
      <c r="F359" s="1017">
        <v>2</v>
      </c>
      <c r="G359" s="1017">
        <v>1</v>
      </c>
      <c r="H359" s="1128">
        <v>403.1</v>
      </c>
      <c r="I359" s="1128">
        <v>371</v>
      </c>
      <c r="J359" s="1128">
        <v>371</v>
      </c>
      <c r="K359" s="1017">
        <v>16</v>
      </c>
      <c r="L359" s="1177">
        <v>424555.56</v>
      </c>
      <c r="M359" s="1130">
        <v>0</v>
      </c>
      <c r="N359" s="1130">
        <v>0</v>
      </c>
      <c r="O359" s="1177">
        <v>424555.56</v>
      </c>
      <c r="P359" s="1130">
        <v>0</v>
      </c>
      <c r="Q359" s="1130">
        <v>0</v>
      </c>
      <c r="R359" s="1114">
        <v>2025</v>
      </c>
      <c r="S359" s="1158" t="s">
        <v>1714</v>
      </c>
    </row>
    <row r="360" spans="1:19" s="1019" customFormat="1" ht="37.9" customHeight="1">
      <c r="A360" s="1114">
        <v>8</v>
      </c>
      <c r="B360" s="1127" t="s">
        <v>1804</v>
      </c>
      <c r="C360" s="1017">
        <v>1961</v>
      </c>
      <c r="D360" s="1017"/>
      <c r="E360" s="1009" t="s">
        <v>218</v>
      </c>
      <c r="F360" s="1017">
        <v>5</v>
      </c>
      <c r="G360" s="1017">
        <v>4</v>
      </c>
      <c r="H360" s="1128">
        <v>3582.3</v>
      </c>
      <c r="I360" s="1128">
        <v>3334</v>
      </c>
      <c r="J360" s="1128">
        <f>I360-782.7</f>
        <v>2551.3000000000002</v>
      </c>
      <c r="K360" s="1017">
        <v>117</v>
      </c>
      <c r="L360" s="1129">
        <v>8740866.1400000006</v>
      </c>
      <c r="M360" s="1130">
        <v>0</v>
      </c>
      <c r="N360" s="1130">
        <v>0</v>
      </c>
      <c r="O360" s="1129">
        <v>8740866.1400000006</v>
      </c>
      <c r="P360" s="1130">
        <v>0</v>
      </c>
      <c r="Q360" s="1130">
        <v>0</v>
      </c>
      <c r="R360" s="1114">
        <v>2025</v>
      </c>
      <c r="S360" s="1158" t="s">
        <v>1714</v>
      </c>
    </row>
    <row r="361" spans="1:19" s="1019" customFormat="1" ht="37.9" customHeight="1">
      <c r="A361" s="1114">
        <v>9</v>
      </c>
      <c r="B361" s="1127" t="s">
        <v>1790</v>
      </c>
      <c r="C361" s="1017">
        <v>1967</v>
      </c>
      <c r="D361" s="1017"/>
      <c r="E361" s="1009" t="s">
        <v>218</v>
      </c>
      <c r="F361" s="1017">
        <v>5</v>
      </c>
      <c r="G361" s="1017">
        <v>2</v>
      </c>
      <c r="H361" s="1128">
        <v>1958.2</v>
      </c>
      <c r="I361" s="1128">
        <v>1805.9</v>
      </c>
      <c r="J361" s="1128">
        <v>1765</v>
      </c>
      <c r="K361" s="1017">
        <v>97</v>
      </c>
      <c r="L361" s="1129">
        <v>2066589.97</v>
      </c>
      <c r="M361" s="1130">
        <v>0</v>
      </c>
      <c r="N361" s="1130">
        <v>0</v>
      </c>
      <c r="O361" s="1129">
        <v>2066589.97</v>
      </c>
      <c r="P361" s="1130">
        <v>0</v>
      </c>
      <c r="Q361" s="1130">
        <v>0</v>
      </c>
      <c r="R361" s="1114">
        <v>2025</v>
      </c>
      <c r="S361" s="1158" t="s">
        <v>1714</v>
      </c>
    </row>
    <row r="362" spans="1:19" s="1019" customFormat="1" ht="37.9" customHeight="1">
      <c r="A362" s="1114">
        <v>10</v>
      </c>
      <c r="B362" s="1127" t="s">
        <v>1805</v>
      </c>
      <c r="C362" s="1017">
        <v>1950</v>
      </c>
      <c r="D362" s="1017"/>
      <c r="E362" s="1009" t="s">
        <v>220</v>
      </c>
      <c r="F362" s="1017">
        <v>2</v>
      </c>
      <c r="G362" s="1017">
        <v>3</v>
      </c>
      <c r="H362" s="1128">
        <v>1313.5</v>
      </c>
      <c r="I362" s="1128">
        <v>1198.2</v>
      </c>
      <c r="J362" s="1128">
        <v>985.2</v>
      </c>
      <c r="K362" s="1017">
        <v>53</v>
      </c>
      <c r="L362" s="1129">
        <v>1371051.24</v>
      </c>
      <c r="M362" s="1130">
        <v>0</v>
      </c>
      <c r="N362" s="1130">
        <v>0</v>
      </c>
      <c r="O362" s="1129">
        <v>1371051.24</v>
      </c>
      <c r="P362" s="1130">
        <v>0</v>
      </c>
      <c r="Q362" s="1130">
        <v>0</v>
      </c>
      <c r="R362" s="1114">
        <v>2025</v>
      </c>
      <c r="S362" s="1158" t="s">
        <v>1714</v>
      </c>
    </row>
    <row r="363" spans="1:19" s="1019" customFormat="1" ht="37.9" customHeight="1">
      <c r="A363" s="1114">
        <v>11</v>
      </c>
      <c r="B363" s="1127" t="s">
        <v>1806</v>
      </c>
      <c r="C363" s="1017">
        <v>1950</v>
      </c>
      <c r="D363" s="1017"/>
      <c r="E363" s="1009" t="s">
        <v>220</v>
      </c>
      <c r="F363" s="1017">
        <v>2</v>
      </c>
      <c r="G363" s="1017">
        <v>2</v>
      </c>
      <c r="H363" s="1128">
        <v>777.7</v>
      </c>
      <c r="I363" s="1128">
        <v>701.7</v>
      </c>
      <c r="J363" s="1128">
        <v>666.2</v>
      </c>
      <c r="K363" s="1017">
        <v>42</v>
      </c>
      <c r="L363" s="1129">
        <v>2978210.49</v>
      </c>
      <c r="M363" s="1130">
        <v>0</v>
      </c>
      <c r="N363" s="1130">
        <v>0</v>
      </c>
      <c r="O363" s="1129">
        <v>2978210.49</v>
      </c>
      <c r="P363" s="1130">
        <v>0</v>
      </c>
      <c r="Q363" s="1130">
        <v>0</v>
      </c>
      <c r="R363" s="1114">
        <v>2025</v>
      </c>
      <c r="S363" s="1158" t="s">
        <v>1714</v>
      </c>
    </row>
    <row r="364" spans="1:19" s="1019" customFormat="1" ht="37.9" customHeight="1">
      <c r="A364" s="1114">
        <v>12</v>
      </c>
      <c r="B364" s="1127" t="s">
        <v>1807</v>
      </c>
      <c r="C364" s="1017">
        <v>1949</v>
      </c>
      <c r="D364" s="1017"/>
      <c r="E364" s="1009" t="s">
        <v>220</v>
      </c>
      <c r="F364" s="1017">
        <v>2</v>
      </c>
      <c r="G364" s="1017">
        <v>1</v>
      </c>
      <c r="H364" s="1128">
        <v>394.4</v>
      </c>
      <c r="I364" s="1128">
        <v>362.6</v>
      </c>
      <c r="J364" s="1128">
        <v>309.39999999999998</v>
      </c>
      <c r="K364" s="1017">
        <v>15</v>
      </c>
      <c r="L364" s="1129">
        <v>3139828.39</v>
      </c>
      <c r="M364" s="1130">
        <v>0</v>
      </c>
      <c r="N364" s="1130">
        <v>0</v>
      </c>
      <c r="O364" s="1129">
        <v>3139828.39</v>
      </c>
      <c r="P364" s="1130">
        <v>0</v>
      </c>
      <c r="Q364" s="1130">
        <v>0</v>
      </c>
      <c r="R364" s="1114">
        <v>2025</v>
      </c>
      <c r="S364" s="1158" t="s">
        <v>1714</v>
      </c>
    </row>
    <row r="365" spans="1:19" s="1019" customFormat="1" ht="46.5" customHeight="1">
      <c r="A365" s="1114">
        <v>13</v>
      </c>
      <c r="B365" s="1127" t="s">
        <v>1793</v>
      </c>
      <c r="C365" s="1017">
        <v>1946</v>
      </c>
      <c r="D365" s="1017"/>
      <c r="E365" s="1009" t="s">
        <v>218</v>
      </c>
      <c r="F365" s="1017">
        <v>3</v>
      </c>
      <c r="G365" s="1017">
        <v>3</v>
      </c>
      <c r="H365" s="1128">
        <v>2002.8</v>
      </c>
      <c r="I365" s="1128">
        <v>1847.4</v>
      </c>
      <c r="J365" s="1128">
        <v>1294.5999999999999</v>
      </c>
      <c r="K365" s="1017">
        <v>34</v>
      </c>
      <c r="L365" s="1129">
        <v>2124379.88</v>
      </c>
      <c r="M365" s="1130">
        <v>0</v>
      </c>
      <c r="N365" s="1130">
        <v>0</v>
      </c>
      <c r="O365" s="1129">
        <v>2124379.88</v>
      </c>
      <c r="P365" s="1130">
        <v>0</v>
      </c>
      <c r="Q365" s="1130">
        <v>0</v>
      </c>
      <c r="R365" s="1114">
        <v>2025</v>
      </c>
      <c r="S365" s="1158" t="s">
        <v>1714</v>
      </c>
    </row>
    <row r="366" spans="1:19" s="1019" customFormat="1" ht="37.9" customHeight="1">
      <c r="A366" s="1114">
        <v>14</v>
      </c>
      <c r="B366" s="1127" t="s">
        <v>1808</v>
      </c>
      <c r="C366" s="1017">
        <v>1969</v>
      </c>
      <c r="D366" s="1017"/>
      <c r="E366" s="1009" t="s">
        <v>219</v>
      </c>
      <c r="F366" s="1017">
        <v>5</v>
      </c>
      <c r="G366" s="1017">
        <v>3</v>
      </c>
      <c r="H366" s="1128">
        <v>2785.4</v>
      </c>
      <c r="I366" s="1128">
        <v>2579.1</v>
      </c>
      <c r="J366" s="1128">
        <v>2363.5</v>
      </c>
      <c r="K366" s="1017">
        <v>124</v>
      </c>
      <c r="L366" s="1129">
        <v>17319264.649999999</v>
      </c>
      <c r="M366" s="1130">
        <v>0</v>
      </c>
      <c r="N366" s="1130">
        <v>0</v>
      </c>
      <c r="O366" s="1129">
        <v>17319264.649999999</v>
      </c>
      <c r="P366" s="1130">
        <v>0</v>
      </c>
      <c r="Q366" s="1130">
        <v>0</v>
      </c>
      <c r="R366" s="1114">
        <v>2025</v>
      </c>
      <c r="S366" s="1158" t="s">
        <v>1714</v>
      </c>
    </row>
    <row r="367" spans="1:19" s="1019" customFormat="1" ht="37.9" customHeight="1">
      <c r="A367" s="1114">
        <v>15</v>
      </c>
      <c r="B367" s="1127" t="s">
        <v>1809</v>
      </c>
      <c r="C367" s="1017">
        <v>1959</v>
      </c>
      <c r="D367" s="1017"/>
      <c r="E367" s="1009" t="s">
        <v>218</v>
      </c>
      <c r="F367" s="1017">
        <v>4</v>
      </c>
      <c r="G367" s="1017">
        <v>4</v>
      </c>
      <c r="H367" s="1128">
        <v>3092.6</v>
      </c>
      <c r="I367" s="1128">
        <v>2791.8</v>
      </c>
      <c r="J367" s="1128">
        <v>1892.8</v>
      </c>
      <c r="K367" s="1017">
        <v>87</v>
      </c>
      <c r="L367" s="1129">
        <v>10364582.4</v>
      </c>
      <c r="M367" s="1130">
        <v>0</v>
      </c>
      <c r="N367" s="1130">
        <v>0</v>
      </c>
      <c r="O367" s="1129">
        <v>10364582.4</v>
      </c>
      <c r="P367" s="1130">
        <v>0</v>
      </c>
      <c r="Q367" s="1130">
        <v>0</v>
      </c>
      <c r="R367" s="1114">
        <v>2025</v>
      </c>
      <c r="S367" s="1158" t="s">
        <v>1714</v>
      </c>
    </row>
    <row r="368" spans="1:19" s="1019" customFormat="1" ht="37.9" customHeight="1">
      <c r="A368" s="1114">
        <v>16</v>
      </c>
      <c r="B368" s="1127" t="s">
        <v>1810</v>
      </c>
      <c r="C368" s="1017">
        <v>1965</v>
      </c>
      <c r="D368" s="1017"/>
      <c r="E368" s="1009" t="s">
        <v>218</v>
      </c>
      <c r="F368" s="1017">
        <v>5</v>
      </c>
      <c r="G368" s="1017">
        <v>4</v>
      </c>
      <c r="H368" s="1128">
        <v>4172.8</v>
      </c>
      <c r="I368" s="1128">
        <v>3906.9</v>
      </c>
      <c r="J368" s="1128">
        <v>2823.9</v>
      </c>
      <c r="K368" s="1017">
        <v>132</v>
      </c>
      <c r="L368" s="1129">
        <v>3463963.03</v>
      </c>
      <c r="M368" s="1130">
        <v>0</v>
      </c>
      <c r="N368" s="1130">
        <v>0</v>
      </c>
      <c r="O368" s="1129">
        <v>3463963.03</v>
      </c>
      <c r="P368" s="1130">
        <v>0</v>
      </c>
      <c r="Q368" s="1130">
        <v>0</v>
      </c>
      <c r="R368" s="1114">
        <v>2025</v>
      </c>
      <c r="S368" s="1158" t="s">
        <v>1714</v>
      </c>
    </row>
    <row r="369" spans="1:19" s="1019" customFormat="1" ht="37.9" customHeight="1">
      <c r="A369" s="1114">
        <v>17</v>
      </c>
      <c r="B369" s="1113" t="s">
        <v>1811</v>
      </c>
      <c r="C369" s="1017">
        <v>1986</v>
      </c>
      <c r="D369" s="1017"/>
      <c r="E369" s="1009" t="s">
        <v>218</v>
      </c>
      <c r="F369" s="1017">
        <v>5</v>
      </c>
      <c r="G369" s="1017">
        <v>2</v>
      </c>
      <c r="H369" s="1128">
        <v>3801.5</v>
      </c>
      <c r="I369" s="1128">
        <v>3646.9</v>
      </c>
      <c r="J369" s="1128">
        <v>3263.6</v>
      </c>
      <c r="K369" s="1017">
        <v>278</v>
      </c>
      <c r="L369" s="1177">
        <v>30493468.490000002</v>
      </c>
      <c r="M369" s="1130">
        <v>0</v>
      </c>
      <c r="N369" s="1130">
        <v>0</v>
      </c>
      <c r="O369" s="1177">
        <v>30493468.490000002</v>
      </c>
      <c r="P369" s="1130">
        <v>0</v>
      </c>
      <c r="Q369" s="1130">
        <v>0</v>
      </c>
      <c r="R369" s="1114">
        <v>2025</v>
      </c>
      <c r="S369" s="1158" t="s">
        <v>1714</v>
      </c>
    </row>
    <row r="370" spans="1:19" s="1011" customFormat="1" ht="42" customHeight="1">
      <c r="A370" s="1114"/>
      <c r="B370" s="1427" t="s">
        <v>1093</v>
      </c>
      <c r="C370" s="1427"/>
      <c r="D370" s="1427"/>
      <c r="E370" s="1427"/>
      <c r="F370" s="1427"/>
      <c r="G370" s="1427"/>
      <c r="H370" s="993">
        <f>H371+H372+H373+H374+H375</f>
        <v>5412.6</v>
      </c>
      <c r="I370" s="993">
        <f t="shared" ref="I370:Q370" si="95">I371+I372+I373+I374+I375</f>
        <v>5354</v>
      </c>
      <c r="J370" s="993">
        <f t="shared" si="95"/>
        <v>4652.7299999999996</v>
      </c>
      <c r="K370" s="993">
        <f t="shared" si="95"/>
        <v>182</v>
      </c>
      <c r="L370" s="993">
        <f t="shared" si="95"/>
        <v>38996940.149999999</v>
      </c>
      <c r="M370" s="993">
        <f t="shared" si="95"/>
        <v>0</v>
      </c>
      <c r="N370" s="993">
        <f t="shared" si="95"/>
        <v>0</v>
      </c>
      <c r="O370" s="993">
        <f t="shared" si="95"/>
        <v>38996940.149999999</v>
      </c>
      <c r="P370" s="993">
        <f t="shared" si="95"/>
        <v>0</v>
      </c>
      <c r="Q370" s="993">
        <f t="shared" si="95"/>
        <v>0</v>
      </c>
      <c r="R370" s="991" t="s">
        <v>40</v>
      </c>
      <c r="S370" s="991" t="s">
        <v>40</v>
      </c>
    </row>
    <row r="371" spans="1:19" s="1011" customFormat="1" ht="42" customHeight="1">
      <c r="A371" s="1021">
        <v>18</v>
      </c>
      <c r="B371" s="1139" t="s">
        <v>1734</v>
      </c>
      <c r="C371" s="1161">
        <v>1958</v>
      </c>
      <c r="D371" s="1009"/>
      <c r="E371" s="1009" t="s">
        <v>218</v>
      </c>
      <c r="F371" s="1009">
        <v>2</v>
      </c>
      <c r="G371" s="1009">
        <v>2</v>
      </c>
      <c r="H371" s="1023">
        <v>886.7</v>
      </c>
      <c r="I371" s="1023">
        <v>886.7</v>
      </c>
      <c r="J371" s="1023">
        <v>826.9</v>
      </c>
      <c r="K371" s="1009">
        <v>36</v>
      </c>
      <c r="L371" s="1023">
        <v>8192871.4000000004</v>
      </c>
      <c r="M371" s="985">
        <v>0</v>
      </c>
      <c r="N371" s="985">
        <v>0</v>
      </c>
      <c r="O371" s="1023">
        <v>8192871.4000000004</v>
      </c>
      <c r="P371" s="985">
        <v>0</v>
      </c>
      <c r="Q371" s="985">
        <v>0</v>
      </c>
      <c r="R371" s="1009">
        <v>2025</v>
      </c>
      <c r="S371" s="1009">
        <v>2025</v>
      </c>
    </row>
    <row r="372" spans="1:19" s="1011" customFormat="1" ht="42" customHeight="1">
      <c r="A372" s="1021">
        <v>19</v>
      </c>
      <c r="B372" s="1139" t="s">
        <v>1735</v>
      </c>
      <c r="C372" s="1161">
        <v>1962</v>
      </c>
      <c r="D372" s="1009"/>
      <c r="E372" s="1009" t="s">
        <v>218</v>
      </c>
      <c r="F372" s="1009">
        <v>3</v>
      </c>
      <c r="G372" s="1009">
        <v>2</v>
      </c>
      <c r="H372" s="1023">
        <v>996.7</v>
      </c>
      <c r="I372" s="1023">
        <v>996.7</v>
      </c>
      <c r="J372" s="1023">
        <v>974.9</v>
      </c>
      <c r="K372" s="1009">
        <v>44</v>
      </c>
      <c r="L372" s="1023">
        <v>4285565.57</v>
      </c>
      <c r="M372" s="985">
        <v>0</v>
      </c>
      <c r="N372" s="985">
        <v>0</v>
      </c>
      <c r="O372" s="1023">
        <v>4285565.57</v>
      </c>
      <c r="P372" s="985">
        <v>0</v>
      </c>
      <c r="Q372" s="985">
        <v>0</v>
      </c>
      <c r="R372" s="1009">
        <v>2025</v>
      </c>
      <c r="S372" s="1009">
        <v>2025</v>
      </c>
    </row>
    <row r="373" spans="1:19" s="1011" customFormat="1" ht="42" customHeight="1">
      <c r="A373" s="1021">
        <v>20</v>
      </c>
      <c r="B373" s="1139" t="s">
        <v>1736</v>
      </c>
      <c r="C373" s="1161">
        <v>1955</v>
      </c>
      <c r="D373" s="1009"/>
      <c r="E373" s="1009" t="s">
        <v>218</v>
      </c>
      <c r="F373" s="1009">
        <v>2</v>
      </c>
      <c r="G373" s="1009">
        <v>2</v>
      </c>
      <c r="H373" s="1023">
        <v>903.7</v>
      </c>
      <c r="I373" s="1023">
        <v>845.1</v>
      </c>
      <c r="J373" s="1023">
        <v>845.6</v>
      </c>
      <c r="K373" s="1009">
        <v>29</v>
      </c>
      <c r="L373" s="1023">
        <v>9478775.0600000005</v>
      </c>
      <c r="M373" s="985">
        <v>0</v>
      </c>
      <c r="N373" s="985">
        <v>0</v>
      </c>
      <c r="O373" s="1023">
        <v>9478775.0600000005</v>
      </c>
      <c r="P373" s="985">
        <v>0</v>
      </c>
      <c r="Q373" s="985">
        <v>0</v>
      </c>
      <c r="R373" s="1009">
        <v>2025</v>
      </c>
      <c r="S373" s="1009">
        <v>2025</v>
      </c>
    </row>
    <row r="374" spans="1:19" s="1011" customFormat="1" ht="42" customHeight="1">
      <c r="A374" s="1021">
        <v>21</v>
      </c>
      <c r="B374" s="1139" t="s">
        <v>1737</v>
      </c>
      <c r="C374" s="1161">
        <v>1925</v>
      </c>
      <c r="D374" s="1009"/>
      <c r="E374" s="1009" t="s">
        <v>221</v>
      </c>
      <c r="F374" s="1009">
        <v>2</v>
      </c>
      <c r="G374" s="1009">
        <v>2</v>
      </c>
      <c r="H374" s="1023">
        <v>639.4</v>
      </c>
      <c r="I374" s="1023">
        <v>639.4</v>
      </c>
      <c r="J374" s="1023">
        <v>670.93</v>
      </c>
      <c r="K374" s="1009">
        <v>18</v>
      </c>
      <c r="L374" s="1023">
        <v>5003188.3600000003</v>
      </c>
      <c r="M374" s="985">
        <v>0</v>
      </c>
      <c r="N374" s="985">
        <v>0</v>
      </c>
      <c r="O374" s="1023">
        <v>5003188.3600000003</v>
      </c>
      <c r="P374" s="985">
        <v>0</v>
      </c>
      <c r="Q374" s="985">
        <v>0</v>
      </c>
      <c r="R374" s="1009">
        <v>2025</v>
      </c>
      <c r="S374" s="1009">
        <v>2025</v>
      </c>
    </row>
    <row r="375" spans="1:19" s="1011" customFormat="1" ht="42" customHeight="1">
      <c r="A375" s="1021">
        <v>22</v>
      </c>
      <c r="B375" s="1178" t="s">
        <v>1738</v>
      </c>
      <c r="C375" s="1161">
        <v>1957</v>
      </c>
      <c r="D375" s="1009"/>
      <c r="E375" s="1009" t="s">
        <v>218</v>
      </c>
      <c r="F375" s="1009">
        <v>3</v>
      </c>
      <c r="G375" s="1009">
        <v>3</v>
      </c>
      <c r="H375" s="1023">
        <v>1986.1</v>
      </c>
      <c r="I375" s="1023">
        <v>1986.1</v>
      </c>
      <c r="J375" s="1023">
        <v>1334.4</v>
      </c>
      <c r="K375" s="1009">
        <v>55</v>
      </c>
      <c r="L375" s="1023">
        <v>12036539.76</v>
      </c>
      <c r="M375" s="985">
        <v>0</v>
      </c>
      <c r="N375" s="985">
        <v>0</v>
      </c>
      <c r="O375" s="1023">
        <v>12036539.76</v>
      </c>
      <c r="P375" s="985">
        <v>0</v>
      </c>
      <c r="Q375" s="985">
        <v>0</v>
      </c>
      <c r="R375" s="1009">
        <v>2025</v>
      </c>
      <c r="S375" s="1009">
        <v>2025</v>
      </c>
    </row>
    <row r="376" spans="1:19" s="1002" customFormat="1" ht="37.9" customHeight="1">
      <c r="A376" s="1021"/>
      <c r="B376" s="1427" t="s">
        <v>1244</v>
      </c>
      <c r="C376" s="1427"/>
      <c r="D376" s="1427"/>
      <c r="E376" s="1427"/>
      <c r="F376" s="1427"/>
      <c r="G376" s="1427"/>
      <c r="H376" s="985">
        <f>SUM(H377:H382)</f>
        <v>21754.300000000003</v>
      </c>
      <c r="I376" s="985">
        <f t="shared" ref="I376:Q376" si="96">SUM(I377:I382)</f>
        <v>20799.2</v>
      </c>
      <c r="J376" s="985">
        <f t="shared" si="96"/>
        <v>16285.600000000002</v>
      </c>
      <c r="K376" s="1030">
        <f t="shared" si="96"/>
        <v>703</v>
      </c>
      <c r="L376" s="985">
        <f t="shared" si="96"/>
        <v>50076551.32</v>
      </c>
      <c r="M376" s="985">
        <f t="shared" si="96"/>
        <v>0</v>
      </c>
      <c r="N376" s="985">
        <f t="shared" si="96"/>
        <v>0</v>
      </c>
      <c r="O376" s="985">
        <f t="shared" si="96"/>
        <v>50076551.32</v>
      </c>
      <c r="P376" s="985">
        <f t="shared" si="96"/>
        <v>0</v>
      </c>
      <c r="Q376" s="985">
        <f t="shared" si="96"/>
        <v>0</v>
      </c>
      <c r="R376" s="991" t="s">
        <v>40</v>
      </c>
      <c r="S376" s="991" t="s">
        <v>40</v>
      </c>
    </row>
    <row r="377" spans="1:19" s="1002" customFormat="1" ht="37.9" customHeight="1">
      <c r="A377" s="1009">
        <v>23</v>
      </c>
      <c r="B377" s="1146" t="s">
        <v>2109</v>
      </c>
      <c r="C377" s="1114">
        <v>1963</v>
      </c>
      <c r="D377" s="1114"/>
      <c r="E377" s="1114" t="s">
        <v>218</v>
      </c>
      <c r="F377" s="1114">
        <v>4</v>
      </c>
      <c r="G377" s="1114">
        <v>2</v>
      </c>
      <c r="H377" s="993">
        <v>1701</v>
      </c>
      <c r="I377" s="993">
        <v>745.9</v>
      </c>
      <c r="J377" s="993">
        <v>745.9</v>
      </c>
      <c r="K377" s="1114">
        <v>44</v>
      </c>
      <c r="L377" s="1023">
        <v>5687265.04</v>
      </c>
      <c r="M377" s="985">
        <v>0</v>
      </c>
      <c r="N377" s="985">
        <v>0</v>
      </c>
      <c r="O377" s="1023">
        <v>5687265.04</v>
      </c>
      <c r="P377" s="985">
        <v>0</v>
      </c>
      <c r="Q377" s="985">
        <v>0</v>
      </c>
      <c r="R377" s="1009">
        <v>2025</v>
      </c>
      <c r="S377" s="1009">
        <v>2025</v>
      </c>
    </row>
    <row r="378" spans="1:19" s="1002" customFormat="1" ht="39.6" customHeight="1">
      <c r="A378" s="1009">
        <v>24</v>
      </c>
      <c r="B378" s="1146" t="s">
        <v>2110</v>
      </c>
      <c r="C378" s="1009">
        <v>1976</v>
      </c>
      <c r="D378" s="1009"/>
      <c r="E378" s="1009" t="s">
        <v>220</v>
      </c>
      <c r="F378" s="1009">
        <v>5</v>
      </c>
      <c r="G378" s="1009">
        <v>4</v>
      </c>
      <c r="H378" s="1023">
        <v>2982.8</v>
      </c>
      <c r="I378" s="1023">
        <v>2982.8</v>
      </c>
      <c r="J378" s="1023">
        <v>2456.6999999999998</v>
      </c>
      <c r="K378" s="1009">
        <v>127</v>
      </c>
      <c r="L378" s="1023">
        <v>5168837.16</v>
      </c>
      <c r="M378" s="985">
        <v>0</v>
      </c>
      <c r="N378" s="985">
        <v>0</v>
      </c>
      <c r="O378" s="1023">
        <v>5168837.16</v>
      </c>
      <c r="P378" s="985">
        <v>0</v>
      </c>
      <c r="Q378" s="985">
        <v>0</v>
      </c>
      <c r="R378" s="1009">
        <v>2025</v>
      </c>
      <c r="S378" s="1009">
        <v>2025</v>
      </c>
    </row>
    <row r="379" spans="1:19" s="1002" customFormat="1" ht="37.9" customHeight="1">
      <c r="A379" s="1009">
        <v>25</v>
      </c>
      <c r="B379" s="1146" t="s">
        <v>2111</v>
      </c>
      <c r="C379" s="1009">
        <v>1924</v>
      </c>
      <c r="D379" s="1009"/>
      <c r="E379" s="1009" t="s">
        <v>218</v>
      </c>
      <c r="F379" s="1009">
        <v>3</v>
      </c>
      <c r="G379" s="1009">
        <v>3</v>
      </c>
      <c r="H379" s="1023">
        <v>1505.6</v>
      </c>
      <c r="I379" s="1023">
        <v>1505.6</v>
      </c>
      <c r="J379" s="1023">
        <v>958.2</v>
      </c>
      <c r="K379" s="1009">
        <v>26</v>
      </c>
      <c r="L379" s="1023">
        <v>10983342.529999999</v>
      </c>
      <c r="M379" s="985">
        <v>0</v>
      </c>
      <c r="N379" s="985">
        <v>0</v>
      </c>
      <c r="O379" s="1023">
        <v>10983342.529999999</v>
      </c>
      <c r="P379" s="985">
        <v>0</v>
      </c>
      <c r="Q379" s="985">
        <v>0</v>
      </c>
      <c r="R379" s="1009">
        <v>2025</v>
      </c>
      <c r="S379" s="1009">
        <v>2025</v>
      </c>
    </row>
    <row r="380" spans="1:19" s="1002" customFormat="1" ht="37.9" customHeight="1">
      <c r="A380" s="1009">
        <v>26</v>
      </c>
      <c r="B380" s="1146" t="s">
        <v>2112</v>
      </c>
      <c r="C380" s="1009">
        <v>1989</v>
      </c>
      <c r="D380" s="1009"/>
      <c r="E380" s="1009" t="s">
        <v>218</v>
      </c>
      <c r="F380" s="1009">
        <v>5</v>
      </c>
      <c r="G380" s="1009">
        <v>6</v>
      </c>
      <c r="H380" s="1023">
        <v>6013.5</v>
      </c>
      <c r="I380" s="1023">
        <v>6013.5</v>
      </c>
      <c r="J380" s="1023">
        <v>4025.4</v>
      </c>
      <c r="K380" s="1009">
        <v>187</v>
      </c>
      <c r="L380" s="1023">
        <v>9698829.2699999996</v>
      </c>
      <c r="M380" s="985">
        <v>0</v>
      </c>
      <c r="N380" s="985">
        <v>0</v>
      </c>
      <c r="O380" s="1023">
        <v>9698829.2699999996</v>
      </c>
      <c r="P380" s="985">
        <v>0</v>
      </c>
      <c r="Q380" s="985">
        <v>0</v>
      </c>
      <c r="R380" s="1009">
        <v>2025</v>
      </c>
      <c r="S380" s="1009">
        <v>2025</v>
      </c>
    </row>
    <row r="381" spans="1:19" s="1002" customFormat="1" ht="37.9" customHeight="1">
      <c r="A381" s="1009">
        <v>27</v>
      </c>
      <c r="B381" s="1146" t="s">
        <v>2113</v>
      </c>
      <c r="C381" s="1009">
        <v>1957</v>
      </c>
      <c r="D381" s="1009"/>
      <c r="E381" s="1009" t="s">
        <v>218</v>
      </c>
      <c r="F381" s="1009">
        <v>2</v>
      </c>
      <c r="G381" s="1009">
        <v>2</v>
      </c>
      <c r="H381" s="1023">
        <v>626.70000000000005</v>
      </c>
      <c r="I381" s="1023">
        <v>626.70000000000005</v>
      </c>
      <c r="J381" s="1023">
        <v>470.1</v>
      </c>
      <c r="K381" s="1009">
        <v>23</v>
      </c>
      <c r="L381" s="1023">
        <v>5598997.0800000001</v>
      </c>
      <c r="M381" s="985">
        <v>0</v>
      </c>
      <c r="N381" s="985">
        <v>0</v>
      </c>
      <c r="O381" s="1023">
        <v>5598997.0800000001</v>
      </c>
      <c r="P381" s="985">
        <v>0</v>
      </c>
      <c r="Q381" s="985">
        <v>0</v>
      </c>
      <c r="R381" s="1009">
        <v>2025</v>
      </c>
      <c r="S381" s="1009">
        <v>2025</v>
      </c>
    </row>
    <row r="382" spans="1:19" s="1002" customFormat="1" ht="37.9" customHeight="1">
      <c r="A382" s="1009">
        <v>28</v>
      </c>
      <c r="B382" s="1146" t="s">
        <v>2114</v>
      </c>
      <c r="C382" s="1009">
        <v>1992</v>
      </c>
      <c r="D382" s="1009"/>
      <c r="E382" s="1009" t="s">
        <v>219</v>
      </c>
      <c r="F382" s="1009">
        <v>9</v>
      </c>
      <c r="G382" s="1009">
        <v>4</v>
      </c>
      <c r="H382" s="1023">
        <v>8924.7000000000007</v>
      </c>
      <c r="I382" s="1023">
        <v>8924.7000000000007</v>
      </c>
      <c r="J382" s="1023">
        <v>7629.3</v>
      </c>
      <c r="K382" s="1009">
        <v>296</v>
      </c>
      <c r="L382" s="1023">
        <v>12939280.24</v>
      </c>
      <c r="M382" s="985">
        <v>0</v>
      </c>
      <c r="N382" s="985">
        <v>0</v>
      </c>
      <c r="O382" s="1023">
        <v>12939280.24</v>
      </c>
      <c r="P382" s="985">
        <v>0</v>
      </c>
      <c r="Q382" s="985">
        <v>0</v>
      </c>
      <c r="R382" s="1009">
        <v>2025</v>
      </c>
      <c r="S382" s="1009">
        <v>2025</v>
      </c>
    </row>
    <row r="383" spans="1:19" s="1002" customFormat="1" ht="37.9" customHeight="1">
      <c r="A383" s="1114"/>
      <c r="B383" s="1426" t="s">
        <v>1024</v>
      </c>
      <c r="C383" s="1426"/>
      <c r="D383" s="1426"/>
      <c r="E383" s="1426"/>
      <c r="F383" s="1426"/>
      <c r="G383" s="1426"/>
      <c r="H383" s="985">
        <f t="shared" ref="H383:Q383" si="97">SUM(H384:H387)</f>
        <v>2279.2000000000003</v>
      </c>
      <c r="I383" s="985">
        <f t="shared" si="97"/>
        <v>1730.2</v>
      </c>
      <c r="J383" s="985">
        <f t="shared" si="97"/>
        <v>1730.2</v>
      </c>
      <c r="K383" s="1030">
        <f t="shared" si="97"/>
        <v>69</v>
      </c>
      <c r="L383" s="985">
        <f t="shared" si="97"/>
        <v>17209242.719999999</v>
      </c>
      <c r="M383" s="985">
        <f t="shared" si="97"/>
        <v>0</v>
      </c>
      <c r="N383" s="985">
        <f t="shared" si="97"/>
        <v>0</v>
      </c>
      <c r="O383" s="985">
        <f t="shared" si="97"/>
        <v>17209242.719999999</v>
      </c>
      <c r="P383" s="985">
        <f t="shared" si="97"/>
        <v>0</v>
      </c>
      <c r="Q383" s="985">
        <f t="shared" si="97"/>
        <v>0</v>
      </c>
      <c r="R383" s="991" t="s">
        <v>40</v>
      </c>
      <c r="S383" s="991" t="s">
        <v>40</v>
      </c>
    </row>
    <row r="384" spans="1:19" s="1002" customFormat="1" ht="40.15" customHeight="1">
      <c r="A384" s="1116">
        <v>29</v>
      </c>
      <c r="B384" s="1113" t="s">
        <v>1407</v>
      </c>
      <c r="C384" s="1116">
        <v>1964</v>
      </c>
      <c r="D384" s="1116"/>
      <c r="E384" s="1114" t="s">
        <v>218</v>
      </c>
      <c r="F384" s="1116">
        <v>3</v>
      </c>
      <c r="G384" s="1116">
        <v>2</v>
      </c>
      <c r="H384" s="985">
        <v>946</v>
      </c>
      <c r="I384" s="985">
        <v>618.5</v>
      </c>
      <c r="J384" s="985">
        <v>618.5</v>
      </c>
      <c r="K384" s="1030">
        <v>32</v>
      </c>
      <c r="L384" s="985">
        <v>4445495.3499999996</v>
      </c>
      <c r="M384" s="985">
        <v>0</v>
      </c>
      <c r="N384" s="985">
        <v>0</v>
      </c>
      <c r="O384" s="985">
        <f>L384</f>
        <v>4445495.3499999996</v>
      </c>
      <c r="P384" s="985">
        <v>0</v>
      </c>
      <c r="Q384" s="985">
        <v>0</v>
      </c>
      <c r="R384" s="987">
        <v>2025</v>
      </c>
      <c r="S384" s="987">
        <v>2025</v>
      </c>
    </row>
    <row r="385" spans="1:19" s="1002" customFormat="1" ht="41.45" customHeight="1">
      <c r="A385" s="1116">
        <v>30</v>
      </c>
      <c r="B385" s="1113" t="s">
        <v>1435</v>
      </c>
      <c r="C385" s="1116">
        <v>1994</v>
      </c>
      <c r="D385" s="1116"/>
      <c r="E385" s="1114" t="s">
        <v>218</v>
      </c>
      <c r="F385" s="1116">
        <v>2</v>
      </c>
      <c r="G385" s="1116">
        <v>1</v>
      </c>
      <c r="H385" s="985">
        <v>660.2</v>
      </c>
      <c r="I385" s="985">
        <v>559.1</v>
      </c>
      <c r="J385" s="985">
        <v>559.1</v>
      </c>
      <c r="K385" s="1030">
        <v>13</v>
      </c>
      <c r="L385" s="985">
        <v>6018269.8799999999</v>
      </c>
      <c r="M385" s="985">
        <v>0</v>
      </c>
      <c r="N385" s="985">
        <v>0</v>
      </c>
      <c r="O385" s="985">
        <f t="shared" ref="O385:O387" si="98">L385</f>
        <v>6018269.8799999999</v>
      </c>
      <c r="P385" s="985">
        <v>0</v>
      </c>
      <c r="Q385" s="985">
        <v>0</v>
      </c>
      <c r="R385" s="987">
        <v>2025</v>
      </c>
      <c r="S385" s="987">
        <v>2025</v>
      </c>
    </row>
    <row r="386" spans="1:19" s="992" customFormat="1" ht="37.9" customHeight="1">
      <c r="A386" s="1116">
        <v>31</v>
      </c>
      <c r="B386" s="1113" t="s">
        <v>1408</v>
      </c>
      <c r="C386" s="1116">
        <v>1956</v>
      </c>
      <c r="D386" s="1116"/>
      <c r="E386" s="1114" t="s">
        <v>218</v>
      </c>
      <c r="F386" s="1116">
        <v>2</v>
      </c>
      <c r="G386" s="1116">
        <v>1</v>
      </c>
      <c r="H386" s="985">
        <v>437.6</v>
      </c>
      <c r="I386" s="985">
        <v>395.4</v>
      </c>
      <c r="J386" s="985">
        <v>395.4</v>
      </c>
      <c r="K386" s="1030">
        <v>12</v>
      </c>
      <c r="L386" s="985">
        <v>4012179.92</v>
      </c>
      <c r="M386" s="985">
        <v>0</v>
      </c>
      <c r="N386" s="985">
        <v>0</v>
      </c>
      <c r="O386" s="985">
        <f t="shared" si="98"/>
        <v>4012179.92</v>
      </c>
      <c r="P386" s="985">
        <v>0</v>
      </c>
      <c r="Q386" s="985">
        <v>0</v>
      </c>
      <c r="R386" s="987">
        <v>2025</v>
      </c>
      <c r="S386" s="987">
        <v>2025</v>
      </c>
    </row>
    <row r="387" spans="1:19" s="992" customFormat="1" ht="37.9" customHeight="1">
      <c r="A387" s="1116">
        <v>32</v>
      </c>
      <c r="B387" s="1113" t="s">
        <v>1409</v>
      </c>
      <c r="C387" s="1116">
        <v>1917</v>
      </c>
      <c r="D387" s="1116"/>
      <c r="E387" s="1114" t="s">
        <v>218</v>
      </c>
      <c r="F387" s="1116">
        <v>2</v>
      </c>
      <c r="G387" s="1116">
        <v>1</v>
      </c>
      <c r="H387" s="985">
        <v>235.4</v>
      </c>
      <c r="I387" s="985">
        <v>157.19999999999999</v>
      </c>
      <c r="J387" s="985">
        <v>157.19999999999999</v>
      </c>
      <c r="K387" s="1030">
        <v>12</v>
      </c>
      <c r="L387" s="985">
        <v>2733297.57</v>
      </c>
      <c r="M387" s="985">
        <v>0</v>
      </c>
      <c r="N387" s="985">
        <v>0</v>
      </c>
      <c r="O387" s="985">
        <f t="shared" si="98"/>
        <v>2733297.57</v>
      </c>
      <c r="P387" s="985">
        <v>0</v>
      </c>
      <c r="Q387" s="985">
        <v>0</v>
      </c>
      <c r="R387" s="987">
        <v>2025</v>
      </c>
      <c r="S387" s="987">
        <v>2025</v>
      </c>
    </row>
    <row r="388" spans="1:19" s="992" customFormat="1" ht="37.9" customHeight="1">
      <c r="A388" s="1114"/>
      <c r="B388" s="1426" t="s">
        <v>1055</v>
      </c>
      <c r="C388" s="1426"/>
      <c r="D388" s="1426"/>
      <c r="E388" s="1426"/>
      <c r="F388" s="1426"/>
      <c r="G388" s="1426"/>
      <c r="H388" s="985">
        <f t="shared" ref="H388:Q388" si="99">SUM(H389:H389)</f>
        <v>4596.5</v>
      </c>
      <c r="I388" s="985">
        <f t="shared" si="99"/>
        <v>4079</v>
      </c>
      <c r="J388" s="985">
        <f t="shared" si="99"/>
        <v>2810.2</v>
      </c>
      <c r="K388" s="1030">
        <f t="shared" si="99"/>
        <v>209</v>
      </c>
      <c r="L388" s="985">
        <f t="shared" si="99"/>
        <v>14152964.67</v>
      </c>
      <c r="M388" s="985">
        <f t="shared" si="99"/>
        <v>0</v>
      </c>
      <c r="N388" s="985">
        <f t="shared" si="99"/>
        <v>0</v>
      </c>
      <c r="O388" s="985">
        <f t="shared" si="99"/>
        <v>14152964.67</v>
      </c>
      <c r="P388" s="985">
        <f t="shared" si="99"/>
        <v>0</v>
      </c>
      <c r="Q388" s="985">
        <f t="shared" si="99"/>
        <v>0</v>
      </c>
      <c r="R388" s="1116" t="s">
        <v>40</v>
      </c>
      <c r="S388" s="991" t="s">
        <v>40</v>
      </c>
    </row>
    <row r="389" spans="1:19" s="992" customFormat="1" ht="37.9" customHeight="1">
      <c r="A389" s="1114">
        <v>33</v>
      </c>
      <c r="B389" s="1112" t="s">
        <v>1569</v>
      </c>
      <c r="C389" s="1114">
        <v>1963</v>
      </c>
      <c r="D389" s="1112"/>
      <c r="E389" s="1114" t="s">
        <v>218</v>
      </c>
      <c r="F389" s="1114">
        <v>5</v>
      </c>
      <c r="G389" s="1114">
        <v>5</v>
      </c>
      <c r="H389" s="993">
        <v>4596.5</v>
      </c>
      <c r="I389" s="993">
        <v>4079</v>
      </c>
      <c r="J389" s="993">
        <v>2810.2</v>
      </c>
      <c r="K389" s="987">
        <v>209</v>
      </c>
      <c r="L389" s="993">
        <v>14152964.67</v>
      </c>
      <c r="M389" s="985">
        <v>0</v>
      </c>
      <c r="N389" s="985">
        <v>0</v>
      </c>
      <c r="O389" s="993">
        <v>14152964.67</v>
      </c>
      <c r="P389" s="985">
        <v>0</v>
      </c>
      <c r="Q389" s="985">
        <v>0</v>
      </c>
      <c r="R389" s="987">
        <v>2025</v>
      </c>
      <c r="S389" s="987">
        <v>2025</v>
      </c>
    </row>
    <row r="390" spans="1:19" s="992" customFormat="1" ht="37.9" customHeight="1">
      <c r="A390" s="1114"/>
      <c r="B390" s="1426" t="s">
        <v>1054</v>
      </c>
      <c r="C390" s="1426"/>
      <c r="D390" s="1426"/>
      <c r="E390" s="1426"/>
      <c r="F390" s="1426"/>
      <c r="G390" s="1426"/>
      <c r="H390" s="993">
        <f>H391</f>
        <v>2653.2</v>
      </c>
      <c r="I390" s="993">
        <f t="shared" ref="I390:Q390" si="100">I391</f>
        <v>2140.6</v>
      </c>
      <c r="J390" s="993">
        <f t="shared" si="100"/>
        <v>1996.6</v>
      </c>
      <c r="K390" s="987">
        <f t="shared" si="100"/>
        <v>70</v>
      </c>
      <c r="L390" s="993">
        <f t="shared" si="100"/>
        <v>2284818.39</v>
      </c>
      <c r="M390" s="993">
        <f t="shared" si="100"/>
        <v>0</v>
      </c>
      <c r="N390" s="993">
        <f t="shared" si="100"/>
        <v>0</v>
      </c>
      <c r="O390" s="993">
        <f t="shared" si="100"/>
        <v>2284818.39</v>
      </c>
      <c r="P390" s="993">
        <f t="shared" si="100"/>
        <v>0</v>
      </c>
      <c r="Q390" s="993">
        <f t="shared" si="100"/>
        <v>0</v>
      </c>
      <c r="R390" s="1116" t="s">
        <v>40</v>
      </c>
      <c r="S390" s="991" t="s">
        <v>40</v>
      </c>
    </row>
    <row r="391" spans="1:19" s="992" customFormat="1" ht="37.9" customHeight="1">
      <c r="A391" s="1114">
        <v>34</v>
      </c>
      <c r="B391" s="1112" t="s">
        <v>1484</v>
      </c>
      <c r="C391" s="1114">
        <v>1966</v>
      </c>
      <c r="D391" s="1112">
        <v>2012</v>
      </c>
      <c r="E391" s="1114" t="s">
        <v>218</v>
      </c>
      <c r="F391" s="1114">
        <v>4</v>
      </c>
      <c r="G391" s="1114">
        <v>3</v>
      </c>
      <c r="H391" s="993">
        <v>2653.2</v>
      </c>
      <c r="I391" s="993">
        <v>2140.6</v>
      </c>
      <c r="J391" s="993">
        <v>1996.6</v>
      </c>
      <c r="K391" s="987">
        <v>70</v>
      </c>
      <c r="L391" s="993">
        <v>2284818.39</v>
      </c>
      <c r="M391" s="985">
        <v>0</v>
      </c>
      <c r="N391" s="985">
        <v>0</v>
      </c>
      <c r="O391" s="993">
        <v>2284818.39</v>
      </c>
      <c r="P391" s="985">
        <v>0</v>
      </c>
      <c r="Q391" s="985">
        <v>0</v>
      </c>
      <c r="R391" s="987">
        <v>2025</v>
      </c>
      <c r="S391" s="987">
        <v>2025</v>
      </c>
    </row>
    <row r="392" spans="1:19" s="992" customFormat="1" ht="39" customHeight="1">
      <c r="A392" s="1114"/>
      <c r="B392" s="1426" t="s">
        <v>1094</v>
      </c>
      <c r="C392" s="1426"/>
      <c r="D392" s="1426"/>
      <c r="E392" s="1426"/>
      <c r="F392" s="1426"/>
      <c r="G392" s="1426"/>
      <c r="H392" s="985">
        <f>H393+H394</f>
        <v>1699.2</v>
      </c>
      <c r="I392" s="985">
        <f t="shared" ref="I392:Q392" si="101">I393+I394</f>
        <v>1559.8</v>
      </c>
      <c r="J392" s="985">
        <f t="shared" si="101"/>
        <v>1514.8</v>
      </c>
      <c r="K392" s="1030">
        <f t="shared" si="101"/>
        <v>48</v>
      </c>
      <c r="L392" s="985">
        <f t="shared" si="101"/>
        <v>13399978.800000001</v>
      </c>
      <c r="M392" s="985">
        <f t="shared" si="101"/>
        <v>0</v>
      </c>
      <c r="N392" s="985">
        <f t="shared" si="101"/>
        <v>0</v>
      </c>
      <c r="O392" s="985">
        <f t="shared" si="101"/>
        <v>13399978.800000001</v>
      </c>
      <c r="P392" s="985">
        <f t="shared" si="101"/>
        <v>0</v>
      </c>
      <c r="Q392" s="985">
        <f t="shared" si="101"/>
        <v>0</v>
      </c>
      <c r="R392" s="1116" t="s">
        <v>40</v>
      </c>
      <c r="S392" s="991" t="s">
        <v>40</v>
      </c>
    </row>
    <row r="393" spans="1:19" s="1019" customFormat="1" ht="43.15" customHeight="1">
      <c r="A393" s="1114">
        <v>35</v>
      </c>
      <c r="B393" s="1112" t="s">
        <v>1537</v>
      </c>
      <c r="C393" s="1116">
        <v>1977</v>
      </c>
      <c r="D393" s="1116"/>
      <c r="E393" s="1114" t="s">
        <v>218</v>
      </c>
      <c r="F393" s="1116">
        <v>2</v>
      </c>
      <c r="G393" s="1116">
        <v>2</v>
      </c>
      <c r="H393" s="985">
        <v>839.6</v>
      </c>
      <c r="I393" s="985">
        <v>762.4</v>
      </c>
      <c r="J393" s="985">
        <v>717.4</v>
      </c>
      <c r="K393" s="1030">
        <v>30</v>
      </c>
      <c r="L393" s="986">
        <v>6572251.6200000001</v>
      </c>
      <c r="M393" s="986">
        <v>0</v>
      </c>
      <c r="N393" s="986">
        <v>0</v>
      </c>
      <c r="O393" s="986">
        <v>6572251.6200000001</v>
      </c>
      <c r="P393" s="993">
        <v>0</v>
      </c>
      <c r="Q393" s="986">
        <v>0</v>
      </c>
      <c r="R393" s="987">
        <v>2025</v>
      </c>
      <c r="S393" s="987">
        <v>2025</v>
      </c>
    </row>
    <row r="394" spans="1:19" s="1019" customFormat="1" ht="42" customHeight="1">
      <c r="A394" s="1114">
        <v>36</v>
      </c>
      <c r="B394" s="1112" t="s">
        <v>1538</v>
      </c>
      <c r="C394" s="1116">
        <v>1978</v>
      </c>
      <c r="D394" s="1116"/>
      <c r="E394" s="1114" t="s">
        <v>218</v>
      </c>
      <c r="F394" s="1116">
        <v>2</v>
      </c>
      <c r="G394" s="1116">
        <v>2</v>
      </c>
      <c r="H394" s="985">
        <v>859.6</v>
      </c>
      <c r="I394" s="985">
        <v>797.4</v>
      </c>
      <c r="J394" s="985">
        <v>797.4</v>
      </c>
      <c r="K394" s="1030">
        <v>18</v>
      </c>
      <c r="L394" s="986">
        <v>6827727.1799999997</v>
      </c>
      <c r="M394" s="986">
        <v>0</v>
      </c>
      <c r="N394" s="986">
        <v>0</v>
      </c>
      <c r="O394" s="986">
        <f t="shared" ref="O394" si="102">L394</f>
        <v>6827727.1799999997</v>
      </c>
      <c r="P394" s="993">
        <v>0</v>
      </c>
      <c r="Q394" s="986">
        <v>0</v>
      </c>
      <c r="R394" s="987">
        <v>2025</v>
      </c>
      <c r="S394" s="987">
        <v>2025</v>
      </c>
    </row>
    <row r="395" spans="1:19" s="992" customFormat="1" ht="37.9" customHeight="1">
      <c r="A395" s="1114"/>
      <c r="B395" s="1429" t="s">
        <v>41</v>
      </c>
      <c r="C395" s="1429"/>
      <c r="D395" s="1429"/>
      <c r="E395" s="1429"/>
      <c r="F395" s="1429"/>
      <c r="G395" s="1429"/>
      <c r="H395" s="985">
        <f>H396</f>
        <v>4390.3999999999996</v>
      </c>
      <c r="I395" s="985">
        <f t="shared" ref="I395:Q395" si="103">I396</f>
        <v>4390.3999999999996</v>
      </c>
      <c r="J395" s="985">
        <f t="shared" si="103"/>
        <v>4165.2</v>
      </c>
      <c r="K395" s="985">
        <f t="shared" si="103"/>
        <v>147</v>
      </c>
      <c r="L395" s="985">
        <f t="shared" si="103"/>
        <v>26339961.170000002</v>
      </c>
      <c r="M395" s="985">
        <f t="shared" si="103"/>
        <v>0</v>
      </c>
      <c r="N395" s="985">
        <f t="shared" si="103"/>
        <v>0</v>
      </c>
      <c r="O395" s="985">
        <f t="shared" si="103"/>
        <v>26339961.170000002</v>
      </c>
      <c r="P395" s="985">
        <f t="shared" si="103"/>
        <v>0</v>
      </c>
      <c r="Q395" s="985">
        <f t="shared" si="103"/>
        <v>0</v>
      </c>
      <c r="R395" s="991" t="s">
        <v>40</v>
      </c>
      <c r="S395" s="1006" t="s">
        <v>40</v>
      </c>
    </row>
    <row r="396" spans="1:19" s="992" customFormat="1" ht="43.9" customHeight="1">
      <c r="A396" s="1114"/>
      <c r="B396" s="1429" t="s">
        <v>1025</v>
      </c>
      <c r="C396" s="1426"/>
      <c r="D396" s="1426"/>
      <c r="E396" s="1426"/>
      <c r="F396" s="1426"/>
      <c r="G396" s="1426"/>
      <c r="H396" s="1024">
        <f>H397+H398</f>
        <v>4390.3999999999996</v>
      </c>
      <c r="I396" s="1024">
        <f>I397+I398</f>
        <v>4390.3999999999996</v>
      </c>
      <c r="J396" s="1024">
        <f>J397+J398</f>
        <v>4165.2</v>
      </c>
      <c r="K396" s="1024">
        <f>K397+K398</f>
        <v>147</v>
      </c>
      <c r="L396" s="1024">
        <f>L397+L398</f>
        <v>26339961.170000002</v>
      </c>
      <c r="M396" s="1024">
        <f t="shared" ref="M396:Q396" si="104">M397+M398</f>
        <v>0</v>
      </c>
      <c r="N396" s="1024">
        <f t="shared" si="104"/>
        <v>0</v>
      </c>
      <c r="O396" s="1024">
        <f>O397+O398</f>
        <v>26339961.170000002</v>
      </c>
      <c r="P396" s="1024">
        <f t="shared" si="104"/>
        <v>0</v>
      </c>
      <c r="Q396" s="1024">
        <f t="shared" si="104"/>
        <v>0</v>
      </c>
      <c r="R396" s="991" t="s">
        <v>40</v>
      </c>
      <c r="S396" s="1006" t="s">
        <v>40</v>
      </c>
    </row>
    <row r="397" spans="1:19" s="992" customFormat="1" ht="45" customHeight="1">
      <c r="A397" s="1009">
        <v>37</v>
      </c>
      <c r="B397" s="1112" t="s">
        <v>1456</v>
      </c>
      <c r="C397" s="1116">
        <v>1965</v>
      </c>
      <c r="D397" s="1154"/>
      <c r="E397" s="1114" t="s">
        <v>218</v>
      </c>
      <c r="F397" s="1116">
        <v>4</v>
      </c>
      <c r="G397" s="1116">
        <v>4</v>
      </c>
      <c r="H397" s="1024">
        <v>2533.8000000000002</v>
      </c>
      <c r="I397" s="1024">
        <v>2533.8000000000002</v>
      </c>
      <c r="J397" s="1024">
        <v>2461.9</v>
      </c>
      <c r="K397" s="1008">
        <v>81</v>
      </c>
      <c r="L397" s="1024">
        <v>12538062.25</v>
      </c>
      <c r="M397" s="1024">
        <v>0</v>
      </c>
      <c r="N397" s="1024">
        <v>0</v>
      </c>
      <c r="O397" s="1024">
        <v>12538062.25</v>
      </c>
      <c r="P397" s="1024">
        <v>0</v>
      </c>
      <c r="Q397" s="1024">
        <v>0</v>
      </c>
      <c r="R397" s="987">
        <v>2025</v>
      </c>
      <c r="S397" s="987">
        <v>2025</v>
      </c>
    </row>
    <row r="398" spans="1:19" s="992" customFormat="1" ht="37.9" customHeight="1">
      <c r="A398" s="1009">
        <v>38</v>
      </c>
      <c r="B398" s="1139" t="s">
        <v>1455</v>
      </c>
      <c r="C398" s="1009">
        <v>1956</v>
      </c>
      <c r="D398" s="1009"/>
      <c r="E398" s="1009" t="s">
        <v>218</v>
      </c>
      <c r="F398" s="1009">
        <v>3</v>
      </c>
      <c r="G398" s="1009">
        <v>3</v>
      </c>
      <c r="H398" s="1023">
        <v>1856.6</v>
      </c>
      <c r="I398" s="1023">
        <v>1856.6</v>
      </c>
      <c r="J398" s="1023">
        <v>1703.3</v>
      </c>
      <c r="K398" s="1134">
        <v>66</v>
      </c>
      <c r="L398" s="1024">
        <v>13801898.92</v>
      </c>
      <c r="M398" s="1023">
        <v>0</v>
      </c>
      <c r="N398" s="1023">
        <v>0</v>
      </c>
      <c r="O398" s="1023">
        <v>13801898.92</v>
      </c>
      <c r="P398" s="1023">
        <v>0</v>
      </c>
      <c r="Q398" s="1023">
        <v>0</v>
      </c>
      <c r="R398" s="987">
        <v>2025</v>
      </c>
      <c r="S398" s="987">
        <v>2025</v>
      </c>
    </row>
    <row r="399" spans="1:19" s="992" customFormat="1" ht="37.9" customHeight="1">
      <c r="A399" s="1114"/>
      <c r="B399" s="1429" t="s">
        <v>1237</v>
      </c>
      <c r="C399" s="1429"/>
      <c r="D399" s="1429"/>
      <c r="E399" s="1429"/>
      <c r="F399" s="1429"/>
      <c r="G399" s="1429"/>
      <c r="H399" s="993">
        <f>H400</f>
        <v>1844.3</v>
      </c>
      <c r="I399" s="993">
        <f t="shared" ref="I399:Q399" si="105">I400</f>
        <v>1284.2</v>
      </c>
      <c r="J399" s="993">
        <f t="shared" si="105"/>
        <v>832.2</v>
      </c>
      <c r="K399" s="993">
        <f t="shared" si="105"/>
        <v>42</v>
      </c>
      <c r="L399" s="993">
        <f t="shared" si="105"/>
        <v>1469580.17</v>
      </c>
      <c r="M399" s="993">
        <f t="shared" si="105"/>
        <v>0</v>
      </c>
      <c r="N399" s="993">
        <f t="shared" si="105"/>
        <v>0</v>
      </c>
      <c r="O399" s="993">
        <f t="shared" si="105"/>
        <v>1469580.17</v>
      </c>
      <c r="P399" s="993">
        <f t="shared" si="105"/>
        <v>0</v>
      </c>
      <c r="Q399" s="993">
        <f t="shared" si="105"/>
        <v>0</v>
      </c>
      <c r="R399" s="991" t="s">
        <v>40</v>
      </c>
      <c r="S399" s="1006" t="s">
        <v>40</v>
      </c>
    </row>
    <row r="400" spans="1:19" s="992" customFormat="1" ht="37.9" customHeight="1">
      <c r="A400" s="1114">
        <v>39</v>
      </c>
      <c r="B400" s="1112" t="s">
        <v>1388</v>
      </c>
      <c r="C400" s="1114">
        <v>1981</v>
      </c>
      <c r="D400" s="1112"/>
      <c r="E400" s="1114" t="s">
        <v>218</v>
      </c>
      <c r="F400" s="1114">
        <v>3</v>
      </c>
      <c r="G400" s="1114">
        <v>3</v>
      </c>
      <c r="H400" s="993">
        <v>1844.3</v>
      </c>
      <c r="I400" s="993">
        <v>1284.2</v>
      </c>
      <c r="J400" s="993">
        <v>832.2</v>
      </c>
      <c r="K400" s="987">
        <v>42</v>
      </c>
      <c r="L400" s="993">
        <v>1469580.17</v>
      </c>
      <c r="M400" s="986">
        <v>0</v>
      </c>
      <c r="N400" s="986">
        <v>0</v>
      </c>
      <c r="O400" s="986">
        <f>L400</f>
        <v>1469580.17</v>
      </c>
      <c r="P400" s="993">
        <v>0</v>
      </c>
      <c r="Q400" s="986">
        <v>0</v>
      </c>
      <c r="R400" s="987">
        <v>2025</v>
      </c>
      <c r="S400" s="987">
        <v>2025</v>
      </c>
    </row>
    <row r="401" spans="1:19" s="992" customFormat="1" ht="37.9" customHeight="1">
      <c r="A401" s="1114"/>
      <c r="B401" s="1426" t="s">
        <v>43</v>
      </c>
      <c r="C401" s="1426"/>
      <c r="D401" s="1426"/>
      <c r="E401" s="1426"/>
      <c r="F401" s="1426"/>
      <c r="G401" s="1426"/>
      <c r="H401" s="985">
        <f>H402</f>
        <v>7976.6</v>
      </c>
      <c r="I401" s="985">
        <f t="shared" ref="I401:Q401" si="106">I402</f>
        <v>7976.6</v>
      </c>
      <c r="J401" s="985">
        <f t="shared" si="106"/>
        <v>7243.6</v>
      </c>
      <c r="K401" s="1030">
        <f t="shared" si="106"/>
        <v>242</v>
      </c>
      <c r="L401" s="985">
        <f t="shared" si="106"/>
        <v>23904968.270000003</v>
      </c>
      <c r="M401" s="985">
        <f t="shared" si="106"/>
        <v>0</v>
      </c>
      <c r="N401" s="985">
        <f t="shared" si="106"/>
        <v>0</v>
      </c>
      <c r="O401" s="985">
        <f t="shared" si="106"/>
        <v>23904968.270000003</v>
      </c>
      <c r="P401" s="985">
        <f t="shared" si="106"/>
        <v>0</v>
      </c>
      <c r="Q401" s="985">
        <f t="shared" si="106"/>
        <v>0</v>
      </c>
      <c r="R401" s="991" t="s">
        <v>40</v>
      </c>
      <c r="S401" s="991" t="s">
        <v>40</v>
      </c>
    </row>
    <row r="402" spans="1:19" s="992" customFormat="1" ht="46.15" customHeight="1">
      <c r="A402" s="1114"/>
      <c r="B402" s="1429" t="s">
        <v>1040</v>
      </c>
      <c r="C402" s="1429"/>
      <c r="D402" s="1429"/>
      <c r="E402" s="1429"/>
      <c r="F402" s="1429"/>
      <c r="G402" s="1429"/>
      <c r="H402" s="1024">
        <f t="shared" ref="H402:Q402" si="107">SUM(H403:H405)</f>
        <v>7976.6</v>
      </c>
      <c r="I402" s="1024">
        <f t="shared" si="107"/>
        <v>7976.6</v>
      </c>
      <c r="J402" s="1024">
        <f t="shared" si="107"/>
        <v>7243.6</v>
      </c>
      <c r="K402" s="1030">
        <f t="shared" si="107"/>
        <v>242</v>
      </c>
      <c r="L402" s="1024">
        <f t="shared" si="107"/>
        <v>23904968.270000003</v>
      </c>
      <c r="M402" s="1024">
        <f t="shared" si="107"/>
        <v>0</v>
      </c>
      <c r="N402" s="1024">
        <f t="shared" si="107"/>
        <v>0</v>
      </c>
      <c r="O402" s="1024">
        <f t="shared" si="107"/>
        <v>23904968.270000003</v>
      </c>
      <c r="P402" s="1024">
        <f t="shared" si="107"/>
        <v>0</v>
      </c>
      <c r="Q402" s="1024">
        <f t="shared" si="107"/>
        <v>0</v>
      </c>
      <c r="R402" s="991" t="s">
        <v>40</v>
      </c>
      <c r="S402" s="991" t="s">
        <v>40</v>
      </c>
    </row>
    <row r="403" spans="1:19" s="992" customFormat="1" ht="37.9" customHeight="1">
      <c r="A403" s="1114">
        <v>40</v>
      </c>
      <c r="B403" s="1112" t="s">
        <v>1609</v>
      </c>
      <c r="C403" s="1114">
        <v>1977</v>
      </c>
      <c r="D403" s="1114"/>
      <c r="E403" s="1114" t="s">
        <v>219</v>
      </c>
      <c r="F403" s="1116">
        <v>5</v>
      </c>
      <c r="G403" s="1116">
        <v>8</v>
      </c>
      <c r="H403" s="986">
        <v>6748.6</v>
      </c>
      <c r="I403" s="986">
        <v>6748.6</v>
      </c>
      <c r="J403" s="986">
        <v>6171.6</v>
      </c>
      <c r="K403" s="1030">
        <v>202</v>
      </c>
      <c r="L403" s="986">
        <v>11150749.82</v>
      </c>
      <c r="M403" s="986">
        <v>0</v>
      </c>
      <c r="N403" s="986">
        <v>0</v>
      </c>
      <c r="O403" s="986">
        <f t="shared" ref="O403:O405" si="108">L403</f>
        <v>11150749.82</v>
      </c>
      <c r="P403" s="993">
        <v>0</v>
      </c>
      <c r="Q403" s="986">
        <v>0</v>
      </c>
      <c r="R403" s="987">
        <v>2025</v>
      </c>
      <c r="S403" s="987">
        <v>2025</v>
      </c>
    </row>
    <row r="404" spans="1:19" s="992" customFormat="1" ht="41.45" customHeight="1">
      <c r="A404" s="1114">
        <v>41</v>
      </c>
      <c r="B404" s="1112" t="s">
        <v>1610</v>
      </c>
      <c r="C404" s="1114">
        <v>1928</v>
      </c>
      <c r="D404" s="1114"/>
      <c r="E404" s="1114" t="s">
        <v>221</v>
      </c>
      <c r="F404" s="1116">
        <v>2</v>
      </c>
      <c r="G404" s="1116">
        <v>2</v>
      </c>
      <c r="H404" s="986">
        <v>347.3</v>
      </c>
      <c r="I404" s="986">
        <v>347.3</v>
      </c>
      <c r="J404" s="986">
        <v>347.3</v>
      </c>
      <c r="K404" s="1030">
        <v>17</v>
      </c>
      <c r="L404" s="986">
        <v>5276518.12</v>
      </c>
      <c r="M404" s="986">
        <v>0</v>
      </c>
      <c r="N404" s="986">
        <v>0</v>
      </c>
      <c r="O404" s="986">
        <v>5276518.12</v>
      </c>
      <c r="P404" s="993">
        <v>0</v>
      </c>
      <c r="Q404" s="986">
        <v>0</v>
      </c>
      <c r="R404" s="987">
        <v>2025</v>
      </c>
      <c r="S404" s="987">
        <v>2025</v>
      </c>
    </row>
    <row r="405" spans="1:19" s="992" customFormat="1" ht="42.6" customHeight="1">
      <c r="A405" s="1114">
        <v>42</v>
      </c>
      <c r="B405" s="1112" t="s">
        <v>1611</v>
      </c>
      <c r="C405" s="1114">
        <v>1936</v>
      </c>
      <c r="D405" s="1114"/>
      <c r="E405" s="1114" t="s">
        <v>218</v>
      </c>
      <c r="F405" s="1116">
        <v>2</v>
      </c>
      <c r="G405" s="1116">
        <v>1</v>
      </c>
      <c r="H405" s="986">
        <v>880.7</v>
      </c>
      <c r="I405" s="986">
        <v>880.7</v>
      </c>
      <c r="J405" s="986">
        <v>724.7</v>
      </c>
      <c r="K405" s="1030">
        <v>23</v>
      </c>
      <c r="L405" s="986">
        <v>7477700.3300000001</v>
      </c>
      <c r="M405" s="986">
        <v>0</v>
      </c>
      <c r="N405" s="986">
        <v>0</v>
      </c>
      <c r="O405" s="986">
        <f t="shared" si="108"/>
        <v>7477700.3300000001</v>
      </c>
      <c r="P405" s="993">
        <v>0</v>
      </c>
      <c r="Q405" s="986">
        <v>0</v>
      </c>
      <c r="R405" s="987">
        <v>2025</v>
      </c>
      <c r="S405" s="987">
        <v>2025</v>
      </c>
    </row>
    <row r="406" spans="1:19" s="992" customFormat="1" ht="42.6" customHeight="1">
      <c r="A406" s="1114"/>
      <c r="B406" s="1426" t="s">
        <v>1092</v>
      </c>
      <c r="C406" s="1426"/>
      <c r="D406" s="1426"/>
      <c r="E406" s="1426"/>
      <c r="F406" s="1426"/>
      <c r="G406" s="1426"/>
      <c r="H406" s="985">
        <f>H407</f>
        <v>537.4</v>
      </c>
      <c r="I406" s="985">
        <f t="shared" ref="I406:Q406" si="109">I407</f>
        <v>537.4</v>
      </c>
      <c r="J406" s="985">
        <f t="shared" si="109"/>
        <v>537.4</v>
      </c>
      <c r="K406" s="985">
        <f t="shared" si="109"/>
        <v>12</v>
      </c>
      <c r="L406" s="985">
        <f t="shared" si="109"/>
        <v>4844707.25</v>
      </c>
      <c r="M406" s="985">
        <f t="shared" si="109"/>
        <v>0</v>
      </c>
      <c r="N406" s="985">
        <f t="shared" si="109"/>
        <v>0</v>
      </c>
      <c r="O406" s="985">
        <f t="shared" si="109"/>
        <v>4844707.25</v>
      </c>
      <c r="P406" s="985">
        <f t="shared" si="109"/>
        <v>0</v>
      </c>
      <c r="Q406" s="985">
        <f t="shared" si="109"/>
        <v>0</v>
      </c>
      <c r="R406" s="991" t="s">
        <v>40</v>
      </c>
      <c r="S406" s="991" t="s">
        <v>40</v>
      </c>
    </row>
    <row r="407" spans="1:19" s="992" customFormat="1" ht="37.9" customHeight="1">
      <c r="A407" s="1114">
        <v>43</v>
      </c>
      <c r="B407" s="1112" t="s">
        <v>1592</v>
      </c>
      <c r="C407" s="1114">
        <v>1970</v>
      </c>
      <c r="D407" s="1116"/>
      <c r="E407" s="1114" t="s">
        <v>218</v>
      </c>
      <c r="F407" s="1116">
        <v>2</v>
      </c>
      <c r="G407" s="1116">
        <v>2</v>
      </c>
      <c r="H407" s="985">
        <v>537.4</v>
      </c>
      <c r="I407" s="985">
        <v>537.4</v>
      </c>
      <c r="J407" s="985">
        <v>537.4</v>
      </c>
      <c r="K407" s="1030">
        <v>12</v>
      </c>
      <c r="L407" s="986">
        <v>4844707.25</v>
      </c>
      <c r="M407" s="986">
        <v>0</v>
      </c>
      <c r="N407" s="986">
        <v>0</v>
      </c>
      <c r="O407" s="986">
        <v>4844707.25</v>
      </c>
      <c r="P407" s="993">
        <v>0</v>
      </c>
      <c r="Q407" s="986">
        <v>0</v>
      </c>
      <c r="R407" s="987">
        <v>2025</v>
      </c>
      <c r="S407" s="987">
        <v>2025</v>
      </c>
    </row>
    <row r="408" spans="1:19" s="992" customFormat="1" ht="37.9" customHeight="1">
      <c r="A408" s="1114"/>
      <c r="B408" s="1426" t="s">
        <v>1312</v>
      </c>
      <c r="C408" s="1426"/>
      <c r="D408" s="1426"/>
      <c r="E408" s="1426"/>
      <c r="F408" s="1426"/>
      <c r="G408" s="1426"/>
      <c r="H408" s="985">
        <f>H409</f>
        <v>491.9</v>
      </c>
      <c r="I408" s="985">
        <f t="shared" ref="I408:Q408" si="110">I409</f>
        <v>450.3</v>
      </c>
      <c r="J408" s="985">
        <f t="shared" si="110"/>
        <v>450.3</v>
      </c>
      <c r="K408" s="985">
        <f t="shared" si="110"/>
        <v>11</v>
      </c>
      <c r="L408" s="985">
        <f t="shared" si="110"/>
        <v>4007164.7</v>
      </c>
      <c r="M408" s="985">
        <f t="shared" si="110"/>
        <v>0</v>
      </c>
      <c r="N408" s="985">
        <f t="shared" si="110"/>
        <v>0</v>
      </c>
      <c r="O408" s="985">
        <f t="shared" si="110"/>
        <v>4007164.7</v>
      </c>
      <c r="P408" s="985">
        <f t="shared" si="110"/>
        <v>0</v>
      </c>
      <c r="Q408" s="985">
        <f t="shared" si="110"/>
        <v>0</v>
      </c>
      <c r="R408" s="991" t="s">
        <v>40</v>
      </c>
      <c r="S408" s="991" t="s">
        <v>40</v>
      </c>
    </row>
    <row r="409" spans="1:19" s="992" customFormat="1" ht="37.9" customHeight="1">
      <c r="A409" s="1114">
        <v>44</v>
      </c>
      <c r="B409" s="1112" t="s">
        <v>1437</v>
      </c>
      <c r="C409" s="1116">
        <v>1960</v>
      </c>
      <c r="D409" s="1179"/>
      <c r="E409" s="1114" t="s">
        <v>218</v>
      </c>
      <c r="F409" s="1116">
        <v>2</v>
      </c>
      <c r="G409" s="1116">
        <v>2</v>
      </c>
      <c r="H409" s="985">
        <v>491.9</v>
      </c>
      <c r="I409" s="985">
        <v>450.3</v>
      </c>
      <c r="J409" s="985">
        <v>450.3</v>
      </c>
      <c r="K409" s="1030">
        <v>11</v>
      </c>
      <c r="L409" s="986">
        <v>4007164.7</v>
      </c>
      <c r="M409" s="986">
        <v>0</v>
      </c>
      <c r="N409" s="986">
        <v>0</v>
      </c>
      <c r="O409" s="986">
        <v>4007164.7</v>
      </c>
      <c r="P409" s="993">
        <v>0</v>
      </c>
      <c r="Q409" s="986">
        <v>0</v>
      </c>
      <c r="R409" s="987">
        <v>2025</v>
      </c>
      <c r="S409" s="987">
        <v>2025</v>
      </c>
    </row>
    <row r="410" spans="1:19" s="992" customFormat="1" ht="40.15" customHeight="1">
      <c r="A410" s="1114"/>
      <c r="B410" s="1426" t="s">
        <v>1098</v>
      </c>
      <c r="C410" s="1426"/>
      <c r="D410" s="1426"/>
      <c r="E410" s="1426"/>
      <c r="F410" s="1426"/>
      <c r="G410" s="1426"/>
      <c r="H410" s="985">
        <f>H411</f>
        <v>571.79999999999995</v>
      </c>
      <c r="I410" s="985">
        <f t="shared" ref="I410:Q410" si="111">I411</f>
        <v>571.79999999999995</v>
      </c>
      <c r="J410" s="985">
        <f t="shared" si="111"/>
        <v>521.4</v>
      </c>
      <c r="K410" s="985">
        <f t="shared" si="111"/>
        <v>14</v>
      </c>
      <c r="L410" s="985">
        <f t="shared" si="111"/>
        <v>4714311.41</v>
      </c>
      <c r="M410" s="985">
        <f t="shared" si="111"/>
        <v>0</v>
      </c>
      <c r="N410" s="985">
        <f t="shared" si="111"/>
        <v>0</v>
      </c>
      <c r="O410" s="985">
        <f t="shared" si="111"/>
        <v>4714311.41</v>
      </c>
      <c r="P410" s="985">
        <f t="shared" si="111"/>
        <v>0</v>
      </c>
      <c r="Q410" s="985">
        <f t="shared" si="111"/>
        <v>0</v>
      </c>
      <c r="R410" s="991" t="s">
        <v>40</v>
      </c>
      <c r="S410" s="991" t="s">
        <v>40</v>
      </c>
    </row>
    <row r="411" spans="1:19" s="992" customFormat="1" ht="40.15" customHeight="1">
      <c r="A411" s="1114">
        <v>45</v>
      </c>
      <c r="B411" s="1026" t="s">
        <v>1600</v>
      </c>
      <c r="C411" s="1022">
        <v>1974</v>
      </c>
      <c r="D411" s="1022"/>
      <c r="E411" s="1021" t="s">
        <v>218</v>
      </c>
      <c r="F411" s="1022">
        <v>2</v>
      </c>
      <c r="G411" s="1022">
        <v>2</v>
      </c>
      <c r="H411" s="1025">
        <v>571.79999999999995</v>
      </c>
      <c r="I411" s="1025">
        <v>571.79999999999995</v>
      </c>
      <c r="J411" s="1025">
        <v>521.4</v>
      </c>
      <c r="K411" s="1032">
        <v>14</v>
      </c>
      <c r="L411" s="1025">
        <v>4714311.41</v>
      </c>
      <c r="M411" s="1025">
        <v>0</v>
      </c>
      <c r="N411" s="1025">
        <v>0</v>
      </c>
      <c r="O411" s="985">
        <f>L411</f>
        <v>4714311.41</v>
      </c>
      <c r="P411" s="1025">
        <v>0</v>
      </c>
      <c r="Q411" s="1025">
        <v>0</v>
      </c>
      <c r="R411" s="1009">
        <v>2025</v>
      </c>
      <c r="S411" s="1009">
        <v>2025</v>
      </c>
    </row>
    <row r="412" spans="1:19" s="992" customFormat="1" ht="37.9" customHeight="1">
      <c r="A412" s="1114"/>
      <c r="B412" s="1426" t="s">
        <v>49</v>
      </c>
      <c r="C412" s="1426"/>
      <c r="D412" s="1426"/>
      <c r="E412" s="1426"/>
      <c r="F412" s="1426"/>
      <c r="G412" s="1426"/>
      <c r="H412" s="985">
        <f>H415+H417+H419+H413+H421</f>
        <v>7271.7000000000007</v>
      </c>
      <c r="I412" s="985">
        <f t="shared" ref="I412:Q412" si="112">I415+I417+I419+I413+I421</f>
        <v>6302.8000000000011</v>
      </c>
      <c r="J412" s="985">
        <f t="shared" si="112"/>
        <v>4857.9000000000005</v>
      </c>
      <c r="K412" s="985">
        <f t="shared" si="112"/>
        <v>382</v>
      </c>
      <c r="L412" s="985">
        <f t="shared" si="112"/>
        <v>26975825.91</v>
      </c>
      <c r="M412" s="985">
        <f t="shared" si="112"/>
        <v>0</v>
      </c>
      <c r="N412" s="985">
        <f t="shared" si="112"/>
        <v>0</v>
      </c>
      <c r="O412" s="985">
        <f t="shared" si="112"/>
        <v>26975825.91</v>
      </c>
      <c r="P412" s="985">
        <f t="shared" si="112"/>
        <v>0</v>
      </c>
      <c r="Q412" s="985">
        <f t="shared" si="112"/>
        <v>0</v>
      </c>
      <c r="R412" s="991" t="s">
        <v>40</v>
      </c>
      <c r="S412" s="991" t="s">
        <v>40</v>
      </c>
    </row>
    <row r="413" spans="1:19" s="992" customFormat="1" ht="37.9" customHeight="1">
      <c r="A413" s="1114"/>
      <c r="B413" s="1111" t="s">
        <v>1090</v>
      </c>
      <c r="C413" s="1116"/>
      <c r="D413" s="1096"/>
      <c r="E413" s="1116"/>
      <c r="F413" s="1116"/>
      <c r="G413" s="1116"/>
      <c r="H413" s="985">
        <f>H414</f>
        <v>1603.4</v>
      </c>
      <c r="I413" s="985">
        <f t="shared" ref="I413:Q413" si="113">I414</f>
        <v>1603.4</v>
      </c>
      <c r="J413" s="985">
        <f t="shared" si="113"/>
        <v>1265.5</v>
      </c>
      <c r="K413" s="985">
        <f t="shared" si="113"/>
        <v>89</v>
      </c>
      <c r="L413" s="985">
        <f t="shared" si="113"/>
        <v>5499014.8499999996</v>
      </c>
      <c r="M413" s="985">
        <f t="shared" si="113"/>
        <v>0</v>
      </c>
      <c r="N413" s="985">
        <f t="shared" si="113"/>
        <v>0</v>
      </c>
      <c r="O413" s="985">
        <f t="shared" si="113"/>
        <v>5499014.8499999996</v>
      </c>
      <c r="P413" s="985">
        <f t="shared" si="113"/>
        <v>0</v>
      </c>
      <c r="Q413" s="985">
        <f t="shared" si="113"/>
        <v>0</v>
      </c>
      <c r="R413" s="991" t="s">
        <v>40</v>
      </c>
      <c r="S413" s="991" t="s">
        <v>40</v>
      </c>
    </row>
    <row r="414" spans="1:19" s="992" customFormat="1" ht="37.9" customHeight="1">
      <c r="A414" s="1114">
        <v>46</v>
      </c>
      <c r="B414" s="1111" t="s">
        <v>1555</v>
      </c>
      <c r="C414" s="1111">
        <v>1985</v>
      </c>
      <c r="D414" s="1111"/>
      <c r="E414" s="1021" t="s">
        <v>218</v>
      </c>
      <c r="F414" s="1111">
        <v>5</v>
      </c>
      <c r="G414" s="1111">
        <v>2</v>
      </c>
      <c r="H414" s="985">
        <v>1603.4</v>
      </c>
      <c r="I414" s="985">
        <v>1603.4</v>
      </c>
      <c r="J414" s="985">
        <v>1265.5</v>
      </c>
      <c r="K414" s="1030">
        <v>89</v>
      </c>
      <c r="L414" s="985">
        <v>5499014.8499999996</v>
      </c>
      <c r="M414" s="985">
        <v>0</v>
      </c>
      <c r="N414" s="985">
        <v>0</v>
      </c>
      <c r="O414" s="985">
        <v>5499014.8499999996</v>
      </c>
      <c r="P414" s="985">
        <v>0</v>
      </c>
      <c r="Q414" s="985">
        <v>0</v>
      </c>
      <c r="R414" s="987">
        <v>2025</v>
      </c>
      <c r="S414" s="987">
        <v>2025</v>
      </c>
    </row>
    <row r="415" spans="1:19" s="992" customFormat="1" ht="36" customHeight="1">
      <c r="A415" s="1114"/>
      <c r="B415" s="1426" t="s">
        <v>1026</v>
      </c>
      <c r="C415" s="1426"/>
      <c r="D415" s="1426"/>
      <c r="E415" s="1426"/>
      <c r="F415" s="1426"/>
      <c r="G415" s="1426"/>
      <c r="H415" s="985">
        <f>H416</f>
        <v>853</v>
      </c>
      <c r="I415" s="985">
        <f t="shared" ref="I415:Q415" si="114">I416</f>
        <v>492.8</v>
      </c>
      <c r="J415" s="985">
        <f t="shared" si="114"/>
        <v>492.8</v>
      </c>
      <c r="K415" s="1030">
        <f t="shared" si="114"/>
        <v>36</v>
      </c>
      <c r="L415" s="985">
        <f t="shared" si="114"/>
        <v>7059401.2699999996</v>
      </c>
      <c r="M415" s="985">
        <f t="shared" si="114"/>
        <v>0</v>
      </c>
      <c r="N415" s="985">
        <f t="shared" si="114"/>
        <v>0</v>
      </c>
      <c r="O415" s="985">
        <f t="shared" si="114"/>
        <v>7059401.2699999996</v>
      </c>
      <c r="P415" s="993">
        <v>0</v>
      </c>
      <c r="Q415" s="985">
        <f t="shared" si="114"/>
        <v>0</v>
      </c>
      <c r="R415" s="991" t="s">
        <v>40</v>
      </c>
      <c r="S415" s="991" t="s">
        <v>40</v>
      </c>
    </row>
    <row r="416" spans="1:19" s="992" customFormat="1" ht="36" customHeight="1">
      <c r="A416" s="1114">
        <v>47</v>
      </c>
      <c r="B416" s="1111" t="s">
        <v>1962</v>
      </c>
      <c r="C416" s="1116">
        <v>1976</v>
      </c>
      <c r="D416" s="1116"/>
      <c r="E416" s="1114" t="s">
        <v>218</v>
      </c>
      <c r="F416" s="1116">
        <v>2</v>
      </c>
      <c r="G416" s="1116">
        <v>3</v>
      </c>
      <c r="H416" s="985">
        <v>853</v>
      </c>
      <c r="I416" s="985">
        <v>492.8</v>
      </c>
      <c r="J416" s="985">
        <v>492.8</v>
      </c>
      <c r="K416" s="1030">
        <v>36</v>
      </c>
      <c r="L416" s="986">
        <v>7059401.2699999996</v>
      </c>
      <c r="M416" s="986">
        <v>0</v>
      </c>
      <c r="N416" s="986">
        <v>0</v>
      </c>
      <c r="O416" s="986">
        <f>L416</f>
        <v>7059401.2699999996</v>
      </c>
      <c r="P416" s="993">
        <v>0</v>
      </c>
      <c r="Q416" s="986">
        <v>0</v>
      </c>
      <c r="R416" s="987">
        <v>2025</v>
      </c>
      <c r="S416" s="987">
        <v>2025</v>
      </c>
    </row>
    <row r="417" spans="1:19" s="992" customFormat="1" ht="36" customHeight="1">
      <c r="A417" s="1114"/>
      <c r="B417" s="1428" t="s">
        <v>1056</v>
      </c>
      <c r="C417" s="1428"/>
      <c r="D417" s="1428"/>
      <c r="E417" s="1428"/>
      <c r="F417" s="1428"/>
      <c r="G417" s="1428"/>
      <c r="H417" s="985">
        <f>H418</f>
        <v>545</v>
      </c>
      <c r="I417" s="985">
        <f t="shared" ref="I417:Q417" si="115">I418</f>
        <v>545</v>
      </c>
      <c r="J417" s="985">
        <f t="shared" si="115"/>
        <v>545</v>
      </c>
      <c r="K417" s="985">
        <f t="shared" si="115"/>
        <v>36</v>
      </c>
      <c r="L417" s="985">
        <f t="shared" si="115"/>
        <v>2206919.2400000002</v>
      </c>
      <c r="M417" s="985">
        <f t="shared" si="115"/>
        <v>0</v>
      </c>
      <c r="N417" s="985">
        <f t="shared" si="115"/>
        <v>0</v>
      </c>
      <c r="O417" s="985">
        <f t="shared" si="115"/>
        <v>2206919.2400000002</v>
      </c>
      <c r="P417" s="985">
        <f t="shared" si="115"/>
        <v>0</v>
      </c>
      <c r="Q417" s="985">
        <f t="shared" si="115"/>
        <v>0</v>
      </c>
      <c r="R417" s="991" t="s">
        <v>40</v>
      </c>
      <c r="S417" s="991" t="s">
        <v>40</v>
      </c>
    </row>
    <row r="418" spans="1:19" s="992" customFormat="1" ht="44.45" customHeight="1">
      <c r="A418" s="1114">
        <v>48</v>
      </c>
      <c r="B418" s="1112" t="s">
        <v>1433</v>
      </c>
      <c r="C418" s="1116">
        <v>1970</v>
      </c>
      <c r="D418" s="1116"/>
      <c r="E418" s="1114" t="s">
        <v>218</v>
      </c>
      <c r="F418" s="1116">
        <v>2</v>
      </c>
      <c r="G418" s="1116">
        <v>2</v>
      </c>
      <c r="H418" s="985">
        <v>545</v>
      </c>
      <c r="I418" s="985">
        <v>545</v>
      </c>
      <c r="J418" s="985">
        <v>545</v>
      </c>
      <c r="K418" s="1030">
        <v>36</v>
      </c>
      <c r="L418" s="986">
        <v>2206919.2400000002</v>
      </c>
      <c r="M418" s="986">
        <v>0</v>
      </c>
      <c r="N418" s="986">
        <v>0</v>
      </c>
      <c r="O418" s="986">
        <v>2206919.2400000002</v>
      </c>
      <c r="P418" s="993">
        <v>0</v>
      </c>
      <c r="Q418" s="986">
        <v>0</v>
      </c>
      <c r="R418" s="987">
        <v>2025</v>
      </c>
      <c r="S418" s="987">
        <v>2025</v>
      </c>
    </row>
    <row r="419" spans="1:19" s="992" customFormat="1" ht="37.9" customHeight="1">
      <c r="A419" s="1114"/>
      <c r="B419" s="1428" t="s">
        <v>1058</v>
      </c>
      <c r="C419" s="1428"/>
      <c r="D419" s="1428"/>
      <c r="E419" s="1428"/>
      <c r="F419" s="1428"/>
      <c r="G419" s="1428"/>
      <c r="H419" s="985">
        <f>H420</f>
        <v>3407.8</v>
      </c>
      <c r="I419" s="985">
        <f t="shared" ref="I419:Q419" si="116">I420</f>
        <v>3082.5</v>
      </c>
      <c r="J419" s="985">
        <f t="shared" si="116"/>
        <v>2054</v>
      </c>
      <c r="K419" s="1030">
        <f t="shared" si="116"/>
        <v>167</v>
      </c>
      <c r="L419" s="985">
        <f t="shared" si="116"/>
        <v>6046377.9299999997</v>
      </c>
      <c r="M419" s="985">
        <f t="shared" si="116"/>
        <v>0</v>
      </c>
      <c r="N419" s="985">
        <f t="shared" si="116"/>
        <v>0</v>
      </c>
      <c r="O419" s="985">
        <f t="shared" si="116"/>
        <v>6046377.9299999997</v>
      </c>
      <c r="P419" s="985">
        <f t="shared" si="116"/>
        <v>0</v>
      </c>
      <c r="Q419" s="985">
        <f t="shared" si="116"/>
        <v>0</v>
      </c>
      <c r="R419" s="991" t="s">
        <v>40</v>
      </c>
      <c r="S419" s="991" t="s">
        <v>40</v>
      </c>
    </row>
    <row r="420" spans="1:19" s="992" customFormat="1" ht="37.9" customHeight="1">
      <c r="A420" s="1114">
        <v>49</v>
      </c>
      <c r="B420" s="1112" t="s">
        <v>1681</v>
      </c>
      <c r="C420" s="1116">
        <v>1980</v>
      </c>
      <c r="D420" s="1116"/>
      <c r="E420" s="1114" t="s">
        <v>218</v>
      </c>
      <c r="F420" s="1116">
        <v>5</v>
      </c>
      <c r="G420" s="1116">
        <v>4</v>
      </c>
      <c r="H420" s="985">
        <v>3407.8</v>
      </c>
      <c r="I420" s="985">
        <v>3082.5</v>
      </c>
      <c r="J420" s="985">
        <v>2054</v>
      </c>
      <c r="K420" s="1030">
        <v>167</v>
      </c>
      <c r="L420" s="986">
        <v>6046377.9299999997</v>
      </c>
      <c r="M420" s="986">
        <v>0</v>
      </c>
      <c r="N420" s="986">
        <v>0</v>
      </c>
      <c r="O420" s="986">
        <v>6046377.9299999997</v>
      </c>
      <c r="P420" s="993">
        <v>0</v>
      </c>
      <c r="Q420" s="986">
        <v>0</v>
      </c>
      <c r="R420" s="987">
        <v>2025</v>
      </c>
      <c r="S420" s="987">
        <v>2025</v>
      </c>
    </row>
    <row r="421" spans="1:19" s="992" customFormat="1" ht="37.9" customHeight="1">
      <c r="A421" s="1114"/>
      <c r="B421" s="1428" t="s">
        <v>2001</v>
      </c>
      <c r="C421" s="1428"/>
      <c r="D421" s="1428"/>
      <c r="E421" s="1428"/>
      <c r="F421" s="1428"/>
      <c r="G421" s="1428"/>
      <c r="H421" s="985">
        <f>H422</f>
        <v>862.5</v>
      </c>
      <c r="I421" s="985">
        <f t="shared" ref="I421:Q421" si="117">I422</f>
        <v>579.1</v>
      </c>
      <c r="J421" s="985">
        <f t="shared" si="117"/>
        <v>500.6</v>
      </c>
      <c r="K421" s="985">
        <f t="shared" si="117"/>
        <v>54</v>
      </c>
      <c r="L421" s="985">
        <f t="shared" si="117"/>
        <v>6164112.6200000001</v>
      </c>
      <c r="M421" s="985">
        <f t="shared" si="117"/>
        <v>0</v>
      </c>
      <c r="N421" s="985">
        <f t="shared" si="117"/>
        <v>0</v>
      </c>
      <c r="O421" s="985">
        <f t="shared" si="117"/>
        <v>6164112.6200000001</v>
      </c>
      <c r="P421" s="985">
        <f t="shared" si="117"/>
        <v>0</v>
      </c>
      <c r="Q421" s="985">
        <f t="shared" si="117"/>
        <v>0</v>
      </c>
      <c r="R421" s="991" t="s">
        <v>40</v>
      </c>
      <c r="S421" s="991" t="s">
        <v>40</v>
      </c>
    </row>
    <row r="422" spans="1:19" s="992" customFormat="1" ht="37.9" customHeight="1">
      <c r="A422" s="1114">
        <v>50</v>
      </c>
      <c r="B422" s="1112" t="s">
        <v>2002</v>
      </c>
      <c r="C422" s="1116">
        <v>1984</v>
      </c>
      <c r="D422" s="1116"/>
      <c r="E422" s="1114" t="s">
        <v>219</v>
      </c>
      <c r="F422" s="1116">
        <v>2</v>
      </c>
      <c r="G422" s="1116">
        <v>3</v>
      </c>
      <c r="H422" s="985">
        <v>862.5</v>
      </c>
      <c r="I422" s="985">
        <v>579.1</v>
      </c>
      <c r="J422" s="985">
        <v>500.6</v>
      </c>
      <c r="K422" s="1030">
        <v>54</v>
      </c>
      <c r="L422" s="986">
        <v>6164112.6200000001</v>
      </c>
      <c r="M422" s="986">
        <v>0</v>
      </c>
      <c r="N422" s="986">
        <v>0</v>
      </c>
      <c r="O422" s="986">
        <v>6164112.6200000001</v>
      </c>
      <c r="P422" s="993">
        <v>0</v>
      </c>
      <c r="Q422" s="986">
        <v>0</v>
      </c>
      <c r="R422" s="987">
        <v>2025</v>
      </c>
      <c r="S422" s="987">
        <v>2025</v>
      </c>
    </row>
    <row r="423" spans="1:19" s="992" customFormat="1" ht="42.6" customHeight="1">
      <c r="A423" s="1114"/>
      <c r="B423" s="1426" t="s">
        <v>50</v>
      </c>
      <c r="C423" s="1426"/>
      <c r="D423" s="1426"/>
      <c r="E423" s="1426"/>
      <c r="F423" s="1426"/>
      <c r="G423" s="1426"/>
      <c r="H423" s="985">
        <f>H424</f>
        <v>8139.4</v>
      </c>
      <c r="I423" s="985">
        <f t="shared" ref="I423:Q423" si="118">I424</f>
        <v>7283.2</v>
      </c>
      <c r="J423" s="985">
        <f t="shared" si="118"/>
        <v>6554.85</v>
      </c>
      <c r="K423" s="1030">
        <f t="shared" si="118"/>
        <v>260</v>
      </c>
      <c r="L423" s="986">
        <f t="shared" si="118"/>
        <v>12776900.84</v>
      </c>
      <c r="M423" s="986">
        <f t="shared" si="118"/>
        <v>0</v>
      </c>
      <c r="N423" s="986">
        <f t="shared" si="118"/>
        <v>0</v>
      </c>
      <c r="O423" s="986">
        <f>O424</f>
        <v>12776900.84</v>
      </c>
      <c r="P423" s="993">
        <v>0</v>
      </c>
      <c r="Q423" s="986">
        <f t="shared" si="118"/>
        <v>0</v>
      </c>
      <c r="R423" s="991" t="s">
        <v>40</v>
      </c>
      <c r="S423" s="991" t="s">
        <v>40</v>
      </c>
    </row>
    <row r="424" spans="1:19" s="992" customFormat="1" ht="42.6" customHeight="1">
      <c r="A424" s="1114"/>
      <c r="B424" s="1426" t="s">
        <v>1028</v>
      </c>
      <c r="C424" s="1426"/>
      <c r="D424" s="1426"/>
      <c r="E424" s="1426"/>
      <c r="F424" s="1426"/>
      <c r="G424" s="1426"/>
      <c r="H424" s="985">
        <f t="shared" ref="H424:Q424" si="119">SUM(H425:H426)</f>
        <v>8139.4</v>
      </c>
      <c r="I424" s="985">
        <f t="shared" si="119"/>
        <v>7283.2</v>
      </c>
      <c r="J424" s="985">
        <f t="shared" si="119"/>
        <v>6554.85</v>
      </c>
      <c r="K424" s="1030">
        <f t="shared" si="119"/>
        <v>260</v>
      </c>
      <c r="L424" s="985">
        <f t="shared" si="119"/>
        <v>12776900.84</v>
      </c>
      <c r="M424" s="1024">
        <f t="shared" si="119"/>
        <v>0</v>
      </c>
      <c r="N424" s="1024">
        <f t="shared" si="119"/>
        <v>0</v>
      </c>
      <c r="O424" s="985">
        <f t="shared" si="119"/>
        <v>12776900.84</v>
      </c>
      <c r="P424" s="985">
        <f t="shared" si="119"/>
        <v>0</v>
      </c>
      <c r="Q424" s="985">
        <f t="shared" si="119"/>
        <v>0</v>
      </c>
      <c r="R424" s="991" t="s">
        <v>40</v>
      </c>
      <c r="S424" s="991" t="s">
        <v>40</v>
      </c>
    </row>
    <row r="425" spans="1:19" s="992" customFormat="1" ht="43.9" customHeight="1">
      <c r="A425" s="1021">
        <v>51</v>
      </c>
      <c r="B425" s="1169" t="s">
        <v>1474</v>
      </c>
      <c r="C425" s="1165">
        <v>1988</v>
      </c>
      <c r="D425" s="1170"/>
      <c r="E425" s="1114" t="s">
        <v>218</v>
      </c>
      <c r="F425" s="1165">
        <v>5</v>
      </c>
      <c r="G425" s="1165">
        <v>6</v>
      </c>
      <c r="H425" s="1166">
        <v>5279.4</v>
      </c>
      <c r="I425" s="1171">
        <v>4721.5</v>
      </c>
      <c r="J425" s="1171">
        <v>4249.3500000000004</v>
      </c>
      <c r="K425" s="1172">
        <v>179</v>
      </c>
      <c r="L425" s="1173">
        <v>8130755.0800000001</v>
      </c>
      <c r="M425" s="1174">
        <v>0</v>
      </c>
      <c r="N425" s="1174">
        <v>0</v>
      </c>
      <c r="O425" s="1173">
        <v>8130755.0800000001</v>
      </c>
      <c r="P425" s="1157">
        <v>0</v>
      </c>
      <c r="Q425" s="1157">
        <v>0</v>
      </c>
      <c r="R425" s="1021">
        <v>2025</v>
      </c>
      <c r="S425" s="1021">
        <v>2025</v>
      </c>
    </row>
    <row r="426" spans="1:19" s="992" customFormat="1" ht="43.9" customHeight="1">
      <c r="A426" s="1021">
        <v>52</v>
      </c>
      <c r="B426" s="1169" t="s">
        <v>1475</v>
      </c>
      <c r="C426" s="1165">
        <v>1993</v>
      </c>
      <c r="D426" s="1170"/>
      <c r="E426" s="1114" t="s">
        <v>218</v>
      </c>
      <c r="F426" s="1165">
        <v>5</v>
      </c>
      <c r="G426" s="1165">
        <v>4</v>
      </c>
      <c r="H426" s="1166">
        <v>2860</v>
      </c>
      <c r="I426" s="1171">
        <v>2561.6999999999998</v>
      </c>
      <c r="J426" s="1171">
        <v>2305.5</v>
      </c>
      <c r="K426" s="1172">
        <v>81</v>
      </c>
      <c r="L426" s="1173">
        <v>4646145.76</v>
      </c>
      <c r="M426" s="1174">
        <v>0</v>
      </c>
      <c r="N426" s="1174">
        <v>0</v>
      </c>
      <c r="O426" s="1173">
        <v>4646145.76</v>
      </c>
      <c r="P426" s="1157">
        <v>0</v>
      </c>
      <c r="Q426" s="1157">
        <v>0</v>
      </c>
      <c r="R426" s="1021">
        <v>2025</v>
      </c>
      <c r="S426" s="1021">
        <v>2025</v>
      </c>
    </row>
    <row r="427" spans="1:19" s="992" customFormat="1" ht="46.15" customHeight="1">
      <c r="A427" s="1114"/>
      <c r="B427" s="1426" t="s">
        <v>1067</v>
      </c>
      <c r="C427" s="1426"/>
      <c r="D427" s="1426"/>
      <c r="E427" s="1426"/>
      <c r="F427" s="1426"/>
      <c r="G427" s="1426"/>
      <c r="H427" s="985">
        <f>H428+H429+H430+H431</f>
        <v>6196.5999999999995</v>
      </c>
      <c r="I427" s="985">
        <f t="shared" ref="I427:Q427" si="120">I428+I429+I430+I431</f>
        <v>5036.0999999999995</v>
      </c>
      <c r="J427" s="985">
        <f t="shared" si="120"/>
        <v>3705.7999999999997</v>
      </c>
      <c r="K427" s="985">
        <f t="shared" si="120"/>
        <v>149</v>
      </c>
      <c r="L427" s="985">
        <f t="shared" si="120"/>
        <v>20209721.780000001</v>
      </c>
      <c r="M427" s="985">
        <f t="shared" si="120"/>
        <v>0</v>
      </c>
      <c r="N427" s="985">
        <f t="shared" si="120"/>
        <v>0</v>
      </c>
      <c r="O427" s="985">
        <f t="shared" si="120"/>
        <v>20209721.780000001</v>
      </c>
      <c r="P427" s="985">
        <f t="shared" si="120"/>
        <v>0</v>
      </c>
      <c r="Q427" s="985">
        <f t="shared" si="120"/>
        <v>0</v>
      </c>
      <c r="R427" s="991" t="s">
        <v>40</v>
      </c>
      <c r="S427" s="991" t="s">
        <v>40</v>
      </c>
    </row>
    <row r="428" spans="1:19" s="992" customFormat="1" ht="42" customHeight="1">
      <c r="A428" s="1114">
        <v>53</v>
      </c>
      <c r="B428" s="1144" t="s">
        <v>1527</v>
      </c>
      <c r="C428" s="1022">
        <v>1985</v>
      </c>
      <c r="D428" s="1022"/>
      <c r="E428" s="1114" t="s">
        <v>218</v>
      </c>
      <c r="F428" s="1022">
        <v>3</v>
      </c>
      <c r="G428" s="1022">
        <v>1</v>
      </c>
      <c r="H428" s="1025">
        <v>454.2</v>
      </c>
      <c r="I428" s="1025">
        <v>272.7</v>
      </c>
      <c r="J428" s="1025">
        <v>272.7</v>
      </c>
      <c r="K428" s="1032">
        <v>17</v>
      </c>
      <c r="L428" s="985">
        <v>4548323.82</v>
      </c>
      <c r="M428" s="985">
        <v>0</v>
      </c>
      <c r="N428" s="985">
        <v>0</v>
      </c>
      <c r="O428" s="985">
        <v>4548323.82</v>
      </c>
      <c r="P428" s="1025">
        <v>0</v>
      </c>
      <c r="Q428" s="1025">
        <v>0</v>
      </c>
      <c r="R428" s="1022">
        <v>2025</v>
      </c>
      <c r="S428" s="1022">
        <v>2025</v>
      </c>
    </row>
    <row r="429" spans="1:19" s="992" customFormat="1" ht="42.6" customHeight="1">
      <c r="A429" s="1021">
        <v>54</v>
      </c>
      <c r="B429" s="1139" t="s">
        <v>1528</v>
      </c>
      <c r="C429" s="1021">
        <v>1974</v>
      </c>
      <c r="D429" s="1021"/>
      <c r="E429" s="1114" t="s">
        <v>218</v>
      </c>
      <c r="F429" s="1021">
        <v>5</v>
      </c>
      <c r="G429" s="1021">
        <v>4</v>
      </c>
      <c r="H429" s="1157">
        <v>4703.8999999999996</v>
      </c>
      <c r="I429" s="1157">
        <v>4127</v>
      </c>
      <c r="J429" s="1157">
        <v>2796.7</v>
      </c>
      <c r="K429" s="1156">
        <v>84</v>
      </c>
      <c r="L429" s="993">
        <v>5409275.21</v>
      </c>
      <c r="M429" s="993">
        <v>0</v>
      </c>
      <c r="N429" s="993">
        <v>0</v>
      </c>
      <c r="O429" s="993">
        <v>5409275.21</v>
      </c>
      <c r="P429" s="1157">
        <v>0</v>
      </c>
      <c r="Q429" s="1157">
        <v>0</v>
      </c>
      <c r="R429" s="1022">
        <v>2025</v>
      </c>
      <c r="S429" s="1022">
        <v>2025</v>
      </c>
    </row>
    <row r="430" spans="1:19" s="992" customFormat="1" ht="42.6" customHeight="1">
      <c r="A430" s="1114">
        <v>55</v>
      </c>
      <c r="B430" s="1144" t="s">
        <v>1529</v>
      </c>
      <c r="C430" s="1022">
        <v>1963</v>
      </c>
      <c r="D430" s="1022"/>
      <c r="E430" s="1114" t="s">
        <v>218</v>
      </c>
      <c r="F430" s="1022">
        <v>2</v>
      </c>
      <c r="G430" s="1022">
        <v>2</v>
      </c>
      <c r="H430" s="1025">
        <v>462.9</v>
      </c>
      <c r="I430" s="1025">
        <v>298</v>
      </c>
      <c r="J430" s="1025">
        <v>298</v>
      </c>
      <c r="K430" s="1032">
        <v>26</v>
      </c>
      <c r="L430" s="985">
        <v>4645101.3099999996</v>
      </c>
      <c r="M430" s="985">
        <v>0</v>
      </c>
      <c r="N430" s="985">
        <v>0</v>
      </c>
      <c r="O430" s="985">
        <v>4645101.3099999996</v>
      </c>
      <c r="P430" s="1025">
        <v>0</v>
      </c>
      <c r="Q430" s="1025">
        <v>0</v>
      </c>
      <c r="R430" s="1022">
        <v>2025</v>
      </c>
      <c r="S430" s="1022">
        <v>2025</v>
      </c>
    </row>
    <row r="431" spans="1:19" s="992" customFormat="1" ht="42.6" customHeight="1">
      <c r="A431" s="1021">
        <v>56</v>
      </c>
      <c r="B431" s="1144" t="s">
        <v>1530</v>
      </c>
      <c r="C431" s="1009">
        <v>1989</v>
      </c>
      <c r="D431" s="1009"/>
      <c r="E431" s="1114" t="s">
        <v>218</v>
      </c>
      <c r="F431" s="1009">
        <v>2</v>
      </c>
      <c r="G431" s="1009">
        <v>2</v>
      </c>
      <c r="H431" s="1023">
        <v>575.6</v>
      </c>
      <c r="I431" s="1023">
        <v>338.4</v>
      </c>
      <c r="J431" s="1023">
        <v>338.4</v>
      </c>
      <c r="K431" s="1134">
        <v>22</v>
      </c>
      <c r="L431" s="993">
        <v>5607021.4400000004</v>
      </c>
      <c r="M431" s="993">
        <v>0</v>
      </c>
      <c r="N431" s="993">
        <v>0</v>
      </c>
      <c r="O431" s="993">
        <v>5607021.4400000004</v>
      </c>
      <c r="P431" s="1023">
        <v>0</v>
      </c>
      <c r="Q431" s="1023">
        <v>0</v>
      </c>
      <c r="R431" s="1022">
        <v>2025</v>
      </c>
      <c r="S431" s="1022">
        <v>2025</v>
      </c>
    </row>
    <row r="432" spans="1:19" s="992" customFormat="1" ht="46.15" customHeight="1">
      <c r="A432" s="1114"/>
      <c r="B432" s="1111" t="s">
        <v>1243</v>
      </c>
      <c r="C432" s="1116"/>
      <c r="D432" s="1096"/>
      <c r="E432" s="1114"/>
      <c r="F432" s="1116"/>
      <c r="G432" s="1116"/>
      <c r="H432" s="985">
        <f>H433+H434+H435+H436</f>
        <v>3598.6</v>
      </c>
      <c r="I432" s="985">
        <f t="shared" ref="I432:Q432" si="121">I433+I434+I435+I436</f>
        <v>2937.5</v>
      </c>
      <c r="J432" s="985">
        <f t="shared" si="121"/>
        <v>2368.6999999999998</v>
      </c>
      <c r="K432" s="985">
        <f t="shared" si="121"/>
        <v>73</v>
      </c>
      <c r="L432" s="985">
        <f t="shared" si="121"/>
        <v>20850496.600000001</v>
      </c>
      <c r="M432" s="985">
        <f t="shared" si="121"/>
        <v>0</v>
      </c>
      <c r="N432" s="985">
        <f t="shared" si="121"/>
        <v>0</v>
      </c>
      <c r="O432" s="985">
        <f t="shared" si="121"/>
        <v>20850496.600000001</v>
      </c>
      <c r="P432" s="985">
        <f t="shared" si="121"/>
        <v>0</v>
      </c>
      <c r="Q432" s="985">
        <f t="shared" si="121"/>
        <v>0</v>
      </c>
      <c r="R432" s="991" t="s">
        <v>40</v>
      </c>
      <c r="S432" s="991" t="s">
        <v>40</v>
      </c>
    </row>
    <row r="433" spans="1:19" s="989" customFormat="1" ht="43.15" customHeight="1">
      <c r="A433" s="1114">
        <v>57</v>
      </c>
      <c r="B433" s="1111" t="s">
        <v>1426</v>
      </c>
      <c r="C433" s="1114">
        <v>1961</v>
      </c>
      <c r="D433" s="1116"/>
      <c r="E433" s="1114" t="s">
        <v>218</v>
      </c>
      <c r="F433" s="1116">
        <v>2</v>
      </c>
      <c r="G433" s="1116">
        <v>2</v>
      </c>
      <c r="H433" s="985">
        <v>507.7</v>
      </c>
      <c r="I433" s="985">
        <v>446</v>
      </c>
      <c r="J433" s="985">
        <v>400.7</v>
      </c>
      <c r="K433" s="987">
        <v>14</v>
      </c>
      <c r="L433" s="985">
        <v>4366254.8</v>
      </c>
      <c r="M433" s="985">
        <v>0</v>
      </c>
      <c r="N433" s="985">
        <v>0</v>
      </c>
      <c r="O433" s="985">
        <v>4366254.8</v>
      </c>
      <c r="P433" s="985">
        <v>0</v>
      </c>
      <c r="Q433" s="985">
        <v>0</v>
      </c>
      <c r="R433" s="1022">
        <v>2025</v>
      </c>
      <c r="S433" s="1022">
        <v>2025</v>
      </c>
    </row>
    <row r="434" spans="1:19" s="989" customFormat="1" ht="39.6" customHeight="1">
      <c r="A434" s="1114">
        <v>58</v>
      </c>
      <c r="B434" s="1111" t="s">
        <v>1427</v>
      </c>
      <c r="C434" s="1114">
        <v>1959</v>
      </c>
      <c r="D434" s="1116"/>
      <c r="E434" s="1114" t="s">
        <v>218</v>
      </c>
      <c r="F434" s="1116">
        <v>2</v>
      </c>
      <c r="G434" s="1116">
        <v>2</v>
      </c>
      <c r="H434" s="985">
        <v>1279.5999999999999</v>
      </c>
      <c r="I434" s="985">
        <v>722.4</v>
      </c>
      <c r="J434" s="985">
        <v>722.4</v>
      </c>
      <c r="K434" s="987">
        <v>12</v>
      </c>
      <c r="L434" s="985">
        <v>7003460.6600000001</v>
      </c>
      <c r="M434" s="985">
        <v>0</v>
      </c>
      <c r="N434" s="985">
        <v>0</v>
      </c>
      <c r="O434" s="985">
        <v>7003460.6600000001</v>
      </c>
      <c r="P434" s="985">
        <v>0</v>
      </c>
      <c r="Q434" s="985">
        <v>0</v>
      </c>
      <c r="R434" s="1022">
        <v>2025</v>
      </c>
      <c r="S434" s="1022">
        <v>2025</v>
      </c>
    </row>
    <row r="435" spans="1:19" s="989" customFormat="1" ht="40.9" customHeight="1">
      <c r="A435" s="1114">
        <v>59</v>
      </c>
      <c r="B435" s="1111" t="s">
        <v>1428</v>
      </c>
      <c r="C435" s="1114">
        <v>1960</v>
      </c>
      <c r="D435" s="1116"/>
      <c r="E435" s="1114" t="s">
        <v>218</v>
      </c>
      <c r="F435" s="1116">
        <v>2</v>
      </c>
      <c r="G435" s="1116">
        <v>2</v>
      </c>
      <c r="H435" s="985">
        <v>498.2</v>
      </c>
      <c r="I435" s="985">
        <v>456</v>
      </c>
      <c r="J435" s="985">
        <v>456</v>
      </c>
      <c r="K435" s="987">
        <v>16</v>
      </c>
      <c r="L435" s="985">
        <v>4313093.41</v>
      </c>
      <c r="M435" s="985">
        <v>0</v>
      </c>
      <c r="N435" s="985">
        <v>0</v>
      </c>
      <c r="O435" s="985">
        <v>4313093.41</v>
      </c>
      <c r="P435" s="985">
        <v>0</v>
      </c>
      <c r="Q435" s="985">
        <v>0</v>
      </c>
      <c r="R435" s="1022">
        <v>2025</v>
      </c>
      <c r="S435" s="1022">
        <v>2025</v>
      </c>
    </row>
    <row r="436" spans="1:19" s="1019" customFormat="1" ht="46.15" customHeight="1">
      <c r="A436" s="1021">
        <v>60</v>
      </c>
      <c r="B436" s="1144" t="s">
        <v>1586</v>
      </c>
      <c r="C436" s="1009">
        <v>1968</v>
      </c>
      <c r="D436" s="1009"/>
      <c r="E436" s="1114" t="s">
        <v>218</v>
      </c>
      <c r="F436" s="1009">
        <v>4</v>
      </c>
      <c r="G436" s="1009">
        <v>2</v>
      </c>
      <c r="H436" s="1023">
        <v>1313.1</v>
      </c>
      <c r="I436" s="1023">
        <v>1313.1</v>
      </c>
      <c r="J436" s="1023">
        <v>789.6</v>
      </c>
      <c r="K436" s="1134">
        <v>31</v>
      </c>
      <c r="L436" s="993">
        <v>5167687.7300000004</v>
      </c>
      <c r="M436" s="993">
        <v>0</v>
      </c>
      <c r="N436" s="993">
        <v>0</v>
      </c>
      <c r="O436" s="993">
        <v>5167687.7300000004</v>
      </c>
      <c r="P436" s="1023">
        <v>0</v>
      </c>
      <c r="Q436" s="1023">
        <v>0</v>
      </c>
      <c r="R436" s="1022">
        <v>2025</v>
      </c>
      <c r="S436" s="1022">
        <v>2025</v>
      </c>
    </row>
    <row r="437" spans="1:19" s="1019" customFormat="1" ht="40.15" customHeight="1">
      <c r="A437" s="1114"/>
      <c r="B437" s="1426" t="s">
        <v>53</v>
      </c>
      <c r="C437" s="1426"/>
      <c r="D437" s="1426"/>
      <c r="E437" s="1426"/>
      <c r="F437" s="1426"/>
      <c r="G437" s="1426"/>
      <c r="H437" s="985">
        <f>H438+H449+H451+H447+H445</f>
        <v>29070.399999999994</v>
      </c>
      <c r="I437" s="985">
        <f t="shared" ref="I437:Q437" si="122">I438+I449+I451+I447+I445</f>
        <v>26524.699999999997</v>
      </c>
      <c r="J437" s="985">
        <f t="shared" si="122"/>
        <v>25265.4</v>
      </c>
      <c r="K437" s="985">
        <f t="shared" si="122"/>
        <v>1123</v>
      </c>
      <c r="L437" s="985">
        <f t="shared" si="122"/>
        <v>72935585.960000008</v>
      </c>
      <c r="M437" s="985">
        <f t="shared" si="122"/>
        <v>0</v>
      </c>
      <c r="N437" s="985">
        <f t="shared" si="122"/>
        <v>1623368.24</v>
      </c>
      <c r="O437" s="985">
        <f t="shared" si="122"/>
        <v>71312217.720000014</v>
      </c>
      <c r="P437" s="985">
        <f t="shared" si="122"/>
        <v>0</v>
      </c>
      <c r="Q437" s="985">
        <f t="shared" si="122"/>
        <v>0</v>
      </c>
      <c r="R437" s="991" t="s">
        <v>40</v>
      </c>
      <c r="S437" s="991" t="s">
        <v>40</v>
      </c>
    </row>
    <row r="438" spans="1:19" s="1019" customFormat="1" ht="45" customHeight="1">
      <c r="A438" s="1114"/>
      <c r="B438" s="1426" t="s">
        <v>1029</v>
      </c>
      <c r="C438" s="1426"/>
      <c r="D438" s="1426"/>
      <c r="E438" s="1426"/>
      <c r="F438" s="1426"/>
      <c r="G438" s="1426"/>
      <c r="H438" s="985">
        <f t="shared" ref="H438:Q438" si="123">SUM(H439:H444)</f>
        <v>26835.699999999997</v>
      </c>
      <c r="I438" s="985">
        <f t="shared" si="123"/>
        <v>24328.6</v>
      </c>
      <c r="J438" s="985">
        <f t="shared" si="123"/>
        <v>23574.5</v>
      </c>
      <c r="K438" s="1030">
        <f t="shared" si="123"/>
        <v>983</v>
      </c>
      <c r="L438" s="985">
        <f t="shared" si="123"/>
        <v>58289329.660000004</v>
      </c>
      <c r="M438" s="985">
        <f t="shared" si="123"/>
        <v>0</v>
      </c>
      <c r="N438" s="985">
        <f t="shared" si="123"/>
        <v>0</v>
      </c>
      <c r="O438" s="985">
        <f t="shared" si="123"/>
        <v>58289329.660000004</v>
      </c>
      <c r="P438" s="985">
        <f t="shared" si="123"/>
        <v>0</v>
      </c>
      <c r="Q438" s="985">
        <f t="shared" si="123"/>
        <v>0</v>
      </c>
      <c r="R438" s="991" t="s">
        <v>40</v>
      </c>
      <c r="S438" s="991" t="s">
        <v>40</v>
      </c>
    </row>
    <row r="439" spans="1:19" s="1019" customFormat="1" ht="39.75" customHeight="1">
      <c r="A439" s="1114">
        <v>61</v>
      </c>
      <c r="B439" s="1112" t="s">
        <v>1644</v>
      </c>
      <c r="C439" s="1030">
        <v>1965</v>
      </c>
      <c r="D439" s="1030"/>
      <c r="E439" s="1114" t="s">
        <v>219</v>
      </c>
      <c r="F439" s="990">
        <v>5</v>
      </c>
      <c r="G439" s="990">
        <v>4</v>
      </c>
      <c r="H439" s="993">
        <v>3948.7</v>
      </c>
      <c r="I439" s="1023">
        <v>3538.7</v>
      </c>
      <c r="J439" s="1023">
        <f>3323.2-99.9</f>
        <v>3223.2999999999997</v>
      </c>
      <c r="K439" s="1114">
        <v>147</v>
      </c>
      <c r="L439" s="985">
        <v>13488809.460000001</v>
      </c>
      <c r="M439" s="986">
        <v>0</v>
      </c>
      <c r="N439" s="986">
        <v>0</v>
      </c>
      <c r="O439" s="985">
        <f>L439</f>
        <v>13488809.460000001</v>
      </c>
      <c r="P439" s="993">
        <v>0</v>
      </c>
      <c r="Q439" s="986">
        <v>0</v>
      </c>
      <c r="R439" s="987">
        <v>2025</v>
      </c>
      <c r="S439" s="987">
        <v>2025</v>
      </c>
    </row>
    <row r="440" spans="1:19" s="1019" customFormat="1" ht="42.6" customHeight="1">
      <c r="A440" s="1114">
        <v>62</v>
      </c>
      <c r="B440" s="1112" t="s">
        <v>1645</v>
      </c>
      <c r="C440" s="1030">
        <v>1974</v>
      </c>
      <c r="D440" s="1030"/>
      <c r="E440" s="1114" t="s">
        <v>219</v>
      </c>
      <c r="F440" s="1116">
        <v>5</v>
      </c>
      <c r="G440" s="1116">
        <v>8</v>
      </c>
      <c r="H440" s="1023">
        <v>4260.8999999999996</v>
      </c>
      <c r="I440" s="1023">
        <v>3819.1</v>
      </c>
      <c r="J440" s="1023">
        <f>I440-94.7</f>
        <v>3724.4</v>
      </c>
      <c r="K440" s="1009">
        <v>165</v>
      </c>
      <c r="L440" s="985">
        <v>3967260.42</v>
      </c>
      <c r="M440" s="986">
        <v>0</v>
      </c>
      <c r="N440" s="986">
        <v>0</v>
      </c>
      <c r="O440" s="985">
        <f t="shared" ref="O440:O443" si="124">L440</f>
        <v>3967260.42</v>
      </c>
      <c r="P440" s="993">
        <v>0</v>
      </c>
      <c r="Q440" s="986">
        <v>0</v>
      </c>
      <c r="R440" s="987">
        <v>2025</v>
      </c>
      <c r="S440" s="987">
        <v>2025</v>
      </c>
    </row>
    <row r="441" spans="1:19" s="1019" customFormat="1" ht="47.45" customHeight="1">
      <c r="A441" s="1114">
        <v>63</v>
      </c>
      <c r="B441" s="1112" t="s">
        <v>1646</v>
      </c>
      <c r="C441" s="1030">
        <v>1966</v>
      </c>
      <c r="D441" s="1030"/>
      <c r="E441" s="1114" t="s">
        <v>220</v>
      </c>
      <c r="F441" s="1116">
        <v>5</v>
      </c>
      <c r="G441" s="1116">
        <v>4</v>
      </c>
      <c r="H441" s="1023">
        <v>3907.6</v>
      </c>
      <c r="I441" s="1023">
        <v>3540.9</v>
      </c>
      <c r="J441" s="1023">
        <f>I441-0</f>
        <v>3540.9</v>
      </c>
      <c r="K441" s="1009">
        <v>142</v>
      </c>
      <c r="L441" s="985">
        <v>13525630.359999999</v>
      </c>
      <c r="M441" s="986">
        <v>0</v>
      </c>
      <c r="N441" s="986">
        <v>0</v>
      </c>
      <c r="O441" s="985">
        <f t="shared" si="124"/>
        <v>13525630.359999999</v>
      </c>
      <c r="P441" s="993">
        <v>0</v>
      </c>
      <c r="Q441" s="986">
        <v>0</v>
      </c>
      <c r="R441" s="987">
        <v>2025</v>
      </c>
      <c r="S441" s="987">
        <v>2025</v>
      </c>
    </row>
    <row r="442" spans="1:19" s="1019" customFormat="1" ht="41.45" customHeight="1">
      <c r="A442" s="1114">
        <v>64</v>
      </c>
      <c r="B442" s="1112" t="s">
        <v>1647</v>
      </c>
      <c r="C442" s="1030">
        <v>1985</v>
      </c>
      <c r="D442" s="1030"/>
      <c r="E442" s="1114" t="s">
        <v>219</v>
      </c>
      <c r="F442" s="1116">
        <v>9</v>
      </c>
      <c r="G442" s="1116">
        <v>2</v>
      </c>
      <c r="H442" s="1023">
        <v>4240.3999999999996</v>
      </c>
      <c r="I442" s="1023">
        <v>3712</v>
      </c>
      <c r="J442" s="1023">
        <f>I442-108</f>
        <v>3604</v>
      </c>
      <c r="K442" s="1009">
        <v>152</v>
      </c>
      <c r="L442" s="985">
        <v>17827168.989999998</v>
      </c>
      <c r="M442" s="986">
        <v>0</v>
      </c>
      <c r="N442" s="986">
        <v>0</v>
      </c>
      <c r="O442" s="985">
        <f t="shared" si="124"/>
        <v>17827168.989999998</v>
      </c>
      <c r="P442" s="993">
        <v>0</v>
      </c>
      <c r="Q442" s="986">
        <v>0</v>
      </c>
      <c r="R442" s="987">
        <v>2025</v>
      </c>
      <c r="S442" s="987">
        <v>2025</v>
      </c>
    </row>
    <row r="443" spans="1:19" s="1019" customFormat="1" ht="42.6" customHeight="1">
      <c r="A443" s="1114">
        <v>65</v>
      </c>
      <c r="B443" s="1112" t="s">
        <v>1648</v>
      </c>
      <c r="C443" s="1030">
        <v>1981</v>
      </c>
      <c r="D443" s="1030"/>
      <c r="E443" s="1114" t="s">
        <v>219</v>
      </c>
      <c r="F443" s="1116">
        <v>9</v>
      </c>
      <c r="G443" s="1116">
        <v>3</v>
      </c>
      <c r="H443" s="1023">
        <v>5889.3</v>
      </c>
      <c r="I443" s="1023">
        <v>5803.5</v>
      </c>
      <c r="J443" s="1023">
        <f>I443-161.6</f>
        <v>5641.9</v>
      </c>
      <c r="K443" s="1009">
        <v>231</v>
      </c>
      <c r="L443" s="985">
        <v>5749605.3799999999</v>
      </c>
      <c r="M443" s="986">
        <v>0</v>
      </c>
      <c r="N443" s="986">
        <v>0</v>
      </c>
      <c r="O443" s="985">
        <f t="shared" si="124"/>
        <v>5749605.3799999999</v>
      </c>
      <c r="P443" s="993">
        <v>0</v>
      </c>
      <c r="Q443" s="986">
        <v>0</v>
      </c>
      <c r="R443" s="987">
        <v>2025</v>
      </c>
      <c r="S443" s="987">
        <v>2025</v>
      </c>
    </row>
    <row r="444" spans="1:19" s="1019" customFormat="1" ht="42.6" customHeight="1">
      <c r="A444" s="1114">
        <v>66</v>
      </c>
      <c r="B444" s="1112" t="s">
        <v>1649</v>
      </c>
      <c r="C444" s="1030">
        <v>1982</v>
      </c>
      <c r="D444" s="1030"/>
      <c r="E444" s="1114" t="s">
        <v>218</v>
      </c>
      <c r="F444" s="1116">
        <v>12</v>
      </c>
      <c r="G444" s="1116">
        <v>2</v>
      </c>
      <c r="H444" s="1023">
        <v>4588.8</v>
      </c>
      <c r="I444" s="1023">
        <v>3914.4</v>
      </c>
      <c r="J444" s="1023">
        <f>I444-74.4</f>
        <v>3840</v>
      </c>
      <c r="K444" s="1009">
        <v>146</v>
      </c>
      <c r="L444" s="985">
        <v>3730855.05</v>
      </c>
      <c r="M444" s="986">
        <v>0</v>
      </c>
      <c r="N444" s="986">
        <v>0</v>
      </c>
      <c r="O444" s="985">
        <f t="shared" ref="O444" si="125">L444</f>
        <v>3730855.05</v>
      </c>
      <c r="P444" s="993">
        <v>0</v>
      </c>
      <c r="Q444" s="986">
        <v>0</v>
      </c>
      <c r="R444" s="987">
        <v>2025</v>
      </c>
      <c r="S444" s="987">
        <v>2025</v>
      </c>
    </row>
    <row r="445" spans="1:19" s="1019" customFormat="1" ht="42.6" customHeight="1">
      <c r="A445" s="1114"/>
      <c r="B445" s="1426" t="s">
        <v>1033</v>
      </c>
      <c r="C445" s="1426"/>
      <c r="D445" s="1426"/>
      <c r="E445" s="1426"/>
      <c r="F445" s="1426"/>
      <c r="G445" s="1426"/>
      <c r="H445" s="1023">
        <f>H446</f>
        <v>717</v>
      </c>
      <c r="I445" s="1023">
        <f t="shared" ref="I445:Q445" si="126">I446</f>
        <v>717</v>
      </c>
      <c r="J445" s="1023">
        <f t="shared" si="126"/>
        <v>442</v>
      </c>
      <c r="K445" s="1023">
        <f t="shared" si="126"/>
        <v>74</v>
      </c>
      <c r="L445" s="1023">
        <f t="shared" si="126"/>
        <v>4434126.26</v>
      </c>
      <c r="M445" s="1023">
        <f t="shared" si="126"/>
        <v>0</v>
      </c>
      <c r="N445" s="1023">
        <f t="shared" si="126"/>
        <v>0</v>
      </c>
      <c r="O445" s="1023">
        <f t="shared" si="126"/>
        <v>4434126.26</v>
      </c>
      <c r="P445" s="1023">
        <f t="shared" si="126"/>
        <v>0</v>
      </c>
      <c r="Q445" s="1023">
        <f t="shared" si="126"/>
        <v>0</v>
      </c>
      <c r="R445" s="991" t="s">
        <v>40</v>
      </c>
      <c r="S445" s="991" t="s">
        <v>40</v>
      </c>
    </row>
    <row r="446" spans="1:19" s="1019" customFormat="1" ht="42.6" customHeight="1">
      <c r="A446" s="1114">
        <v>67</v>
      </c>
      <c r="B446" s="1112" t="s">
        <v>2000</v>
      </c>
      <c r="C446" s="1030">
        <v>1967</v>
      </c>
      <c r="D446" s="1030"/>
      <c r="E446" s="1114" t="s">
        <v>218</v>
      </c>
      <c r="F446" s="1116">
        <v>2</v>
      </c>
      <c r="G446" s="1116">
        <v>3</v>
      </c>
      <c r="H446" s="1023">
        <v>717</v>
      </c>
      <c r="I446" s="1023">
        <v>717</v>
      </c>
      <c r="J446" s="1023">
        <v>442</v>
      </c>
      <c r="K446" s="1009">
        <v>74</v>
      </c>
      <c r="L446" s="985">
        <v>4434126.26</v>
      </c>
      <c r="M446" s="986">
        <v>0</v>
      </c>
      <c r="N446" s="986">
        <v>0</v>
      </c>
      <c r="O446" s="985">
        <v>4434126.26</v>
      </c>
      <c r="P446" s="993">
        <v>0</v>
      </c>
      <c r="Q446" s="986">
        <v>0</v>
      </c>
      <c r="R446" s="987">
        <v>2025</v>
      </c>
      <c r="S446" s="987">
        <v>2025</v>
      </c>
    </row>
    <row r="447" spans="1:19" s="1019" customFormat="1" ht="40.15" customHeight="1">
      <c r="A447" s="1114"/>
      <c r="B447" s="1427" t="s">
        <v>1030</v>
      </c>
      <c r="C447" s="1426"/>
      <c r="D447" s="1426"/>
      <c r="E447" s="1426"/>
      <c r="F447" s="1426"/>
      <c r="G447" s="1426"/>
      <c r="H447" s="993">
        <f>H448</f>
        <v>573.79999999999995</v>
      </c>
      <c r="I447" s="993">
        <f t="shared" ref="I447:Q447" si="127">I448</f>
        <v>573.79999999999995</v>
      </c>
      <c r="J447" s="993">
        <f t="shared" si="127"/>
        <v>573.79999999999995</v>
      </c>
      <c r="K447" s="987">
        <f t="shared" si="127"/>
        <v>16</v>
      </c>
      <c r="L447" s="993">
        <f t="shared" si="127"/>
        <v>5536808.29</v>
      </c>
      <c r="M447" s="993">
        <f t="shared" si="127"/>
        <v>0</v>
      </c>
      <c r="N447" s="993">
        <f t="shared" si="127"/>
        <v>0</v>
      </c>
      <c r="O447" s="993">
        <f t="shared" si="127"/>
        <v>5536808.29</v>
      </c>
      <c r="P447" s="993">
        <f t="shared" si="127"/>
        <v>0</v>
      </c>
      <c r="Q447" s="993">
        <f t="shared" si="127"/>
        <v>0</v>
      </c>
      <c r="R447" s="991" t="s">
        <v>40</v>
      </c>
      <c r="S447" s="991" t="s">
        <v>40</v>
      </c>
    </row>
    <row r="448" spans="1:19" s="1019" customFormat="1" ht="37.9" customHeight="1">
      <c r="A448" s="1114">
        <v>68</v>
      </c>
      <c r="B448" s="1112" t="s">
        <v>1440</v>
      </c>
      <c r="C448" s="1116">
        <v>1956</v>
      </c>
      <c r="D448" s="1030"/>
      <c r="E448" s="1114" t="s">
        <v>220</v>
      </c>
      <c r="F448" s="1030">
        <v>2</v>
      </c>
      <c r="G448" s="1030">
        <v>2</v>
      </c>
      <c r="H448" s="993">
        <v>573.79999999999995</v>
      </c>
      <c r="I448" s="993">
        <v>573.79999999999995</v>
      </c>
      <c r="J448" s="993">
        <v>573.79999999999995</v>
      </c>
      <c r="K448" s="987">
        <v>16</v>
      </c>
      <c r="L448" s="985">
        <v>5536808.29</v>
      </c>
      <c r="M448" s="986">
        <v>0</v>
      </c>
      <c r="N448" s="986">
        <v>0</v>
      </c>
      <c r="O448" s="985">
        <v>5536808.29</v>
      </c>
      <c r="P448" s="993">
        <v>0</v>
      </c>
      <c r="Q448" s="986">
        <v>0</v>
      </c>
      <c r="R448" s="987">
        <v>2025</v>
      </c>
      <c r="S448" s="987">
        <v>2025</v>
      </c>
    </row>
    <row r="449" spans="1:19" s="1019" customFormat="1" ht="39" customHeight="1">
      <c r="A449" s="1114"/>
      <c r="B449" s="1427" t="s">
        <v>1032</v>
      </c>
      <c r="C449" s="1426"/>
      <c r="D449" s="1426"/>
      <c r="E449" s="1426"/>
      <c r="F449" s="1426"/>
      <c r="G449" s="1426"/>
      <c r="H449" s="985">
        <f>H450</f>
        <v>418.8</v>
      </c>
      <c r="I449" s="985">
        <f t="shared" ref="I449:Q449" si="128">I450</f>
        <v>380.2</v>
      </c>
      <c r="J449" s="985">
        <f t="shared" si="128"/>
        <v>380.2</v>
      </c>
      <c r="K449" s="1030">
        <f t="shared" si="128"/>
        <v>16</v>
      </c>
      <c r="L449" s="985">
        <f t="shared" si="128"/>
        <v>1309575.52</v>
      </c>
      <c r="M449" s="985">
        <f t="shared" si="128"/>
        <v>0</v>
      </c>
      <c r="N449" s="985">
        <f t="shared" si="128"/>
        <v>0</v>
      </c>
      <c r="O449" s="985">
        <f t="shared" si="128"/>
        <v>1309575.52</v>
      </c>
      <c r="P449" s="985">
        <f t="shared" si="128"/>
        <v>0</v>
      </c>
      <c r="Q449" s="985">
        <f t="shared" si="128"/>
        <v>0</v>
      </c>
      <c r="R449" s="1037" t="s">
        <v>40</v>
      </c>
      <c r="S449" s="991" t="s">
        <v>40</v>
      </c>
    </row>
    <row r="450" spans="1:19" s="1019" customFormat="1" ht="40.15" customHeight="1">
      <c r="A450" s="1114">
        <v>69</v>
      </c>
      <c r="B450" s="1112" t="s">
        <v>1597</v>
      </c>
      <c r="C450" s="1114">
        <v>1950</v>
      </c>
      <c r="D450" s="1116"/>
      <c r="E450" s="1114" t="s">
        <v>218</v>
      </c>
      <c r="F450" s="1114">
        <v>2</v>
      </c>
      <c r="G450" s="1114">
        <v>1</v>
      </c>
      <c r="H450" s="993">
        <v>418.8</v>
      </c>
      <c r="I450" s="993">
        <v>380.2</v>
      </c>
      <c r="J450" s="993">
        <v>380.2</v>
      </c>
      <c r="K450" s="987">
        <v>16</v>
      </c>
      <c r="L450" s="993">
        <v>1309575.52</v>
      </c>
      <c r="M450" s="993">
        <v>0</v>
      </c>
      <c r="N450" s="993">
        <v>0</v>
      </c>
      <c r="O450" s="993">
        <f>L450</f>
        <v>1309575.52</v>
      </c>
      <c r="P450" s="993">
        <v>0</v>
      </c>
      <c r="Q450" s="993">
        <v>0</v>
      </c>
      <c r="R450" s="987">
        <v>2025</v>
      </c>
      <c r="S450" s="987">
        <v>2025</v>
      </c>
    </row>
    <row r="451" spans="1:19" s="1019" customFormat="1" ht="39.6" customHeight="1">
      <c r="A451" s="1114"/>
      <c r="B451" s="1426" t="s">
        <v>1096</v>
      </c>
      <c r="C451" s="1426"/>
      <c r="D451" s="1426"/>
      <c r="E451" s="1426"/>
      <c r="F451" s="1426"/>
      <c r="G451" s="1426"/>
      <c r="H451" s="993">
        <f>H452</f>
        <v>525.1</v>
      </c>
      <c r="I451" s="993">
        <f t="shared" ref="I451:Q451" si="129">I452</f>
        <v>525.1</v>
      </c>
      <c r="J451" s="993">
        <f t="shared" si="129"/>
        <v>294.89999999999998</v>
      </c>
      <c r="K451" s="987">
        <f t="shared" si="129"/>
        <v>34</v>
      </c>
      <c r="L451" s="993">
        <f t="shared" si="129"/>
        <v>3365746.23</v>
      </c>
      <c r="M451" s="993">
        <f t="shared" si="129"/>
        <v>0</v>
      </c>
      <c r="N451" s="993">
        <f t="shared" si="129"/>
        <v>1623368.24</v>
      </c>
      <c r="O451" s="993">
        <f t="shared" si="129"/>
        <v>1742377.99</v>
      </c>
      <c r="P451" s="993">
        <f t="shared" si="129"/>
        <v>0</v>
      </c>
      <c r="Q451" s="993">
        <f t="shared" si="129"/>
        <v>0</v>
      </c>
      <c r="R451" s="1037" t="s">
        <v>40</v>
      </c>
      <c r="S451" s="991" t="s">
        <v>40</v>
      </c>
    </row>
    <row r="452" spans="1:19" s="992" customFormat="1" ht="44.45" customHeight="1">
      <c r="A452" s="1114">
        <v>70</v>
      </c>
      <c r="B452" s="1112" t="s">
        <v>1712</v>
      </c>
      <c r="C452" s="1114">
        <v>1967</v>
      </c>
      <c r="D452" s="1116"/>
      <c r="E452" s="1114" t="s">
        <v>218</v>
      </c>
      <c r="F452" s="1114">
        <v>2</v>
      </c>
      <c r="G452" s="1114">
        <v>2</v>
      </c>
      <c r="H452" s="993">
        <v>525.1</v>
      </c>
      <c r="I452" s="993">
        <v>525.1</v>
      </c>
      <c r="J452" s="993">
        <v>294.89999999999998</v>
      </c>
      <c r="K452" s="987">
        <v>34</v>
      </c>
      <c r="L452" s="993">
        <v>3365746.23</v>
      </c>
      <c r="M452" s="993">
        <v>0</v>
      </c>
      <c r="N452" s="993">
        <v>1623368.24</v>
      </c>
      <c r="O452" s="993">
        <v>1742377.99</v>
      </c>
      <c r="P452" s="993">
        <v>0</v>
      </c>
      <c r="Q452" s="993">
        <v>0</v>
      </c>
      <c r="R452" s="987">
        <v>2025</v>
      </c>
      <c r="S452" s="987">
        <v>2025</v>
      </c>
    </row>
    <row r="453" spans="1:19" s="988" customFormat="1" ht="36" customHeight="1">
      <c r="A453" s="1114"/>
      <c r="B453" s="1426" t="s">
        <v>1099</v>
      </c>
      <c r="C453" s="1426"/>
      <c r="D453" s="1426"/>
      <c r="E453" s="1426"/>
      <c r="F453" s="1426"/>
      <c r="G453" s="1426"/>
      <c r="H453" s="985">
        <f>H454</f>
        <v>1910.1</v>
      </c>
      <c r="I453" s="985">
        <f t="shared" ref="I453:Q453" si="130">I454</f>
        <v>1765.5</v>
      </c>
      <c r="J453" s="985">
        <f t="shared" si="130"/>
        <v>1765.5</v>
      </c>
      <c r="K453" s="1030">
        <f t="shared" si="130"/>
        <v>68</v>
      </c>
      <c r="L453" s="985">
        <f t="shared" si="130"/>
        <v>12301343.630000001</v>
      </c>
      <c r="M453" s="985">
        <f t="shared" si="130"/>
        <v>0</v>
      </c>
      <c r="N453" s="985">
        <f t="shared" si="130"/>
        <v>0</v>
      </c>
      <c r="O453" s="985">
        <f t="shared" si="130"/>
        <v>12301343.630000001</v>
      </c>
      <c r="P453" s="985">
        <f t="shared" si="130"/>
        <v>0</v>
      </c>
      <c r="Q453" s="985">
        <f t="shared" si="130"/>
        <v>0</v>
      </c>
      <c r="R453" s="991" t="s">
        <v>40</v>
      </c>
      <c r="S453" s="991" t="s">
        <v>40</v>
      </c>
    </row>
    <row r="454" spans="1:19" s="992" customFormat="1" ht="44.45" customHeight="1">
      <c r="A454" s="1114">
        <v>71</v>
      </c>
      <c r="B454" s="1112" t="s">
        <v>1558</v>
      </c>
      <c r="C454" s="1114">
        <v>1982</v>
      </c>
      <c r="D454" s="1114"/>
      <c r="E454" s="1114" t="s">
        <v>218</v>
      </c>
      <c r="F454" s="1116">
        <v>3</v>
      </c>
      <c r="G454" s="1116">
        <v>3</v>
      </c>
      <c r="H454" s="985">
        <v>1910.1</v>
      </c>
      <c r="I454" s="985">
        <v>1765.5</v>
      </c>
      <c r="J454" s="985">
        <v>1765.5</v>
      </c>
      <c r="K454" s="1030">
        <v>68</v>
      </c>
      <c r="L454" s="985">
        <v>12301343.630000001</v>
      </c>
      <c r="M454" s="985">
        <v>0</v>
      </c>
      <c r="N454" s="985">
        <v>0</v>
      </c>
      <c r="O454" s="985">
        <v>12301343.630000001</v>
      </c>
      <c r="P454" s="993">
        <v>0</v>
      </c>
      <c r="Q454" s="985">
        <v>0</v>
      </c>
      <c r="R454" s="987">
        <v>2025</v>
      </c>
      <c r="S454" s="987">
        <v>2025</v>
      </c>
    </row>
    <row r="455" spans="1:19" s="988" customFormat="1" ht="43.15" customHeight="1">
      <c r="A455" s="1114"/>
      <c r="B455" s="1426" t="s">
        <v>55</v>
      </c>
      <c r="C455" s="1426"/>
      <c r="D455" s="1426"/>
      <c r="E455" s="1426"/>
      <c r="F455" s="1426"/>
      <c r="G455" s="1426"/>
      <c r="H455" s="985">
        <f>H456</f>
        <v>4475.1000000000004</v>
      </c>
      <c r="I455" s="985">
        <f t="shared" ref="I455:S456" si="131">I456</f>
        <v>4432.7</v>
      </c>
      <c r="J455" s="985">
        <f t="shared" si="131"/>
        <v>4398.1000000000004</v>
      </c>
      <c r="K455" s="1030">
        <f t="shared" si="131"/>
        <v>148</v>
      </c>
      <c r="L455" s="986">
        <f t="shared" si="131"/>
        <v>11676241.529999999</v>
      </c>
      <c r="M455" s="986">
        <f t="shared" si="131"/>
        <v>0</v>
      </c>
      <c r="N455" s="986">
        <f t="shared" si="131"/>
        <v>0</v>
      </c>
      <c r="O455" s="986">
        <f t="shared" si="131"/>
        <v>11676241.529999999</v>
      </c>
      <c r="P455" s="993">
        <v>0</v>
      </c>
      <c r="Q455" s="986">
        <f t="shared" si="131"/>
        <v>0</v>
      </c>
      <c r="R455" s="991" t="str">
        <f t="shared" si="131"/>
        <v>Х</v>
      </c>
      <c r="S455" s="991" t="str">
        <f t="shared" si="131"/>
        <v>Х</v>
      </c>
    </row>
    <row r="456" spans="1:19" s="988" customFormat="1" ht="44.45" customHeight="1">
      <c r="A456" s="1114"/>
      <c r="B456" s="1426" t="s">
        <v>1034</v>
      </c>
      <c r="C456" s="1426"/>
      <c r="D456" s="1426"/>
      <c r="E456" s="1426"/>
      <c r="F456" s="1426"/>
      <c r="G456" s="1426"/>
      <c r="H456" s="985">
        <f>H457</f>
        <v>4475.1000000000004</v>
      </c>
      <c r="I456" s="985">
        <f t="shared" si="131"/>
        <v>4432.7</v>
      </c>
      <c r="J456" s="985">
        <f t="shared" si="131"/>
        <v>4398.1000000000004</v>
      </c>
      <c r="K456" s="985">
        <f t="shared" si="131"/>
        <v>148</v>
      </c>
      <c r="L456" s="985">
        <f t="shared" si="131"/>
        <v>11676241.529999999</v>
      </c>
      <c r="M456" s="985">
        <f t="shared" si="131"/>
        <v>0</v>
      </c>
      <c r="N456" s="985">
        <f t="shared" si="131"/>
        <v>0</v>
      </c>
      <c r="O456" s="985">
        <f t="shared" si="131"/>
        <v>11676241.529999999</v>
      </c>
      <c r="P456" s="985">
        <f t="shared" si="131"/>
        <v>0</v>
      </c>
      <c r="Q456" s="985">
        <f t="shared" si="131"/>
        <v>0</v>
      </c>
      <c r="R456" s="991" t="s">
        <v>40</v>
      </c>
      <c r="S456" s="991" t="s">
        <v>40</v>
      </c>
    </row>
    <row r="457" spans="1:19" s="988" customFormat="1" ht="42" customHeight="1">
      <c r="A457" s="1114">
        <v>72</v>
      </c>
      <c r="B457" s="1112" t="s">
        <v>1544</v>
      </c>
      <c r="C457" s="1016" t="s">
        <v>1545</v>
      </c>
      <c r="D457" s="1116"/>
      <c r="E457" s="1114" t="s">
        <v>218</v>
      </c>
      <c r="F457" s="1116">
        <v>5</v>
      </c>
      <c r="G457" s="1116">
        <v>6</v>
      </c>
      <c r="H457" s="985">
        <v>4475.1000000000004</v>
      </c>
      <c r="I457" s="985">
        <v>4432.7</v>
      </c>
      <c r="J457" s="985">
        <v>4398.1000000000004</v>
      </c>
      <c r="K457" s="1030">
        <v>148</v>
      </c>
      <c r="L457" s="986">
        <v>11676241.529999999</v>
      </c>
      <c r="M457" s="986">
        <v>0</v>
      </c>
      <c r="N457" s="986">
        <v>0</v>
      </c>
      <c r="O457" s="986">
        <v>11676241.529999999</v>
      </c>
      <c r="P457" s="993">
        <v>0</v>
      </c>
      <c r="Q457" s="986">
        <v>0</v>
      </c>
      <c r="R457" s="987">
        <v>2025</v>
      </c>
      <c r="S457" s="987">
        <v>2025</v>
      </c>
    </row>
    <row r="458" spans="1:19" s="1002" customFormat="1" ht="41.25" customHeight="1">
      <c r="A458" s="1114"/>
      <c r="B458" s="1426" t="s">
        <v>1119</v>
      </c>
      <c r="C458" s="1426"/>
      <c r="D458" s="1426"/>
      <c r="E458" s="1426"/>
      <c r="F458" s="1426"/>
      <c r="G458" s="1426"/>
      <c r="H458" s="985">
        <f>H459+H460+H461</f>
        <v>5761.6</v>
      </c>
      <c r="I458" s="985">
        <f t="shared" ref="I458:Q458" si="132">I459+I460+I461</f>
        <v>5761.6</v>
      </c>
      <c r="J458" s="985">
        <f t="shared" si="132"/>
        <v>5231.7</v>
      </c>
      <c r="K458" s="985">
        <f t="shared" si="132"/>
        <v>254</v>
      </c>
      <c r="L458" s="985">
        <f t="shared" si="132"/>
        <v>19861037.490000002</v>
      </c>
      <c r="M458" s="985">
        <f t="shared" si="132"/>
        <v>0</v>
      </c>
      <c r="N458" s="985">
        <f t="shared" si="132"/>
        <v>0</v>
      </c>
      <c r="O458" s="985">
        <f t="shared" si="132"/>
        <v>19861037.490000002</v>
      </c>
      <c r="P458" s="985">
        <f t="shared" si="132"/>
        <v>0</v>
      </c>
      <c r="Q458" s="985">
        <f t="shared" si="132"/>
        <v>0</v>
      </c>
      <c r="R458" s="991" t="s">
        <v>40</v>
      </c>
      <c r="S458" s="991" t="s">
        <v>40</v>
      </c>
    </row>
    <row r="459" spans="1:19" s="1002" customFormat="1" ht="44.45" customHeight="1">
      <c r="A459" s="1114">
        <v>73</v>
      </c>
      <c r="B459" s="1112" t="s">
        <v>1495</v>
      </c>
      <c r="C459" s="1114">
        <v>1969</v>
      </c>
      <c r="D459" s="1114"/>
      <c r="E459" s="1114" t="s">
        <v>219</v>
      </c>
      <c r="F459" s="1116">
        <v>5</v>
      </c>
      <c r="G459" s="1116">
        <v>6</v>
      </c>
      <c r="H459" s="985">
        <v>4385.6000000000004</v>
      </c>
      <c r="I459" s="985">
        <v>4385.6000000000004</v>
      </c>
      <c r="J459" s="985">
        <v>4214.1000000000004</v>
      </c>
      <c r="K459" s="1030">
        <v>192</v>
      </c>
      <c r="L459" s="985">
        <v>6372188.9100000001</v>
      </c>
      <c r="M459" s="985">
        <v>0</v>
      </c>
      <c r="N459" s="985">
        <v>0</v>
      </c>
      <c r="O459" s="985">
        <v>6372188.9100000001</v>
      </c>
      <c r="P459" s="993">
        <v>0</v>
      </c>
      <c r="Q459" s="985">
        <v>0</v>
      </c>
      <c r="R459" s="987">
        <v>2025</v>
      </c>
      <c r="S459" s="987">
        <v>2025</v>
      </c>
    </row>
    <row r="460" spans="1:19" s="1011" customFormat="1" ht="41.25" customHeight="1">
      <c r="A460" s="1114">
        <v>74</v>
      </c>
      <c r="B460" s="1112" t="s">
        <v>1496</v>
      </c>
      <c r="C460" s="1114">
        <v>1958</v>
      </c>
      <c r="D460" s="1114"/>
      <c r="E460" s="1114" t="s">
        <v>218</v>
      </c>
      <c r="F460" s="1114">
        <v>2</v>
      </c>
      <c r="G460" s="1114">
        <v>3</v>
      </c>
      <c r="H460" s="985">
        <v>988.1</v>
      </c>
      <c r="I460" s="985">
        <v>988.1</v>
      </c>
      <c r="J460" s="985">
        <v>629.70000000000005</v>
      </c>
      <c r="K460" s="1030">
        <v>38</v>
      </c>
      <c r="L460" s="986">
        <v>9932151.3900000006</v>
      </c>
      <c r="M460" s="986">
        <v>0</v>
      </c>
      <c r="N460" s="986">
        <v>0</v>
      </c>
      <c r="O460" s="986">
        <v>9932151.3900000006</v>
      </c>
      <c r="P460" s="993">
        <v>0</v>
      </c>
      <c r="Q460" s="986">
        <v>0</v>
      </c>
      <c r="R460" s="987">
        <v>2025</v>
      </c>
      <c r="S460" s="987">
        <v>2025</v>
      </c>
    </row>
    <row r="461" spans="1:19" s="1011" customFormat="1" ht="41.25" customHeight="1">
      <c r="A461" s="1114">
        <v>75</v>
      </c>
      <c r="B461" s="1112" t="s">
        <v>1497</v>
      </c>
      <c r="C461" s="1114">
        <v>1938</v>
      </c>
      <c r="D461" s="1116"/>
      <c r="E461" s="1114" t="s">
        <v>218</v>
      </c>
      <c r="F461" s="1116">
        <v>2</v>
      </c>
      <c r="G461" s="1116">
        <v>2</v>
      </c>
      <c r="H461" s="985">
        <v>387.9</v>
      </c>
      <c r="I461" s="985">
        <v>387.9</v>
      </c>
      <c r="J461" s="985">
        <v>387.9</v>
      </c>
      <c r="K461" s="1030">
        <v>24</v>
      </c>
      <c r="L461" s="986">
        <v>3556697.19</v>
      </c>
      <c r="M461" s="986">
        <v>0</v>
      </c>
      <c r="N461" s="986">
        <v>0</v>
      </c>
      <c r="O461" s="986">
        <f>L461</f>
        <v>3556697.19</v>
      </c>
      <c r="P461" s="993">
        <v>0</v>
      </c>
      <c r="Q461" s="986">
        <v>0</v>
      </c>
      <c r="R461" s="987">
        <v>2025</v>
      </c>
      <c r="S461" s="987">
        <v>2025</v>
      </c>
    </row>
    <row r="462" spans="1:19" s="1011" customFormat="1" ht="52.5" customHeight="1">
      <c r="A462" s="1114"/>
      <c r="B462" s="1426" t="s">
        <v>1066</v>
      </c>
      <c r="C462" s="1426"/>
      <c r="D462" s="1426"/>
      <c r="E462" s="1426"/>
      <c r="F462" s="1426"/>
      <c r="G462" s="1426"/>
      <c r="H462" s="985">
        <f>H463+H464</f>
        <v>1342.4</v>
      </c>
      <c r="I462" s="985">
        <f t="shared" ref="I462:Q462" si="133">I463+I464</f>
        <v>827.59999999999991</v>
      </c>
      <c r="J462" s="985">
        <f t="shared" si="133"/>
        <v>827.59999999999991</v>
      </c>
      <c r="K462" s="1030">
        <f t="shared" si="133"/>
        <v>39</v>
      </c>
      <c r="L462" s="985">
        <f t="shared" si="133"/>
        <v>9279219.4399999995</v>
      </c>
      <c r="M462" s="985">
        <f t="shared" si="133"/>
        <v>0</v>
      </c>
      <c r="N462" s="985">
        <f t="shared" si="133"/>
        <v>0</v>
      </c>
      <c r="O462" s="985">
        <f t="shared" si="133"/>
        <v>9279219.4399999995</v>
      </c>
      <c r="P462" s="985">
        <f t="shared" si="133"/>
        <v>0</v>
      </c>
      <c r="Q462" s="985">
        <f t="shared" si="133"/>
        <v>0</v>
      </c>
      <c r="R462" s="991" t="s">
        <v>40</v>
      </c>
      <c r="S462" s="991" t="s">
        <v>40</v>
      </c>
    </row>
    <row r="463" spans="1:19" s="1011" customFormat="1" ht="41.25" customHeight="1">
      <c r="A463" s="1114">
        <v>76</v>
      </c>
      <c r="B463" s="1111" t="s">
        <v>1991</v>
      </c>
      <c r="C463" s="1114">
        <v>1961</v>
      </c>
      <c r="D463" s="1112"/>
      <c r="E463" s="1114" t="s">
        <v>218</v>
      </c>
      <c r="F463" s="1116">
        <v>2</v>
      </c>
      <c r="G463" s="1116">
        <v>2</v>
      </c>
      <c r="H463" s="985">
        <v>689.1</v>
      </c>
      <c r="I463" s="985">
        <v>413.4</v>
      </c>
      <c r="J463" s="985">
        <v>413.4</v>
      </c>
      <c r="K463" s="1030">
        <v>16</v>
      </c>
      <c r="L463" s="986">
        <v>4343184.76</v>
      </c>
      <c r="M463" s="986">
        <v>0</v>
      </c>
      <c r="N463" s="986">
        <v>0</v>
      </c>
      <c r="O463" s="985">
        <v>4343184.76</v>
      </c>
      <c r="P463" s="993">
        <v>0</v>
      </c>
      <c r="Q463" s="986">
        <v>0</v>
      </c>
      <c r="R463" s="987">
        <v>2025</v>
      </c>
      <c r="S463" s="987">
        <v>2025</v>
      </c>
    </row>
    <row r="464" spans="1:19" s="1011" customFormat="1" ht="41.25" customHeight="1">
      <c r="A464" s="1114">
        <v>77</v>
      </c>
      <c r="B464" s="1111" t="s">
        <v>1992</v>
      </c>
      <c r="C464" s="1114">
        <v>1958</v>
      </c>
      <c r="D464" s="1112"/>
      <c r="E464" s="1114" t="s">
        <v>218</v>
      </c>
      <c r="F464" s="1116">
        <v>2</v>
      </c>
      <c r="G464" s="1116">
        <v>2</v>
      </c>
      <c r="H464" s="985">
        <v>653.29999999999995</v>
      </c>
      <c r="I464" s="985">
        <v>414.2</v>
      </c>
      <c r="J464" s="985">
        <v>414.2</v>
      </c>
      <c r="K464" s="1030">
        <v>23</v>
      </c>
      <c r="L464" s="986">
        <v>4936034.68</v>
      </c>
      <c r="M464" s="986">
        <v>0</v>
      </c>
      <c r="N464" s="986">
        <v>0</v>
      </c>
      <c r="O464" s="985">
        <v>4936034.68</v>
      </c>
      <c r="P464" s="993">
        <v>0</v>
      </c>
      <c r="Q464" s="986">
        <v>0</v>
      </c>
      <c r="R464" s="987">
        <v>2025</v>
      </c>
      <c r="S464" s="987">
        <v>2025</v>
      </c>
    </row>
    <row r="465" spans="1:19" s="1011" customFormat="1" ht="41.25" customHeight="1">
      <c r="A465" s="1114"/>
      <c r="B465" s="1426" t="s">
        <v>1050</v>
      </c>
      <c r="C465" s="1426"/>
      <c r="D465" s="1426"/>
      <c r="E465" s="1426"/>
      <c r="F465" s="1426"/>
      <c r="G465" s="1426"/>
      <c r="H465" s="985">
        <f>SUM(H466:H470)</f>
        <v>13807.21</v>
      </c>
      <c r="I465" s="985">
        <f t="shared" ref="I465:Q465" si="134">SUM(I466:I470)</f>
        <v>13807.21</v>
      </c>
      <c r="J465" s="985">
        <f t="shared" si="134"/>
        <v>11750.11</v>
      </c>
      <c r="K465" s="1030">
        <f t="shared" si="134"/>
        <v>451</v>
      </c>
      <c r="L465" s="985">
        <f t="shared" si="134"/>
        <v>29816233.869999997</v>
      </c>
      <c r="M465" s="985">
        <f t="shared" si="134"/>
        <v>0</v>
      </c>
      <c r="N465" s="985">
        <f t="shared" si="134"/>
        <v>0</v>
      </c>
      <c r="O465" s="985">
        <f t="shared" si="134"/>
        <v>29816233.869999997</v>
      </c>
      <c r="P465" s="985">
        <f t="shared" si="134"/>
        <v>0</v>
      </c>
      <c r="Q465" s="985">
        <f t="shared" si="134"/>
        <v>0</v>
      </c>
      <c r="R465" s="991" t="s">
        <v>40</v>
      </c>
      <c r="S465" s="991" t="s">
        <v>40</v>
      </c>
    </row>
    <row r="466" spans="1:19" s="1011" customFormat="1" ht="41.25" customHeight="1">
      <c r="A466" s="1114">
        <v>78</v>
      </c>
      <c r="B466" s="1113" t="s">
        <v>1374</v>
      </c>
      <c r="C466" s="1116">
        <v>1988</v>
      </c>
      <c r="D466" s="1116"/>
      <c r="E466" s="1114" t="s">
        <v>218</v>
      </c>
      <c r="F466" s="1116">
        <v>5</v>
      </c>
      <c r="G466" s="1116">
        <v>4</v>
      </c>
      <c r="H466" s="1180">
        <v>3075.4</v>
      </c>
      <c r="I466" s="1180">
        <v>3075.4</v>
      </c>
      <c r="J466" s="1180">
        <v>2779.2</v>
      </c>
      <c r="K466" s="1009">
        <v>102</v>
      </c>
      <c r="L466" s="985">
        <v>6281589.0599999996</v>
      </c>
      <c r="M466" s="985">
        <v>0</v>
      </c>
      <c r="N466" s="985">
        <v>0</v>
      </c>
      <c r="O466" s="1152">
        <f>L466</f>
        <v>6281589.0599999996</v>
      </c>
      <c r="P466" s="1024">
        <v>0</v>
      </c>
      <c r="Q466" s="985">
        <v>0</v>
      </c>
      <c r="R466" s="1116">
        <v>2025</v>
      </c>
      <c r="S466" s="1116">
        <v>2025</v>
      </c>
    </row>
    <row r="467" spans="1:19" s="1002" customFormat="1" ht="41.25" customHeight="1">
      <c r="A467" s="1114">
        <v>79</v>
      </c>
      <c r="B467" s="1113" t="s">
        <v>1375</v>
      </c>
      <c r="C467" s="1116">
        <v>1983</v>
      </c>
      <c r="D467" s="1116"/>
      <c r="E467" s="1114" t="s">
        <v>218</v>
      </c>
      <c r="F467" s="1116">
        <v>5</v>
      </c>
      <c r="G467" s="1116">
        <v>4</v>
      </c>
      <c r="H467" s="1180">
        <v>3063.9</v>
      </c>
      <c r="I467" s="1180">
        <v>3063.9</v>
      </c>
      <c r="J467" s="1180">
        <v>2786.3</v>
      </c>
      <c r="K467" s="1009">
        <v>123</v>
      </c>
      <c r="L467" s="985">
        <v>7201525.9299999997</v>
      </c>
      <c r="M467" s="985">
        <v>0</v>
      </c>
      <c r="N467" s="985">
        <v>0</v>
      </c>
      <c r="O467" s="1152">
        <f t="shared" ref="O467:O470" si="135">L467</f>
        <v>7201525.9299999997</v>
      </c>
      <c r="P467" s="1024">
        <v>0</v>
      </c>
      <c r="Q467" s="985">
        <v>0</v>
      </c>
      <c r="R467" s="1116">
        <v>2025</v>
      </c>
      <c r="S467" s="1116">
        <v>2025</v>
      </c>
    </row>
    <row r="468" spans="1:19" s="1002" customFormat="1" ht="41.25" customHeight="1">
      <c r="A468" s="1114">
        <v>80</v>
      </c>
      <c r="B468" s="1113" t="s">
        <v>1377</v>
      </c>
      <c r="C468" s="1116">
        <v>1974</v>
      </c>
      <c r="D468" s="1118"/>
      <c r="E468" s="1114" t="s">
        <v>219</v>
      </c>
      <c r="F468" s="1116">
        <v>2</v>
      </c>
      <c r="G468" s="1116">
        <v>2</v>
      </c>
      <c r="H468" s="1180">
        <v>388.61</v>
      </c>
      <c r="I468" s="1180">
        <v>388.61</v>
      </c>
      <c r="J468" s="1180">
        <v>340.61</v>
      </c>
      <c r="K468" s="1009">
        <v>19</v>
      </c>
      <c r="L468" s="985">
        <v>2787687.46</v>
      </c>
      <c r="M468" s="985">
        <v>0</v>
      </c>
      <c r="N468" s="985">
        <v>0</v>
      </c>
      <c r="O468" s="1152">
        <f t="shared" si="135"/>
        <v>2787687.46</v>
      </c>
      <c r="P468" s="1024">
        <v>0</v>
      </c>
      <c r="Q468" s="985">
        <v>0</v>
      </c>
      <c r="R468" s="1116">
        <v>2025</v>
      </c>
      <c r="S468" s="1116">
        <v>2025</v>
      </c>
    </row>
    <row r="469" spans="1:19" s="1002" customFormat="1" ht="41.25" customHeight="1">
      <c r="A469" s="1114">
        <v>81</v>
      </c>
      <c r="B469" s="1113" t="s">
        <v>1376</v>
      </c>
      <c r="C469" s="1116">
        <v>1983</v>
      </c>
      <c r="D469" s="1118"/>
      <c r="E469" s="1114" t="s">
        <v>219</v>
      </c>
      <c r="F469" s="1116">
        <v>3</v>
      </c>
      <c r="G469" s="1116">
        <v>3</v>
      </c>
      <c r="H469" s="1180">
        <v>1383</v>
      </c>
      <c r="I469" s="1180">
        <v>1383</v>
      </c>
      <c r="J469" s="1180">
        <v>1349.4</v>
      </c>
      <c r="K469" s="1009">
        <v>34</v>
      </c>
      <c r="L469" s="1018">
        <v>3929477.7699999996</v>
      </c>
      <c r="M469" s="985">
        <v>0</v>
      </c>
      <c r="N469" s="985">
        <v>0</v>
      </c>
      <c r="O469" s="1152">
        <f t="shared" si="135"/>
        <v>3929477.7699999996</v>
      </c>
      <c r="P469" s="985">
        <v>0</v>
      </c>
      <c r="Q469" s="985">
        <v>0</v>
      </c>
      <c r="R469" s="1116">
        <v>2025</v>
      </c>
      <c r="S469" s="1116">
        <v>2025</v>
      </c>
    </row>
    <row r="470" spans="1:19" s="1002" customFormat="1" ht="41.25" customHeight="1">
      <c r="A470" s="1114">
        <v>82</v>
      </c>
      <c r="B470" s="1113" t="s">
        <v>1378</v>
      </c>
      <c r="C470" s="1116">
        <v>1968</v>
      </c>
      <c r="D470" s="1016">
        <v>2019</v>
      </c>
      <c r="E470" s="1114" t="s">
        <v>218</v>
      </c>
      <c r="F470" s="1116">
        <v>5</v>
      </c>
      <c r="G470" s="1116">
        <v>6</v>
      </c>
      <c r="H470" s="1180">
        <v>5896.3</v>
      </c>
      <c r="I470" s="1180">
        <v>5896.3</v>
      </c>
      <c r="J470" s="1180">
        <v>4494.6000000000004</v>
      </c>
      <c r="K470" s="1009">
        <v>173</v>
      </c>
      <c r="L470" s="985">
        <v>9615953.6500000004</v>
      </c>
      <c r="M470" s="985">
        <v>0</v>
      </c>
      <c r="N470" s="985">
        <v>0</v>
      </c>
      <c r="O470" s="1152">
        <f t="shared" si="135"/>
        <v>9615953.6500000004</v>
      </c>
      <c r="P470" s="985">
        <v>0</v>
      </c>
      <c r="Q470" s="985">
        <v>0</v>
      </c>
      <c r="R470" s="1116">
        <v>2025</v>
      </c>
      <c r="S470" s="1116">
        <v>2025</v>
      </c>
    </row>
    <row r="471" spans="1:19" s="1002" customFormat="1" ht="41.25" customHeight="1">
      <c r="A471" s="1114"/>
      <c r="B471" s="1426" t="s">
        <v>1118</v>
      </c>
      <c r="C471" s="1426"/>
      <c r="D471" s="1426"/>
      <c r="E471" s="1426"/>
      <c r="F471" s="1426"/>
      <c r="G471" s="1426"/>
      <c r="H471" s="985">
        <f>H472</f>
        <v>1523.1</v>
      </c>
      <c r="I471" s="985">
        <f t="shared" ref="I471:Q471" si="136">I472</f>
        <v>1379.4</v>
      </c>
      <c r="J471" s="985">
        <f t="shared" si="136"/>
        <v>1293.9000000000001</v>
      </c>
      <c r="K471" s="990">
        <f t="shared" si="136"/>
        <v>47</v>
      </c>
      <c r="L471" s="985">
        <f t="shared" si="136"/>
        <v>6789799.4800000004</v>
      </c>
      <c r="M471" s="985">
        <f t="shared" si="136"/>
        <v>0</v>
      </c>
      <c r="N471" s="985">
        <f t="shared" si="136"/>
        <v>0</v>
      </c>
      <c r="O471" s="985">
        <f t="shared" si="136"/>
        <v>6789799.4800000004</v>
      </c>
      <c r="P471" s="985">
        <f t="shared" si="136"/>
        <v>0</v>
      </c>
      <c r="Q471" s="985">
        <f t="shared" si="136"/>
        <v>0</v>
      </c>
      <c r="R471" s="991" t="s">
        <v>40</v>
      </c>
      <c r="S471" s="991" t="s">
        <v>40</v>
      </c>
    </row>
    <row r="472" spans="1:19" s="1010" customFormat="1" ht="41.25" customHeight="1">
      <c r="A472" s="1114">
        <v>83</v>
      </c>
      <c r="B472" s="1112" t="s">
        <v>1478</v>
      </c>
      <c r="C472" s="1116">
        <v>1980</v>
      </c>
      <c r="D472" s="1116"/>
      <c r="E472" s="1114" t="s">
        <v>219</v>
      </c>
      <c r="F472" s="1116">
        <v>3</v>
      </c>
      <c r="G472" s="1116">
        <v>3</v>
      </c>
      <c r="H472" s="985">
        <v>1523.1</v>
      </c>
      <c r="I472" s="985">
        <v>1379.4</v>
      </c>
      <c r="J472" s="985">
        <v>1293.9000000000001</v>
      </c>
      <c r="K472" s="1030">
        <v>47</v>
      </c>
      <c r="L472" s="986">
        <v>6789799.4800000004</v>
      </c>
      <c r="M472" s="986">
        <v>0</v>
      </c>
      <c r="N472" s="986">
        <v>0</v>
      </c>
      <c r="O472" s="986">
        <v>6789799.4800000004</v>
      </c>
      <c r="P472" s="993">
        <v>0</v>
      </c>
      <c r="Q472" s="986">
        <v>0</v>
      </c>
      <c r="R472" s="987">
        <v>2025</v>
      </c>
      <c r="S472" s="987">
        <v>2025</v>
      </c>
    </row>
    <row r="473" spans="1:19" s="1010" customFormat="1" ht="41.25" customHeight="1">
      <c r="A473" s="1114"/>
      <c r="B473" s="1112" t="s">
        <v>2005</v>
      </c>
      <c r="C473" s="1116"/>
      <c r="D473" s="1116"/>
      <c r="E473" s="1114"/>
      <c r="F473" s="1116"/>
      <c r="G473" s="1116"/>
      <c r="H473" s="985">
        <f>H474</f>
        <v>626</v>
      </c>
      <c r="I473" s="985">
        <f t="shared" ref="I473:Q473" si="137">I474</f>
        <v>576.79999999999995</v>
      </c>
      <c r="J473" s="985">
        <f t="shared" si="137"/>
        <v>576.79999999999995</v>
      </c>
      <c r="K473" s="985">
        <f t="shared" si="137"/>
        <v>18</v>
      </c>
      <c r="L473" s="985">
        <f t="shared" si="137"/>
        <v>5436503.79</v>
      </c>
      <c r="M473" s="985">
        <f t="shared" si="137"/>
        <v>0</v>
      </c>
      <c r="N473" s="985">
        <f t="shared" si="137"/>
        <v>0</v>
      </c>
      <c r="O473" s="985">
        <f t="shared" si="137"/>
        <v>5436503.79</v>
      </c>
      <c r="P473" s="985">
        <f t="shared" si="137"/>
        <v>0</v>
      </c>
      <c r="Q473" s="985">
        <f t="shared" si="137"/>
        <v>0</v>
      </c>
      <c r="R473" s="991" t="s">
        <v>40</v>
      </c>
      <c r="S473" s="991" t="s">
        <v>40</v>
      </c>
    </row>
    <row r="474" spans="1:19" s="1010" customFormat="1" ht="41.25" customHeight="1">
      <c r="A474" s="1114">
        <v>84</v>
      </c>
      <c r="B474" s="1112" t="s">
        <v>2007</v>
      </c>
      <c r="C474" s="1116">
        <v>1981</v>
      </c>
      <c r="D474" s="1116"/>
      <c r="E474" s="1114" t="s">
        <v>218</v>
      </c>
      <c r="F474" s="1116">
        <v>2</v>
      </c>
      <c r="G474" s="1116">
        <v>2</v>
      </c>
      <c r="H474" s="985">
        <v>626</v>
      </c>
      <c r="I474" s="985">
        <v>576.79999999999995</v>
      </c>
      <c r="J474" s="985">
        <v>576.79999999999995</v>
      </c>
      <c r="K474" s="1030">
        <v>18</v>
      </c>
      <c r="L474" s="986">
        <v>5436503.79</v>
      </c>
      <c r="M474" s="986">
        <v>0</v>
      </c>
      <c r="N474" s="986">
        <v>0</v>
      </c>
      <c r="O474" s="986">
        <v>5436503.79</v>
      </c>
      <c r="P474" s="993">
        <v>0</v>
      </c>
      <c r="Q474" s="986">
        <v>0</v>
      </c>
      <c r="R474" s="987">
        <v>2025</v>
      </c>
      <c r="S474" s="987">
        <v>2025</v>
      </c>
    </row>
    <row r="475" spans="1:19" s="1002" customFormat="1" ht="41.25" customHeight="1">
      <c r="A475" s="1114"/>
      <c r="B475" s="1426" t="s">
        <v>1100</v>
      </c>
      <c r="C475" s="1426"/>
      <c r="D475" s="1426"/>
      <c r="E475" s="1426"/>
      <c r="F475" s="1426"/>
      <c r="G475" s="1426"/>
      <c r="H475" s="985">
        <f>H476</f>
        <v>575.4</v>
      </c>
      <c r="I475" s="985">
        <f t="shared" ref="I475:Q475" si="138">I476</f>
        <v>575.4</v>
      </c>
      <c r="J475" s="985">
        <f t="shared" si="138"/>
        <v>464.2</v>
      </c>
      <c r="K475" s="985">
        <f t="shared" si="138"/>
        <v>22</v>
      </c>
      <c r="L475" s="985">
        <f t="shared" si="138"/>
        <v>4511094.49</v>
      </c>
      <c r="M475" s="985">
        <f t="shared" si="138"/>
        <v>0</v>
      </c>
      <c r="N475" s="985">
        <f t="shared" si="138"/>
        <v>0</v>
      </c>
      <c r="O475" s="985">
        <f t="shared" si="138"/>
        <v>4511094.49</v>
      </c>
      <c r="P475" s="985">
        <f t="shared" si="138"/>
        <v>0</v>
      </c>
      <c r="Q475" s="985">
        <f t="shared" si="138"/>
        <v>0</v>
      </c>
      <c r="R475" s="991" t="s">
        <v>40</v>
      </c>
      <c r="S475" s="991" t="s">
        <v>40</v>
      </c>
    </row>
    <row r="476" spans="1:19" s="1010" customFormat="1" ht="41.25" customHeight="1">
      <c r="A476" s="1114">
        <v>85</v>
      </c>
      <c r="B476" s="1112" t="s">
        <v>1697</v>
      </c>
      <c r="C476" s="1116">
        <v>1975</v>
      </c>
      <c r="D476" s="1116"/>
      <c r="E476" s="1114" t="s">
        <v>218</v>
      </c>
      <c r="F476" s="1116">
        <v>2</v>
      </c>
      <c r="G476" s="1116">
        <v>2</v>
      </c>
      <c r="H476" s="985">
        <v>575.4</v>
      </c>
      <c r="I476" s="985">
        <v>575.4</v>
      </c>
      <c r="J476" s="985">
        <v>464.2</v>
      </c>
      <c r="K476" s="1030">
        <v>22</v>
      </c>
      <c r="L476" s="985">
        <v>4511094.49</v>
      </c>
      <c r="M476" s="985">
        <v>0</v>
      </c>
      <c r="N476" s="985">
        <v>0</v>
      </c>
      <c r="O476" s="985">
        <v>4511094.49</v>
      </c>
      <c r="P476" s="993">
        <v>0</v>
      </c>
      <c r="Q476" s="985">
        <v>0</v>
      </c>
      <c r="R476" s="987">
        <v>2025</v>
      </c>
      <c r="S476" s="987">
        <v>2025</v>
      </c>
    </row>
    <row r="477" spans="1:19" s="1010" customFormat="1" ht="41.25" customHeight="1">
      <c r="A477" s="1114"/>
      <c r="B477" s="1029" t="s">
        <v>1117</v>
      </c>
      <c r="C477" s="1030"/>
      <c r="D477" s="1031"/>
      <c r="E477" s="1114"/>
      <c r="F477" s="987"/>
      <c r="G477" s="987"/>
      <c r="H477" s="993">
        <f>H478+H479</f>
        <v>1365.8000000000002</v>
      </c>
      <c r="I477" s="993">
        <f t="shared" ref="I477:Q477" si="139">I478+I479</f>
        <v>1365.8000000000002</v>
      </c>
      <c r="J477" s="993">
        <f t="shared" si="139"/>
        <v>748.09999999999991</v>
      </c>
      <c r="K477" s="993">
        <f t="shared" si="139"/>
        <v>51</v>
      </c>
      <c r="L477" s="993">
        <f t="shared" si="139"/>
        <v>5751075.0700000003</v>
      </c>
      <c r="M477" s="993">
        <f t="shared" si="139"/>
        <v>0</v>
      </c>
      <c r="N477" s="993">
        <f t="shared" si="139"/>
        <v>0</v>
      </c>
      <c r="O477" s="993">
        <f t="shared" si="139"/>
        <v>5751075.0700000003</v>
      </c>
      <c r="P477" s="993">
        <f t="shared" si="139"/>
        <v>0</v>
      </c>
      <c r="Q477" s="993">
        <f t="shared" si="139"/>
        <v>0</v>
      </c>
      <c r="R477" s="991" t="s">
        <v>40</v>
      </c>
      <c r="S477" s="991" t="s">
        <v>40</v>
      </c>
    </row>
    <row r="478" spans="1:19" s="1002" customFormat="1" ht="47.45" customHeight="1">
      <c r="A478" s="1114">
        <v>86</v>
      </c>
      <c r="B478" s="1029" t="s">
        <v>1357</v>
      </c>
      <c r="C478" s="1030">
        <v>1975</v>
      </c>
      <c r="D478" s="1031"/>
      <c r="E478" s="1114" t="s">
        <v>218</v>
      </c>
      <c r="F478" s="987">
        <v>2</v>
      </c>
      <c r="G478" s="987">
        <v>2</v>
      </c>
      <c r="H478" s="993">
        <v>517.1</v>
      </c>
      <c r="I478" s="993">
        <v>517.1</v>
      </c>
      <c r="J478" s="993">
        <v>293.7</v>
      </c>
      <c r="K478" s="987">
        <v>21</v>
      </c>
      <c r="L478" s="986">
        <v>2173815.4500000002</v>
      </c>
      <c r="M478" s="986">
        <v>0</v>
      </c>
      <c r="N478" s="986">
        <v>0</v>
      </c>
      <c r="O478" s="986">
        <v>2173815.4500000002</v>
      </c>
      <c r="P478" s="993">
        <v>0</v>
      </c>
      <c r="Q478" s="986">
        <v>0</v>
      </c>
      <c r="R478" s="987">
        <v>2025</v>
      </c>
      <c r="S478" s="987">
        <v>2025</v>
      </c>
    </row>
    <row r="479" spans="1:19" s="1002" customFormat="1" ht="41.25" customHeight="1">
      <c r="A479" s="1114">
        <v>87</v>
      </c>
      <c r="B479" s="1029" t="s">
        <v>1358</v>
      </c>
      <c r="C479" s="1030">
        <v>1978</v>
      </c>
      <c r="D479" s="1031"/>
      <c r="E479" s="1114" t="s">
        <v>218</v>
      </c>
      <c r="F479" s="987">
        <v>2</v>
      </c>
      <c r="G479" s="987">
        <v>2</v>
      </c>
      <c r="H479" s="993">
        <v>848.7</v>
      </c>
      <c r="I479" s="993">
        <v>848.7</v>
      </c>
      <c r="J479" s="993">
        <v>454.4</v>
      </c>
      <c r="K479" s="987">
        <v>30</v>
      </c>
      <c r="L479" s="986">
        <v>3577259.62</v>
      </c>
      <c r="M479" s="986">
        <v>0</v>
      </c>
      <c r="N479" s="986">
        <v>0</v>
      </c>
      <c r="O479" s="986">
        <v>3577259.62</v>
      </c>
      <c r="P479" s="993">
        <v>0</v>
      </c>
      <c r="Q479" s="986">
        <v>0</v>
      </c>
      <c r="R479" s="987">
        <v>2025</v>
      </c>
      <c r="S479" s="987">
        <v>2025</v>
      </c>
    </row>
    <row r="480" spans="1:19" s="1002" customFormat="1" ht="41.25" customHeight="1">
      <c r="A480" s="1114"/>
      <c r="B480" s="1426" t="s">
        <v>1245</v>
      </c>
      <c r="C480" s="1426"/>
      <c r="D480" s="1426"/>
      <c r="E480" s="1426"/>
      <c r="F480" s="1426"/>
      <c r="G480" s="1426"/>
      <c r="H480" s="985">
        <f t="shared" ref="H480:Q480" si="140">SUM(H481:H481)</f>
        <v>4269.6000000000004</v>
      </c>
      <c r="I480" s="985">
        <f t="shared" si="140"/>
        <v>4269.6000000000004</v>
      </c>
      <c r="J480" s="985">
        <f t="shared" si="140"/>
        <v>4136.8999999999996</v>
      </c>
      <c r="K480" s="985">
        <f t="shared" si="140"/>
        <v>173</v>
      </c>
      <c r="L480" s="985">
        <f t="shared" si="140"/>
        <v>7602256</v>
      </c>
      <c r="M480" s="985">
        <f t="shared" si="140"/>
        <v>0</v>
      </c>
      <c r="N480" s="985">
        <f t="shared" si="140"/>
        <v>0</v>
      </c>
      <c r="O480" s="985">
        <f t="shared" si="140"/>
        <v>7602256</v>
      </c>
      <c r="P480" s="985">
        <f t="shared" si="140"/>
        <v>0</v>
      </c>
      <c r="Q480" s="985">
        <f t="shared" si="140"/>
        <v>0</v>
      </c>
      <c r="R480" s="991" t="s">
        <v>40</v>
      </c>
      <c r="S480" s="991" t="s">
        <v>40</v>
      </c>
    </row>
    <row r="481" spans="1:19" s="1002" customFormat="1" ht="41.25" customHeight="1">
      <c r="A481" s="1114">
        <v>88</v>
      </c>
      <c r="B481" s="1111" t="s">
        <v>1510</v>
      </c>
      <c r="C481" s="1116">
        <v>1984</v>
      </c>
      <c r="D481" s="1116"/>
      <c r="E481" s="1114" t="s">
        <v>218</v>
      </c>
      <c r="F481" s="1116">
        <v>5</v>
      </c>
      <c r="G481" s="1116">
        <v>6</v>
      </c>
      <c r="H481" s="985">
        <v>4269.6000000000004</v>
      </c>
      <c r="I481" s="985">
        <v>4269.6000000000004</v>
      </c>
      <c r="J481" s="985">
        <v>4136.8999999999996</v>
      </c>
      <c r="K481" s="1030">
        <v>173</v>
      </c>
      <c r="L481" s="986">
        <v>7602256</v>
      </c>
      <c r="M481" s="986">
        <v>0</v>
      </c>
      <c r="N481" s="986">
        <v>0</v>
      </c>
      <c r="O481" s="986">
        <f>L481</f>
        <v>7602256</v>
      </c>
      <c r="P481" s="993">
        <v>0</v>
      </c>
      <c r="Q481" s="986">
        <v>0</v>
      </c>
      <c r="R481" s="987">
        <v>2025</v>
      </c>
      <c r="S481" s="987">
        <v>2025</v>
      </c>
    </row>
    <row r="482" spans="1:19" s="1002" customFormat="1" ht="41.25" customHeight="1">
      <c r="A482" s="1114"/>
      <c r="B482" s="1426" t="s">
        <v>1053</v>
      </c>
      <c r="C482" s="1426"/>
      <c r="D482" s="1426"/>
      <c r="E482" s="1426"/>
      <c r="F482" s="1426"/>
      <c r="G482" s="1426"/>
      <c r="H482" s="985">
        <f t="shared" ref="H482:Q482" si="141">SUM(H483:H487)</f>
        <v>12860.269999999999</v>
      </c>
      <c r="I482" s="985">
        <f t="shared" si="141"/>
        <v>12190.869999999999</v>
      </c>
      <c r="J482" s="985">
        <f t="shared" si="141"/>
        <v>10374.07</v>
      </c>
      <c r="K482" s="1030">
        <f t="shared" si="141"/>
        <v>498</v>
      </c>
      <c r="L482" s="985">
        <f t="shared" si="141"/>
        <v>26406023.920000002</v>
      </c>
      <c r="M482" s="985">
        <f t="shared" si="141"/>
        <v>0</v>
      </c>
      <c r="N482" s="985">
        <f t="shared" si="141"/>
        <v>0</v>
      </c>
      <c r="O482" s="985">
        <f t="shared" si="141"/>
        <v>26406023.920000002</v>
      </c>
      <c r="P482" s="985">
        <f t="shared" si="141"/>
        <v>0</v>
      </c>
      <c r="Q482" s="985">
        <f t="shared" si="141"/>
        <v>0</v>
      </c>
      <c r="R482" s="991" t="s">
        <v>40</v>
      </c>
      <c r="S482" s="1116" t="s">
        <v>40</v>
      </c>
    </row>
    <row r="483" spans="1:19" s="1002" customFormat="1" ht="41.25" customHeight="1">
      <c r="A483" s="1022">
        <v>89</v>
      </c>
      <c r="B483" s="1138" t="s">
        <v>1689</v>
      </c>
      <c r="C483" s="1022">
        <v>1984</v>
      </c>
      <c r="D483" s="1155"/>
      <c r="E483" s="1114" t="s">
        <v>218</v>
      </c>
      <c r="F483" s="1022">
        <v>2</v>
      </c>
      <c r="G483" s="1022">
        <v>3</v>
      </c>
      <c r="H483" s="1025">
        <v>959.4</v>
      </c>
      <c r="I483" s="1025">
        <v>959.4</v>
      </c>
      <c r="J483" s="1025">
        <v>523.4</v>
      </c>
      <c r="K483" s="1156">
        <v>51</v>
      </c>
      <c r="L483" s="1025">
        <v>3495643.92</v>
      </c>
      <c r="M483" s="1157">
        <v>0</v>
      </c>
      <c r="N483" s="1157">
        <v>0</v>
      </c>
      <c r="O483" s="1025">
        <f t="shared" ref="O483" si="142">L483</f>
        <v>3495643.92</v>
      </c>
      <c r="P483" s="1157">
        <v>0</v>
      </c>
      <c r="Q483" s="1157">
        <v>0</v>
      </c>
      <c r="R483" s="987">
        <v>2025</v>
      </c>
      <c r="S483" s="987">
        <v>2025</v>
      </c>
    </row>
    <row r="484" spans="1:19" s="1002" customFormat="1" ht="41.25" customHeight="1">
      <c r="A484" s="1022">
        <v>90</v>
      </c>
      <c r="B484" s="1138" t="s">
        <v>1690</v>
      </c>
      <c r="C484" s="1022">
        <v>1973</v>
      </c>
      <c r="D484" s="1155"/>
      <c r="E484" s="1114" t="s">
        <v>218</v>
      </c>
      <c r="F484" s="1022">
        <v>2</v>
      </c>
      <c r="G484" s="1022">
        <v>1</v>
      </c>
      <c r="H484" s="1025">
        <v>860.8</v>
      </c>
      <c r="I484" s="1025">
        <v>860.8</v>
      </c>
      <c r="J484" s="1025">
        <v>641.79999999999995</v>
      </c>
      <c r="K484" s="1156">
        <v>36</v>
      </c>
      <c r="L484" s="1025">
        <v>2636326.46</v>
      </c>
      <c r="M484" s="1157">
        <v>0</v>
      </c>
      <c r="N484" s="1157">
        <v>0</v>
      </c>
      <c r="O484" s="1025">
        <f>L484</f>
        <v>2636326.46</v>
      </c>
      <c r="P484" s="1157">
        <v>0</v>
      </c>
      <c r="Q484" s="1157">
        <v>0</v>
      </c>
      <c r="R484" s="987">
        <v>2025</v>
      </c>
      <c r="S484" s="987">
        <v>2025</v>
      </c>
    </row>
    <row r="485" spans="1:19" s="1002" customFormat="1" ht="41.25" customHeight="1">
      <c r="A485" s="1022">
        <v>91</v>
      </c>
      <c r="B485" s="1138" t="s">
        <v>1691</v>
      </c>
      <c r="C485" s="1022">
        <v>1978</v>
      </c>
      <c r="D485" s="1155"/>
      <c r="E485" s="1114" t="s">
        <v>218</v>
      </c>
      <c r="F485" s="1022">
        <v>2</v>
      </c>
      <c r="G485" s="1022">
        <v>2</v>
      </c>
      <c r="H485" s="1025">
        <v>812.6</v>
      </c>
      <c r="I485" s="1025">
        <v>812.6</v>
      </c>
      <c r="J485" s="1025">
        <v>430.4</v>
      </c>
      <c r="K485" s="1156">
        <v>33</v>
      </c>
      <c r="L485" s="1025">
        <v>6880888.5599999996</v>
      </c>
      <c r="M485" s="1157">
        <v>0</v>
      </c>
      <c r="N485" s="1157">
        <v>0</v>
      </c>
      <c r="O485" s="1025">
        <v>6880888.5599999996</v>
      </c>
      <c r="P485" s="1157">
        <v>0</v>
      </c>
      <c r="Q485" s="1157">
        <v>0</v>
      </c>
      <c r="R485" s="987">
        <v>2025</v>
      </c>
      <c r="S485" s="987">
        <v>2025</v>
      </c>
    </row>
    <row r="486" spans="1:19" s="1002" customFormat="1" ht="41.25" customHeight="1">
      <c r="A486" s="1022">
        <v>92</v>
      </c>
      <c r="B486" s="1138" t="s">
        <v>1692</v>
      </c>
      <c r="C486" s="1022">
        <v>1988</v>
      </c>
      <c r="D486" s="1155"/>
      <c r="E486" s="1114" t="s">
        <v>219</v>
      </c>
      <c r="F486" s="1022">
        <v>9</v>
      </c>
      <c r="G486" s="1022">
        <v>2</v>
      </c>
      <c r="H486" s="1025">
        <v>5111.8999999999996</v>
      </c>
      <c r="I486" s="1025">
        <v>4442.5</v>
      </c>
      <c r="J486" s="1025">
        <v>4442.5</v>
      </c>
      <c r="K486" s="1156">
        <v>201</v>
      </c>
      <c r="L486" s="1025">
        <v>6696582.4900000002</v>
      </c>
      <c r="M486" s="1157">
        <v>0</v>
      </c>
      <c r="N486" s="1157">
        <v>0</v>
      </c>
      <c r="O486" s="1025">
        <f>L486</f>
        <v>6696582.4900000002</v>
      </c>
      <c r="P486" s="1157">
        <v>0</v>
      </c>
      <c r="Q486" s="1157">
        <v>0</v>
      </c>
      <c r="R486" s="987">
        <v>2025</v>
      </c>
      <c r="S486" s="987">
        <v>2025</v>
      </c>
    </row>
    <row r="487" spans="1:19" s="1002" customFormat="1" ht="41.25" customHeight="1">
      <c r="A487" s="1022">
        <v>93</v>
      </c>
      <c r="B487" s="1138" t="s">
        <v>1693</v>
      </c>
      <c r="C487" s="1022">
        <v>1982</v>
      </c>
      <c r="D487" s="1155"/>
      <c r="E487" s="1114" t="s">
        <v>219</v>
      </c>
      <c r="F487" s="1022">
        <v>9</v>
      </c>
      <c r="G487" s="1022">
        <v>2</v>
      </c>
      <c r="H487" s="1025">
        <v>5115.57</v>
      </c>
      <c r="I487" s="1025">
        <v>5115.57</v>
      </c>
      <c r="J487" s="1025">
        <v>4335.97</v>
      </c>
      <c r="K487" s="1156">
        <v>177</v>
      </c>
      <c r="L487" s="1025">
        <v>6696582.4900000002</v>
      </c>
      <c r="M487" s="1157">
        <v>0</v>
      </c>
      <c r="N487" s="1157">
        <v>0</v>
      </c>
      <c r="O487" s="1025">
        <f t="shared" ref="O487" si="143">L487</f>
        <v>6696582.4900000002</v>
      </c>
      <c r="P487" s="1157">
        <v>0</v>
      </c>
      <c r="Q487" s="1157">
        <v>0</v>
      </c>
      <c r="R487" s="987">
        <v>2025</v>
      </c>
      <c r="S487" s="987">
        <v>2025</v>
      </c>
    </row>
    <row r="488" spans="1:19" s="1002" customFormat="1" ht="48" customHeight="1">
      <c r="A488" s="1114"/>
      <c r="B488" s="1426" t="s">
        <v>67</v>
      </c>
      <c r="C488" s="1426"/>
      <c r="D488" s="1426"/>
      <c r="E488" s="1426"/>
      <c r="F488" s="1426"/>
      <c r="G488" s="1426"/>
      <c r="H488" s="985">
        <f t="shared" ref="H488:Q488" si="144">H489+H491</f>
        <v>3519</v>
      </c>
      <c r="I488" s="985">
        <f t="shared" si="144"/>
        <v>3519</v>
      </c>
      <c r="J488" s="985">
        <f t="shared" si="144"/>
        <v>2938.4</v>
      </c>
      <c r="K488" s="985">
        <f t="shared" si="144"/>
        <v>91</v>
      </c>
      <c r="L488" s="985">
        <f t="shared" si="144"/>
        <v>10675920.870000001</v>
      </c>
      <c r="M488" s="985">
        <f t="shared" si="144"/>
        <v>0</v>
      </c>
      <c r="N488" s="985">
        <f t="shared" si="144"/>
        <v>74590.539999999994</v>
      </c>
      <c r="O488" s="985">
        <f t="shared" si="144"/>
        <v>10601330.33</v>
      </c>
      <c r="P488" s="985">
        <f t="shared" si="144"/>
        <v>0</v>
      </c>
      <c r="Q488" s="985">
        <f t="shared" si="144"/>
        <v>0</v>
      </c>
      <c r="R488" s="991" t="s">
        <v>40</v>
      </c>
      <c r="S488" s="1116" t="s">
        <v>40</v>
      </c>
    </row>
    <row r="489" spans="1:19" s="1002" customFormat="1" ht="41.25" customHeight="1">
      <c r="A489" s="1114"/>
      <c r="B489" s="1428" t="s">
        <v>1081</v>
      </c>
      <c r="C489" s="1428"/>
      <c r="D489" s="1428"/>
      <c r="E489" s="1428"/>
      <c r="F489" s="1428"/>
      <c r="G489" s="1428"/>
      <c r="H489" s="985">
        <f>H490</f>
        <v>1928.4</v>
      </c>
      <c r="I489" s="985">
        <f t="shared" ref="I489:Q489" si="145">I490</f>
        <v>1928.4</v>
      </c>
      <c r="J489" s="985">
        <f t="shared" si="145"/>
        <v>1697.4</v>
      </c>
      <c r="K489" s="985">
        <f t="shared" si="145"/>
        <v>50</v>
      </c>
      <c r="L489" s="985">
        <f t="shared" si="145"/>
        <v>7121619.3600000003</v>
      </c>
      <c r="M489" s="985">
        <f t="shared" si="145"/>
        <v>0</v>
      </c>
      <c r="N489" s="985">
        <f t="shared" si="145"/>
        <v>74590.539999999994</v>
      </c>
      <c r="O489" s="985">
        <f t="shared" si="145"/>
        <v>7047028.8200000003</v>
      </c>
      <c r="P489" s="985">
        <f t="shared" si="145"/>
        <v>0</v>
      </c>
      <c r="Q489" s="985">
        <f t="shared" si="145"/>
        <v>0</v>
      </c>
      <c r="R489" s="991" t="s">
        <v>40</v>
      </c>
      <c r="S489" s="1116" t="s">
        <v>40</v>
      </c>
    </row>
    <row r="490" spans="1:19" s="1002" customFormat="1" ht="42" customHeight="1">
      <c r="A490" s="1114">
        <v>94</v>
      </c>
      <c r="B490" s="1112" t="s">
        <v>1351</v>
      </c>
      <c r="C490" s="1114">
        <v>1994</v>
      </c>
      <c r="D490" s="1114"/>
      <c r="E490" s="1114" t="s">
        <v>220</v>
      </c>
      <c r="F490" s="1114">
        <v>4</v>
      </c>
      <c r="G490" s="1114">
        <v>2</v>
      </c>
      <c r="H490" s="993">
        <v>1928.4</v>
      </c>
      <c r="I490" s="993">
        <v>1928.4</v>
      </c>
      <c r="J490" s="993">
        <v>1697.4</v>
      </c>
      <c r="K490" s="987">
        <v>50</v>
      </c>
      <c r="L490" s="993">
        <v>7121619.3600000003</v>
      </c>
      <c r="M490" s="993">
        <v>0</v>
      </c>
      <c r="N490" s="993">
        <v>74590.539999999994</v>
      </c>
      <c r="O490" s="993">
        <v>7047028.8200000003</v>
      </c>
      <c r="P490" s="993">
        <v>0</v>
      </c>
      <c r="Q490" s="993">
        <v>0</v>
      </c>
      <c r="R490" s="987">
        <v>2025</v>
      </c>
      <c r="S490" s="987">
        <v>2025</v>
      </c>
    </row>
    <row r="491" spans="1:19" s="1002" customFormat="1" ht="41.25" customHeight="1">
      <c r="A491" s="1114"/>
      <c r="B491" s="1428" t="s">
        <v>1065</v>
      </c>
      <c r="C491" s="1428"/>
      <c r="D491" s="1428"/>
      <c r="E491" s="1428"/>
      <c r="F491" s="1428"/>
      <c r="G491" s="1428"/>
      <c r="H491" s="985">
        <f>H492+H493</f>
        <v>1590.6</v>
      </c>
      <c r="I491" s="985">
        <f t="shared" ref="I491:Q491" si="146">I492+I493</f>
        <v>1590.6</v>
      </c>
      <c r="J491" s="985">
        <f t="shared" si="146"/>
        <v>1241</v>
      </c>
      <c r="K491" s="1030">
        <f t="shared" si="146"/>
        <v>41</v>
      </c>
      <c r="L491" s="985">
        <f t="shared" si="146"/>
        <v>3554301.51</v>
      </c>
      <c r="M491" s="985">
        <f t="shared" si="146"/>
        <v>0</v>
      </c>
      <c r="N491" s="985">
        <f t="shared" si="146"/>
        <v>0</v>
      </c>
      <c r="O491" s="985">
        <f t="shared" si="146"/>
        <v>3554301.51</v>
      </c>
      <c r="P491" s="985">
        <f t="shared" si="146"/>
        <v>0</v>
      </c>
      <c r="Q491" s="985">
        <f t="shared" si="146"/>
        <v>0</v>
      </c>
      <c r="R491" s="991" t="s">
        <v>40</v>
      </c>
      <c r="S491" s="1116" t="s">
        <v>40</v>
      </c>
    </row>
    <row r="492" spans="1:19" s="1002" customFormat="1" ht="41.25" customHeight="1">
      <c r="A492" s="1114">
        <v>95</v>
      </c>
      <c r="B492" s="1112" t="s">
        <v>1349</v>
      </c>
      <c r="C492" s="1114">
        <v>1991</v>
      </c>
      <c r="D492" s="1114"/>
      <c r="E492" s="1114" t="s">
        <v>219</v>
      </c>
      <c r="F492" s="1114">
        <v>3</v>
      </c>
      <c r="G492" s="1114">
        <v>3</v>
      </c>
      <c r="H492" s="993">
        <v>1590.6</v>
      </c>
      <c r="I492" s="993">
        <v>1590.6</v>
      </c>
      <c r="J492" s="993">
        <v>1241</v>
      </c>
      <c r="K492" s="987">
        <v>41</v>
      </c>
      <c r="L492" s="993">
        <v>3554301.51</v>
      </c>
      <c r="M492" s="993">
        <v>0</v>
      </c>
      <c r="N492" s="993">
        <v>0</v>
      </c>
      <c r="O492" s="993">
        <v>3554301.51</v>
      </c>
      <c r="P492" s="993">
        <v>0</v>
      </c>
      <c r="Q492" s="993">
        <v>0</v>
      </c>
      <c r="R492" s="987">
        <v>2025</v>
      </c>
      <c r="S492" s="987">
        <v>2025</v>
      </c>
    </row>
    <row r="493" spans="1:19" s="1002" customFormat="1" ht="41.25" customHeight="1">
      <c r="A493" s="1430" t="s">
        <v>35</v>
      </c>
      <c r="B493" s="1430"/>
      <c r="C493" s="1430"/>
      <c r="D493" s="1430"/>
      <c r="E493" s="1430"/>
      <c r="F493" s="1430"/>
      <c r="G493" s="1430"/>
      <c r="H493" s="1430"/>
      <c r="I493" s="1430"/>
      <c r="J493" s="1430"/>
      <c r="K493" s="1430"/>
      <c r="L493" s="1430"/>
      <c r="M493" s="1430"/>
      <c r="N493" s="1430"/>
      <c r="O493" s="1430"/>
      <c r="P493" s="1430"/>
      <c r="Q493" s="1430"/>
      <c r="R493" s="1430"/>
      <c r="S493" s="1430"/>
    </row>
    <row r="494" spans="1:19" s="1002" customFormat="1" ht="41.25" customHeight="1">
      <c r="A494" s="1114"/>
      <c r="B494" s="1427" t="s">
        <v>42</v>
      </c>
      <c r="C494" s="1427"/>
      <c r="D494" s="1427"/>
      <c r="E494" s="1427"/>
      <c r="F494" s="1427"/>
      <c r="G494" s="1427"/>
      <c r="H494" s="985">
        <v>0</v>
      </c>
      <c r="I494" s="985">
        <v>0</v>
      </c>
      <c r="J494" s="985">
        <v>0</v>
      </c>
      <c r="K494" s="985">
        <v>0</v>
      </c>
      <c r="L494" s="985">
        <v>0</v>
      </c>
      <c r="M494" s="985">
        <v>0</v>
      </c>
      <c r="N494" s="985">
        <v>0</v>
      </c>
      <c r="O494" s="985">
        <v>0</v>
      </c>
      <c r="P494" s="985">
        <v>0</v>
      </c>
      <c r="Q494" s="985">
        <v>0</v>
      </c>
      <c r="R494" s="991" t="s">
        <v>40</v>
      </c>
      <c r="S494" s="991" t="s">
        <v>40</v>
      </c>
    </row>
    <row r="495" spans="1:19" s="1011" customFormat="1" ht="41.25" customHeight="1">
      <c r="A495" s="1430" t="s">
        <v>1051</v>
      </c>
      <c r="B495" s="1430"/>
      <c r="C495" s="1430"/>
      <c r="D495" s="1430"/>
      <c r="E495" s="1430"/>
      <c r="F495" s="1430"/>
      <c r="G495" s="1430"/>
      <c r="H495" s="1430"/>
      <c r="I495" s="1430"/>
      <c r="J495" s="1430"/>
      <c r="K495" s="1430"/>
      <c r="L495" s="1430"/>
      <c r="M495" s="1430"/>
      <c r="N495" s="1430"/>
      <c r="O495" s="1430"/>
      <c r="P495" s="1430"/>
      <c r="Q495" s="1430"/>
      <c r="R495" s="1430"/>
      <c r="S495" s="1430"/>
    </row>
    <row r="496" spans="1:19" s="1011" customFormat="1" ht="41.25" customHeight="1">
      <c r="A496" s="1319"/>
      <c r="B496" s="1427" t="s">
        <v>42</v>
      </c>
      <c r="C496" s="1427"/>
      <c r="D496" s="1427"/>
      <c r="E496" s="1427"/>
      <c r="F496" s="1427"/>
      <c r="G496" s="1427"/>
      <c r="H496" s="985">
        <f>H497</f>
        <v>825.5</v>
      </c>
      <c r="I496" s="985">
        <f t="shared" ref="I496:Q496" si="147">I497</f>
        <v>761.5</v>
      </c>
      <c r="J496" s="985">
        <f t="shared" si="147"/>
        <v>761.5</v>
      </c>
      <c r="K496" s="1030">
        <f t="shared" si="147"/>
        <v>23</v>
      </c>
      <c r="L496" s="985">
        <f t="shared" si="147"/>
        <v>700000</v>
      </c>
      <c r="M496" s="985">
        <f t="shared" si="147"/>
        <v>0</v>
      </c>
      <c r="N496" s="985">
        <f t="shared" si="147"/>
        <v>210000</v>
      </c>
      <c r="O496" s="985">
        <f t="shared" si="147"/>
        <v>490000</v>
      </c>
      <c r="P496" s="985">
        <f t="shared" si="147"/>
        <v>0</v>
      </c>
      <c r="Q496" s="985">
        <f t="shared" si="147"/>
        <v>0</v>
      </c>
      <c r="R496" s="991" t="s">
        <v>40</v>
      </c>
      <c r="S496" s="991" t="s">
        <v>40</v>
      </c>
    </row>
    <row r="497" spans="1:78" s="1011" customFormat="1" ht="41.25" customHeight="1">
      <c r="A497" s="1319"/>
      <c r="B497" s="1428" t="s">
        <v>1115</v>
      </c>
      <c r="C497" s="1428"/>
      <c r="D497" s="1428"/>
      <c r="E497" s="1428"/>
      <c r="F497" s="1428"/>
      <c r="G497" s="1428"/>
      <c r="H497" s="985">
        <f t="shared" ref="H497:Q497" si="148">SUM(H498:H498)</f>
        <v>825.5</v>
      </c>
      <c r="I497" s="985">
        <f t="shared" si="148"/>
        <v>761.5</v>
      </c>
      <c r="J497" s="985">
        <f t="shared" si="148"/>
        <v>761.5</v>
      </c>
      <c r="K497" s="1030">
        <f t="shared" si="148"/>
        <v>23</v>
      </c>
      <c r="L497" s="985">
        <f t="shared" si="148"/>
        <v>700000</v>
      </c>
      <c r="M497" s="985">
        <f t="shared" si="148"/>
        <v>0</v>
      </c>
      <c r="N497" s="985">
        <f t="shared" si="148"/>
        <v>210000</v>
      </c>
      <c r="O497" s="985">
        <f t="shared" si="148"/>
        <v>490000</v>
      </c>
      <c r="P497" s="985">
        <f t="shared" si="148"/>
        <v>0</v>
      </c>
      <c r="Q497" s="985">
        <f t="shared" si="148"/>
        <v>0</v>
      </c>
      <c r="R497" s="991" t="s">
        <v>40</v>
      </c>
      <c r="S497" s="991" t="s">
        <v>40</v>
      </c>
    </row>
    <row r="498" spans="1:78" s="1011" customFormat="1" ht="41.25" customHeight="1">
      <c r="A498" s="1319">
        <v>96</v>
      </c>
      <c r="B498" s="1315" t="s">
        <v>1394</v>
      </c>
      <c r="C498" s="1315">
        <v>1978</v>
      </c>
      <c r="D498" s="987">
        <v>2016</v>
      </c>
      <c r="E498" s="1319" t="s">
        <v>220</v>
      </c>
      <c r="F498" s="1319">
        <v>2</v>
      </c>
      <c r="G498" s="1319">
        <v>2</v>
      </c>
      <c r="H498" s="985">
        <v>825.5</v>
      </c>
      <c r="I498" s="985">
        <v>761.5</v>
      </c>
      <c r="J498" s="985">
        <v>761.5</v>
      </c>
      <c r="K498" s="1030">
        <v>23</v>
      </c>
      <c r="L498" s="985">
        <f>N498+O498</f>
        <v>700000</v>
      </c>
      <c r="M498" s="985">
        <v>0</v>
      </c>
      <c r="N498" s="985">
        <v>210000</v>
      </c>
      <c r="O498" s="985">
        <v>490000</v>
      </c>
      <c r="P498" s="985">
        <v>0</v>
      </c>
      <c r="Q498" s="985">
        <v>0</v>
      </c>
      <c r="R498" s="1030">
        <v>2025</v>
      </c>
      <c r="S498" s="1030">
        <v>2025</v>
      </c>
      <c r="T498" s="1012"/>
      <c r="U498" s="1012"/>
      <c r="V498" s="1012"/>
      <c r="W498" s="1012"/>
      <c r="X498" s="1012"/>
      <c r="Y498" s="1012"/>
      <c r="Z498" s="1012"/>
      <c r="AA498" s="1012"/>
      <c r="AB498" s="1012"/>
      <c r="AC498" s="1012"/>
      <c r="AD498" s="1012"/>
      <c r="AE498" s="1012"/>
      <c r="AF498" s="1012"/>
      <c r="AG498" s="1012"/>
      <c r="AH498" s="1012"/>
      <c r="AI498" s="1012"/>
      <c r="AJ498" s="1012"/>
      <c r="AK498" s="1012"/>
      <c r="AL498" s="1012"/>
      <c r="AM498" s="1012"/>
      <c r="AN498" s="1012"/>
      <c r="AO498" s="1012"/>
      <c r="AP498" s="1012"/>
      <c r="AQ498" s="1012"/>
      <c r="AR498" s="1012"/>
      <c r="AS498" s="1012"/>
      <c r="AT498" s="1012"/>
      <c r="AU498" s="1012"/>
      <c r="AV498" s="1012"/>
      <c r="AW498" s="1012"/>
      <c r="AX498" s="1012"/>
      <c r="AY498" s="1012"/>
      <c r="AZ498" s="1012"/>
      <c r="BA498" s="1012"/>
      <c r="BB498" s="1012"/>
      <c r="BC498" s="1012"/>
      <c r="BD498" s="1012"/>
      <c r="BE498" s="1012"/>
      <c r="BF498" s="1012"/>
      <c r="BG498" s="1012"/>
      <c r="BH498" s="1012"/>
      <c r="BI498" s="1012"/>
      <c r="BJ498" s="1012"/>
      <c r="BK498" s="1012"/>
      <c r="BL498" s="1012"/>
      <c r="BM498" s="1012"/>
      <c r="BN498" s="1012"/>
      <c r="BO498" s="1012"/>
      <c r="BP498" s="1012"/>
      <c r="BQ498" s="1012"/>
      <c r="BR498" s="1012"/>
      <c r="BS498" s="1012"/>
      <c r="BT498" s="1012"/>
      <c r="BU498" s="1012"/>
      <c r="BV498" s="1012"/>
      <c r="BW498" s="1012"/>
      <c r="BX498" s="1012"/>
      <c r="BY498" s="1012"/>
      <c r="BZ498" s="1012"/>
    </row>
    <row r="499" spans="1:78" s="1038" customFormat="1" ht="41.25" customHeight="1" thickBot="1">
      <c r="A499" s="1430" t="s">
        <v>1342</v>
      </c>
      <c r="B499" s="1430"/>
      <c r="C499" s="1430"/>
      <c r="D499" s="1430"/>
      <c r="E499" s="1430"/>
      <c r="F499" s="1430"/>
      <c r="G499" s="1430"/>
      <c r="H499" s="1430"/>
      <c r="I499" s="1430"/>
      <c r="J499" s="1430"/>
      <c r="K499" s="1430"/>
      <c r="L499" s="1430"/>
      <c r="M499" s="1430"/>
      <c r="N499" s="1430"/>
      <c r="O499" s="1430"/>
      <c r="P499" s="1430"/>
      <c r="Q499" s="1430"/>
      <c r="R499" s="1430"/>
      <c r="S499" s="1430"/>
      <c r="T499" s="1012"/>
      <c r="U499" s="1012"/>
      <c r="V499" s="1012"/>
      <c r="W499" s="1012"/>
      <c r="X499" s="1012"/>
      <c r="Y499" s="1012"/>
      <c r="Z499" s="1012"/>
      <c r="AA499" s="1012"/>
      <c r="AB499" s="1012"/>
      <c r="AC499" s="1012"/>
      <c r="AD499" s="1012"/>
      <c r="AE499" s="1012"/>
      <c r="AF499" s="1012"/>
      <c r="AG499" s="1012"/>
      <c r="AH499" s="1012"/>
      <c r="AI499" s="1012"/>
      <c r="AJ499" s="1012"/>
      <c r="AK499" s="1012"/>
      <c r="AL499" s="1012"/>
      <c r="AM499" s="1012"/>
      <c r="AN499" s="1012"/>
      <c r="AO499" s="1012"/>
      <c r="AP499" s="1012"/>
      <c r="AQ499" s="1012"/>
      <c r="AR499" s="1012"/>
      <c r="AS499" s="1012"/>
      <c r="AT499" s="1012"/>
      <c r="AU499" s="1012"/>
      <c r="AV499" s="1012"/>
      <c r="AW499" s="1012"/>
      <c r="AX499" s="1012"/>
      <c r="AY499" s="1012"/>
      <c r="AZ499" s="1012"/>
      <c r="BA499" s="1012"/>
      <c r="BB499" s="1012"/>
      <c r="BC499" s="1012"/>
      <c r="BD499" s="1012"/>
      <c r="BE499" s="1012"/>
      <c r="BF499" s="1012"/>
      <c r="BG499" s="1012"/>
      <c r="BH499" s="1012"/>
      <c r="BI499" s="1012"/>
      <c r="BJ499" s="1012"/>
      <c r="BK499" s="1012"/>
      <c r="BL499" s="1012"/>
      <c r="BM499" s="1012"/>
      <c r="BN499" s="1012"/>
      <c r="BO499" s="1012"/>
      <c r="BP499" s="1012"/>
      <c r="BQ499" s="1012"/>
      <c r="BR499" s="1012"/>
      <c r="BS499" s="1012"/>
      <c r="BT499" s="1012"/>
      <c r="BU499" s="1012"/>
      <c r="BV499" s="1012"/>
      <c r="BW499" s="1012"/>
      <c r="BX499" s="1012"/>
      <c r="BY499" s="1012"/>
      <c r="BZ499" s="1012"/>
    </row>
    <row r="500" spans="1:78" s="1002" customFormat="1" ht="41.25" customHeight="1" thickTop="1">
      <c r="A500" s="1319"/>
      <c r="B500" s="1315" t="s">
        <v>205</v>
      </c>
      <c r="C500" s="1321"/>
      <c r="D500" s="1096"/>
      <c r="E500" s="1319"/>
      <c r="F500" s="1321"/>
      <c r="G500" s="1321"/>
      <c r="H500" s="993">
        <f>H502</f>
        <v>997417.71999999962</v>
      </c>
      <c r="I500" s="993">
        <f t="shared" ref="I500:Q500" si="149">I502</f>
        <v>860915.5199999999</v>
      </c>
      <c r="J500" s="993">
        <f t="shared" si="149"/>
        <v>734865.37999999989</v>
      </c>
      <c r="K500" s="987">
        <f t="shared" si="149"/>
        <v>34912</v>
      </c>
      <c r="L500" s="993">
        <f t="shared" si="149"/>
        <v>1744182941.6983984</v>
      </c>
      <c r="M500" s="993">
        <f t="shared" si="149"/>
        <v>0</v>
      </c>
      <c r="N500" s="993">
        <f t="shared" si="149"/>
        <v>175077.58000000002</v>
      </c>
      <c r="O500" s="993">
        <f t="shared" si="149"/>
        <v>1743671662.0883985</v>
      </c>
      <c r="P500" s="993">
        <f t="shared" si="149"/>
        <v>0</v>
      </c>
      <c r="Q500" s="993">
        <f t="shared" si="149"/>
        <v>0</v>
      </c>
      <c r="R500" s="1321" t="s">
        <v>40</v>
      </c>
      <c r="S500" s="1321" t="s">
        <v>40</v>
      </c>
    </row>
    <row r="501" spans="1:78" s="994" customFormat="1" ht="41.25" customHeight="1">
      <c r="A501" s="1430" t="s">
        <v>1106</v>
      </c>
      <c r="B501" s="1430"/>
      <c r="C501" s="1430"/>
      <c r="D501" s="1430"/>
      <c r="E501" s="1430"/>
      <c r="F501" s="1430"/>
      <c r="G501" s="1430"/>
      <c r="H501" s="1430"/>
      <c r="I501" s="1430"/>
      <c r="J501" s="1430"/>
      <c r="K501" s="1430"/>
      <c r="L501" s="1430"/>
      <c r="M501" s="1430"/>
      <c r="N501" s="1430"/>
      <c r="O501" s="1430"/>
      <c r="P501" s="1430"/>
      <c r="Q501" s="1430"/>
      <c r="R501" s="1430"/>
      <c r="S501" s="1430"/>
    </row>
    <row r="502" spans="1:78" s="1002" customFormat="1" ht="41.25" customHeight="1">
      <c r="A502" s="1319"/>
      <c r="B502" s="1315" t="s">
        <v>42</v>
      </c>
      <c r="C502" s="1321"/>
      <c r="D502" s="1096"/>
      <c r="E502" s="1319"/>
      <c r="F502" s="1321"/>
      <c r="G502" s="1321"/>
      <c r="H502" s="993">
        <f t="shared" ref="H502:Q502" si="150">H503+H665+H708+H726+H737+H752+H754+H763+H777+H788+H813+H817+H821+H828+H832+H849+H853+H881+H888+H929+H936+H946+H971+H973+H982+H995+H998+H1002+H1005+H1011+H1014+H1017+H1031+H1034+H1038+H1046</f>
        <v>997417.71999999962</v>
      </c>
      <c r="I502" s="993">
        <f t="shared" si="150"/>
        <v>860915.5199999999</v>
      </c>
      <c r="J502" s="993">
        <f t="shared" si="150"/>
        <v>734865.37999999989</v>
      </c>
      <c r="K502" s="993">
        <f t="shared" si="150"/>
        <v>34912</v>
      </c>
      <c r="L502" s="993">
        <f t="shared" si="150"/>
        <v>1744182941.6983984</v>
      </c>
      <c r="M502" s="993">
        <f t="shared" si="150"/>
        <v>0</v>
      </c>
      <c r="N502" s="993">
        <f t="shared" si="150"/>
        <v>175077.58000000002</v>
      </c>
      <c r="O502" s="993">
        <f t="shared" si="150"/>
        <v>1743671662.0883985</v>
      </c>
      <c r="P502" s="993">
        <f t="shared" si="150"/>
        <v>0</v>
      </c>
      <c r="Q502" s="993">
        <f t="shared" si="150"/>
        <v>0</v>
      </c>
      <c r="R502" s="991" t="s">
        <v>40</v>
      </c>
      <c r="S502" s="991" t="s">
        <v>40</v>
      </c>
    </row>
    <row r="503" spans="1:78" s="1013" customFormat="1" ht="41.25" customHeight="1">
      <c r="A503" s="1319"/>
      <c r="B503" s="1315" t="s">
        <v>1036</v>
      </c>
      <c r="C503" s="1321"/>
      <c r="D503" s="1096"/>
      <c r="E503" s="1319"/>
      <c r="F503" s="1321"/>
      <c r="G503" s="1321"/>
      <c r="H503" s="985">
        <f t="shared" ref="H503:Q503" si="151">SUM(H504:H664)</f>
        <v>479462.33999999973</v>
      </c>
      <c r="I503" s="985">
        <f t="shared" si="151"/>
        <v>427121.82999999996</v>
      </c>
      <c r="J503" s="985">
        <f t="shared" si="151"/>
        <v>381064.50000000012</v>
      </c>
      <c r="K503" s="1030">
        <f t="shared" si="151"/>
        <v>16784</v>
      </c>
      <c r="L503" s="985">
        <f t="shared" si="151"/>
        <v>839276985.68805385</v>
      </c>
      <c r="M503" s="985">
        <f t="shared" si="151"/>
        <v>0</v>
      </c>
      <c r="N503" s="985">
        <f t="shared" si="151"/>
        <v>0</v>
      </c>
      <c r="O503" s="985">
        <f t="shared" si="151"/>
        <v>839276985.68805385</v>
      </c>
      <c r="P503" s="985">
        <f t="shared" si="151"/>
        <v>0</v>
      </c>
      <c r="Q503" s="985">
        <f t="shared" si="151"/>
        <v>0</v>
      </c>
      <c r="R503" s="991" t="s">
        <v>40</v>
      </c>
      <c r="S503" s="991" t="s">
        <v>40</v>
      </c>
    </row>
    <row r="504" spans="1:78" s="1013" customFormat="1" ht="41.25" customHeight="1">
      <c r="A504" s="1319">
        <v>1</v>
      </c>
      <c r="B504" s="1139" t="s">
        <v>1812</v>
      </c>
      <c r="C504" s="1319">
        <v>1964</v>
      </c>
      <c r="D504" s="1316"/>
      <c r="E504" s="1319" t="s">
        <v>218</v>
      </c>
      <c r="F504" s="1319">
        <v>2</v>
      </c>
      <c r="G504" s="1319">
        <v>2</v>
      </c>
      <c r="H504" s="993">
        <v>400.3</v>
      </c>
      <c r="I504" s="993">
        <v>357.8</v>
      </c>
      <c r="J504" s="993">
        <f>I504-139.1</f>
        <v>218.70000000000002</v>
      </c>
      <c r="K504" s="987">
        <v>23</v>
      </c>
      <c r="L504" s="1181">
        <v>2381298</v>
      </c>
      <c r="M504" s="993">
        <v>0</v>
      </c>
      <c r="N504" s="993">
        <v>0</v>
      </c>
      <c r="O504" s="993">
        <f t="shared" ref="O504:O552" si="152">L504</f>
        <v>2381298</v>
      </c>
      <c r="P504" s="993">
        <f t="shared" ref="P504:P509" si="153">N504</f>
        <v>0</v>
      </c>
      <c r="Q504" s="993">
        <v>0</v>
      </c>
      <c r="R504" s="1319">
        <v>2016</v>
      </c>
      <c r="S504" s="1158" t="s">
        <v>1486</v>
      </c>
    </row>
    <row r="505" spans="1:78" s="1013" customFormat="1" ht="41.25" customHeight="1">
      <c r="A505" s="1319">
        <v>2</v>
      </c>
      <c r="B505" s="1139" t="s">
        <v>1813</v>
      </c>
      <c r="C505" s="1319">
        <v>1961</v>
      </c>
      <c r="D505" s="1316"/>
      <c r="E505" s="1319" t="s">
        <v>218</v>
      </c>
      <c r="F505" s="1133">
        <v>5</v>
      </c>
      <c r="G505" s="1133">
        <v>4</v>
      </c>
      <c r="H505" s="993">
        <v>3450</v>
      </c>
      <c r="I505" s="993">
        <v>3207.8</v>
      </c>
      <c r="J505" s="993">
        <f>I505-196.8</f>
        <v>3011</v>
      </c>
      <c r="K505" s="987">
        <v>157</v>
      </c>
      <c r="L505" s="1181">
        <v>4386000</v>
      </c>
      <c r="M505" s="993">
        <v>0</v>
      </c>
      <c r="N505" s="993">
        <v>0</v>
      </c>
      <c r="O505" s="993">
        <f t="shared" si="152"/>
        <v>4386000</v>
      </c>
      <c r="P505" s="993">
        <f t="shared" si="153"/>
        <v>0</v>
      </c>
      <c r="Q505" s="993">
        <v>0</v>
      </c>
      <c r="R505" s="1319">
        <v>2016</v>
      </c>
      <c r="S505" s="1158" t="s">
        <v>1486</v>
      </c>
    </row>
    <row r="506" spans="1:78" s="1013" customFormat="1" ht="41.25" customHeight="1">
      <c r="A506" s="1319">
        <v>3</v>
      </c>
      <c r="B506" s="1139" t="s">
        <v>1814</v>
      </c>
      <c r="C506" s="1319">
        <v>1954</v>
      </c>
      <c r="D506" s="1319"/>
      <c r="E506" s="1319" t="s">
        <v>218</v>
      </c>
      <c r="F506" s="1319">
        <v>3</v>
      </c>
      <c r="G506" s="1319">
        <v>3</v>
      </c>
      <c r="H506" s="993">
        <v>2438.4</v>
      </c>
      <c r="I506" s="993">
        <v>2262.6999999999998</v>
      </c>
      <c r="J506" s="993">
        <f>I506-242.2</f>
        <v>2020.4999999999998</v>
      </c>
      <c r="K506" s="987">
        <v>70</v>
      </c>
      <c r="L506" s="1181">
        <v>3266338</v>
      </c>
      <c r="M506" s="993">
        <v>0</v>
      </c>
      <c r="N506" s="993">
        <v>0</v>
      </c>
      <c r="O506" s="993">
        <f t="shared" si="152"/>
        <v>3266338</v>
      </c>
      <c r="P506" s="993">
        <f t="shared" si="153"/>
        <v>0</v>
      </c>
      <c r="Q506" s="993">
        <v>0</v>
      </c>
      <c r="R506" s="1319">
        <v>2016</v>
      </c>
      <c r="S506" s="1158" t="s">
        <v>1486</v>
      </c>
    </row>
    <row r="507" spans="1:78" s="1013" customFormat="1" ht="41.25" customHeight="1">
      <c r="A507" s="1319">
        <v>4</v>
      </c>
      <c r="B507" s="1139" t="s">
        <v>1815</v>
      </c>
      <c r="C507" s="1319">
        <v>1953</v>
      </c>
      <c r="D507" s="1316"/>
      <c r="E507" s="1319" t="s">
        <v>218</v>
      </c>
      <c r="F507" s="1319">
        <v>3</v>
      </c>
      <c r="G507" s="1319">
        <v>3</v>
      </c>
      <c r="H507" s="993">
        <v>2239.1</v>
      </c>
      <c r="I507" s="993">
        <v>1857.6</v>
      </c>
      <c r="J507" s="993">
        <f>I507-316.2</f>
        <v>1541.3999999999999</v>
      </c>
      <c r="K507" s="987">
        <v>76</v>
      </c>
      <c r="L507" s="1181">
        <v>3240797</v>
      </c>
      <c r="M507" s="993">
        <v>0</v>
      </c>
      <c r="N507" s="993">
        <v>0</v>
      </c>
      <c r="O507" s="993">
        <f t="shared" si="152"/>
        <v>3240797</v>
      </c>
      <c r="P507" s="993">
        <f t="shared" si="153"/>
        <v>0</v>
      </c>
      <c r="Q507" s="993">
        <v>0</v>
      </c>
      <c r="R507" s="1319">
        <v>2016</v>
      </c>
      <c r="S507" s="1158" t="s">
        <v>1486</v>
      </c>
    </row>
    <row r="508" spans="1:78" s="1013" customFormat="1" ht="41.25" customHeight="1">
      <c r="A508" s="1319">
        <v>5</v>
      </c>
      <c r="B508" s="1139" t="s">
        <v>1816</v>
      </c>
      <c r="C508" s="1319">
        <v>1914</v>
      </c>
      <c r="D508" s="1316"/>
      <c r="E508" s="1319" t="s">
        <v>218</v>
      </c>
      <c r="F508" s="1319">
        <v>4</v>
      </c>
      <c r="G508" s="1319">
        <v>5</v>
      </c>
      <c r="H508" s="993">
        <v>2958.4</v>
      </c>
      <c r="I508" s="993">
        <v>2592.5</v>
      </c>
      <c r="J508" s="993">
        <f>I508-259.1</f>
        <v>2333.4</v>
      </c>
      <c r="K508" s="987">
        <v>112</v>
      </c>
      <c r="L508" s="1182">
        <v>659655.96</v>
      </c>
      <c r="M508" s="993">
        <v>0</v>
      </c>
      <c r="N508" s="993">
        <v>0</v>
      </c>
      <c r="O508" s="993">
        <f t="shared" si="152"/>
        <v>659655.96</v>
      </c>
      <c r="P508" s="993">
        <f t="shared" si="153"/>
        <v>0</v>
      </c>
      <c r="Q508" s="993">
        <v>0</v>
      </c>
      <c r="R508" s="1319">
        <v>2016</v>
      </c>
      <c r="S508" s="1158" t="s">
        <v>1486</v>
      </c>
    </row>
    <row r="509" spans="1:78" s="1002" customFormat="1" ht="41.25" customHeight="1">
      <c r="A509" s="1319">
        <v>6</v>
      </c>
      <c r="B509" s="1139" t="s">
        <v>1817</v>
      </c>
      <c r="C509" s="1319">
        <v>1956</v>
      </c>
      <c r="D509" s="1316"/>
      <c r="E509" s="1319" t="s">
        <v>218</v>
      </c>
      <c r="F509" s="1319">
        <v>4</v>
      </c>
      <c r="G509" s="1319">
        <v>4</v>
      </c>
      <c r="H509" s="993">
        <v>5336.3</v>
      </c>
      <c r="I509" s="993">
        <v>4312.6000000000004</v>
      </c>
      <c r="J509" s="993">
        <f>I509-223.8</f>
        <v>4088.8</v>
      </c>
      <c r="K509" s="987">
        <v>152</v>
      </c>
      <c r="L509" s="1181">
        <v>8665992</v>
      </c>
      <c r="M509" s="993">
        <v>0</v>
      </c>
      <c r="N509" s="993">
        <v>0</v>
      </c>
      <c r="O509" s="993">
        <f t="shared" si="152"/>
        <v>8665992</v>
      </c>
      <c r="P509" s="993">
        <f t="shared" si="153"/>
        <v>0</v>
      </c>
      <c r="Q509" s="993">
        <v>0</v>
      </c>
      <c r="R509" s="1319">
        <v>2016</v>
      </c>
      <c r="S509" s="1158" t="s">
        <v>1486</v>
      </c>
    </row>
    <row r="510" spans="1:78" s="1002" customFormat="1" ht="41.25" customHeight="1">
      <c r="A510" s="1319">
        <v>7</v>
      </c>
      <c r="B510" s="1139" t="s">
        <v>1818</v>
      </c>
      <c r="C510" s="1009">
        <v>1959</v>
      </c>
      <c r="D510" s="1017"/>
      <c r="E510" s="1319" t="s">
        <v>218</v>
      </c>
      <c r="F510" s="1017">
        <v>2</v>
      </c>
      <c r="G510" s="1017">
        <v>1</v>
      </c>
      <c r="H510" s="1183">
        <v>301.10000000000002</v>
      </c>
      <c r="I510" s="1183">
        <v>278.2</v>
      </c>
      <c r="J510" s="1183">
        <f>278.2-37.9</f>
        <v>240.29999999999998</v>
      </c>
      <c r="K510" s="1134">
        <v>17</v>
      </c>
      <c r="L510" s="1184">
        <v>405647.25</v>
      </c>
      <c r="M510" s="1184">
        <v>0</v>
      </c>
      <c r="N510" s="1184">
        <v>0</v>
      </c>
      <c r="O510" s="1184">
        <f t="shared" si="152"/>
        <v>405647.25</v>
      </c>
      <c r="P510" s="1184">
        <v>0</v>
      </c>
      <c r="Q510" s="1184">
        <v>0</v>
      </c>
      <c r="R510" s="1319">
        <v>2016</v>
      </c>
      <c r="S510" s="1158" t="s">
        <v>1486</v>
      </c>
    </row>
    <row r="511" spans="1:78" s="1002" customFormat="1" ht="41.25" customHeight="1">
      <c r="A511" s="1319">
        <v>8</v>
      </c>
      <c r="B511" s="1139" t="s">
        <v>1819</v>
      </c>
      <c r="C511" s="1017">
        <v>1959</v>
      </c>
      <c r="D511" s="1017"/>
      <c r="E511" s="1319" t="s">
        <v>218</v>
      </c>
      <c r="F511" s="1017">
        <v>2</v>
      </c>
      <c r="G511" s="1017">
        <v>2</v>
      </c>
      <c r="H511" s="1017">
        <v>687.5</v>
      </c>
      <c r="I511" s="1017">
        <v>638.6</v>
      </c>
      <c r="J511" s="1017">
        <v>638.6</v>
      </c>
      <c r="K511" s="1017">
        <v>26</v>
      </c>
      <c r="L511" s="1184">
        <v>1429079.7206400002</v>
      </c>
      <c r="M511" s="1184">
        <v>0</v>
      </c>
      <c r="N511" s="1184">
        <v>0</v>
      </c>
      <c r="O511" s="1184">
        <f t="shared" si="152"/>
        <v>1429079.7206400002</v>
      </c>
      <c r="P511" s="1184">
        <v>0</v>
      </c>
      <c r="Q511" s="1184">
        <v>0</v>
      </c>
      <c r="R511" s="1319">
        <v>2016</v>
      </c>
      <c r="S511" s="1158" t="s">
        <v>1486</v>
      </c>
    </row>
    <row r="512" spans="1:78" s="1002" customFormat="1" ht="41.25" customHeight="1">
      <c r="A512" s="1319">
        <v>9</v>
      </c>
      <c r="B512" s="1139" t="s">
        <v>1809</v>
      </c>
      <c r="C512" s="1154">
        <v>1959</v>
      </c>
      <c r="D512" s="1017"/>
      <c r="E512" s="1319" t="s">
        <v>218</v>
      </c>
      <c r="F512" s="1185">
        <v>4</v>
      </c>
      <c r="G512" s="1185">
        <v>4</v>
      </c>
      <c r="H512" s="1186">
        <v>2847.5</v>
      </c>
      <c r="I512" s="1186">
        <v>2284.5</v>
      </c>
      <c r="J512" s="1186">
        <v>2284.5</v>
      </c>
      <c r="K512" s="1187">
        <v>78</v>
      </c>
      <c r="L512" s="1184">
        <v>5074660.5131999999</v>
      </c>
      <c r="M512" s="1184">
        <v>0</v>
      </c>
      <c r="N512" s="1184">
        <v>0</v>
      </c>
      <c r="O512" s="1184">
        <f t="shared" si="152"/>
        <v>5074660.5131999999</v>
      </c>
      <c r="P512" s="1184">
        <v>0</v>
      </c>
      <c r="Q512" s="1184">
        <v>0</v>
      </c>
      <c r="R512" s="1319">
        <v>2016</v>
      </c>
      <c r="S512" s="1158" t="s">
        <v>1486</v>
      </c>
    </row>
    <row r="513" spans="1:181" s="1002" customFormat="1" ht="41.25" customHeight="1">
      <c r="A513" s="1319">
        <v>10</v>
      </c>
      <c r="B513" s="1139" t="s">
        <v>1820</v>
      </c>
      <c r="C513" s="1017">
        <v>1959</v>
      </c>
      <c r="D513" s="1017"/>
      <c r="E513" s="1319" t="s">
        <v>218</v>
      </c>
      <c r="F513" s="1017">
        <v>2</v>
      </c>
      <c r="G513" s="1017">
        <v>2</v>
      </c>
      <c r="H513" s="1017">
        <v>700.6</v>
      </c>
      <c r="I513" s="1017">
        <v>651.9</v>
      </c>
      <c r="J513" s="1017">
        <v>651.9</v>
      </c>
      <c r="K513" s="1017">
        <v>26</v>
      </c>
      <c r="L513" s="1184">
        <v>3182659.2945400001</v>
      </c>
      <c r="M513" s="1184">
        <v>0</v>
      </c>
      <c r="N513" s="1184">
        <v>0</v>
      </c>
      <c r="O513" s="1184">
        <f t="shared" si="152"/>
        <v>3182659.2945400001</v>
      </c>
      <c r="P513" s="1184">
        <v>0</v>
      </c>
      <c r="Q513" s="1184">
        <v>0</v>
      </c>
      <c r="R513" s="1319">
        <v>2016</v>
      </c>
      <c r="S513" s="1158" t="s">
        <v>1486</v>
      </c>
    </row>
    <row r="514" spans="1:181" s="1002" customFormat="1" ht="41.25" customHeight="1">
      <c r="A514" s="1319">
        <v>11</v>
      </c>
      <c r="B514" s="1139" t="s">
        <v>1821</v>
      </c>
      <c r="C514" s="1017">
        <v>1950</v>
      </c>
      <c r="D514" s="1017"/>
      <c r="E514" s="1009" t="s">
        <v>220</v>
      </c>
      <c r="F514" s="1017">
        <v>2</v>
      </c>
      <c r="G514" s="1017">
        <v>1</v>
      </c>
      <c r="H514" s="1017">
        <v>428.6</v>
      </c>
      <c r="I514" s="1017">
        <v>391.9</v>
      </c>
      <c r="J514" s="1017">
        <v>391.9</v>
      </c>
      <c r="K514" s="1017">
        <v>19</v>
      </c>
      <c r="L514" s="1184">
        <v>1424732.405944</v>
      </c>
      <c r="M514" s="1184">
        <v>0</v>
      </c>
      <c r="N514" s="1184">
        <v>0</v>
      </c>
      <c r="O514" s="1184">
        <f t="shared" si="152"/>
        <v>1424732.405944</v>
      </c>
      <c r="P514" s="1184">
        <v>0</v>
      </c>
      <c r="Q514" s="1184">
        <v>0</v>
      </c>
      <c r="R514" s="1319">
        <v>2016</v>
      </c>
      <c r="S514" s="1158" t="s">
        <v>1486</v>
      </c>
    </row>
    <row r="515" spans="1:181" s="1002" customFormat="1" ht="41.25" customHeight="1">
      <c r="A515" s="1319">
        <v>12</v>
      </c>
      <c r="B515" s="1139" t="s">
        <v>1822</v>
      </c>
      <c r="C515" s="1154">
        <v>1959</v>
      </c>
      <c r="D515" s="1017"/>
      <c r="E515" s="1009" t="s">
        <v>218</v>
      </c>
      <c r="F515" s="1185">
        <v>2</v>
      </c>
      <c r="G515" s="1185">
        <v>1</v>
      </c>
      <c r="H515" s="1186">
        <v>444.7</v>
      </c>
      <c r="I515" s="1186">
        <v>402.3</v>
      </c>
      <c r="J515" s="1186">
        <f>402.3-47.7</f>
        <v>354.6</v>
      </c>
      <c r="K515" s="1187">
        <v>17</v>
      </c>
      <c r="L515" s="1184">
        <v>1554468.0150000001</v>
      </c>
      <c r="M515" s="1184">
        <v>0</v>
      </c>
      <c r="N515" s="1184">
        <v>0</v>
      </c>
      <c r="O515" s="1184">
        <f t="shared" si="152"/>
        <v>1554468.0150000001</v>
      </c>
      <c r="P515" s="1184">
        <v>0</v>
      </c>
      <c r="Q515" s="1184">
        <v>0</v>
      </c>
      <c r="R515" s="1319">
        <v>2016</v>
      </c>
      <c r="S515" s="1158" t="s">
        <v>1486</v>
      </c>
    </row>
    <row r="516" spans="1:181" s="1002" customFormat="1" ht="41.25" customHeight="1">
      <c r="A516" s="1319">
        <v>13</v>
      </c>
      <c r="B516" s="1139" t="s">
        <v>1823</v>
      </c>
      <c r="C516" s="1009">
        <v>1961</v>
      </c>
      <c r="D516" s="1017"/>
      <c r="E516" s="1009" t="s">
        <v>218</v>
      </c>
      <c r="F516" s="1017">
        <v>5</v>
      </c>
      <c r="G516" s="1017">
        <v>4</v>
      </c>
      <c r="H516" s="1183">
        <v>3226.1</v>
      </c>
      <c r="I516" s="1183">
        <v>3140.3</v>
      </c>
      <c r="J516" s="1183">
        <v>3140.3</v>
      </c>
      <c r="K516" s="1134">
        <v>147</v>
      </c>
      <c r="L516" s="1184">
        <v>2351899.71</v>
      </c>
      <c r="M516" s="1184">
        <v>0</v>
      </c>
      <c r="N516" s="1184">
        <v>0</v>
      </c>
      <c r="O516" s="1184">
        <f t="shared" si="152"/>
        <v>2351899.71</v>
      </c>
      <c r="P516" s="1184">
        <v>0</v>
      </c>
      <c r="Q516" s="1184">
        <v>0</v>
      </c>
      <c r="R516" s="1319">
        <v>2016</v>
      </c>
      <c r="S516" s="1158" t="s">
        <v>1486</v>
      </c>
    </row>
    <row r="517" spans="1:181" s="1002" customFormat="1" ht="41.25" customHeight="1">
      <c r="A517" s="1319">
        <v>14</v>
      </c>
      <c r="B517" s="1139" t="s">
        <v>1824</v>
      </c>
      <c r="C517" s="1017">
        <v>1860</v>
      </c>
      <c r="D517" s="1017"/>
      <c r="E517" s="1009" t="s">
        <v>218</v>
      </c>
      <c r="F517" s="1017">
        <v>3</v>
      </c>
      <c r="G517" s="1017">
        <v>1</v>
      </c>
      <c r="H517" s="1017">
        <v>632.1</v>
      </c>
      <c r="I517" s="1017">
        <v>533.6</v>
      </c>
      <c r="J517" s="1017">
        <v>533.6</v>
      </c>
      <c r="K517" s="1017">
        <v>11</v>
      </c>
      <c r="L517" s="1184">
        <v>914559.01</v>
      </c>
      <c r="M517" s="1184">
        <v>0</v>
      </c>
      <c r="N517" s="1184">
        <v>0</v>
      </c>
      <c r="O517" s="1184">
        <f t="shared" si="152"/>
        <v>914559.01</v>
      </c>
      <c r="P517" s="1184">
        <v>0</v>
      </c>
      <c r="Q517" s="1184">
        <v>0</v>
      </c>
      <c r="R517" s="1319">
        <v>2016</v>
      </c>
      <c r="S517" s="1158" t="s">
        <v>1486</v>
      </c>
    </row>
    <row r="518" spans="1:181" s="1002" customFormat="1" ht="41.25" customHeight="1">
      <c r="A518" s="1319">
        <v>15</v>
      </c>
      <c r="B518" s="1139" t="s">
        <v>1825</v>
      </c>
      <c r="C518" s="1154">
        <v>1959</v>
      </c>
      <c r="D518" s="1017"/>
      <c r="E518" s="1009" t="s">
        <v>218</v>
      </c>
      <c r="F518" s="1185">
        <v>2</v>
      </c>
      <c r="G518" s="1185">
        <v>1</v>
      </c>
      <c r="H518" s="1186">
        <f>371.9+30.8</f>
        <v>402.7</v>
      </c>
      <c r="I518" s="1186">
        <v>371.9</v>
      </c>
      <c r="J518" s="1186">
        <f>371.9-55.3</f>
        <v>316.59999999999997</v>
      </c>
      <c r="K518" s="1187">
        <v>27</v>
      </c>
      <c r="L518" s="1184">
        <v>3832087.03</v>
      </c>
      <c r="M518" s="1184">
        <v>0</v>
      </c>
      <c r="N518" s="1184">
        <v>0</v>
      </c>
      <c r="O518" s="1184">
        <f t="shared" si="152"/>
        <v>3832087.03</v>
      </c>
      <c r="P518" s="1184">
        <v>0</v>
      </c>
      <c r="Q518" s="1184">
        <v>0</v>
      </c>
      <c r="R518" s="1319">
        <v>2016</v>
      </c>
      <c r="S518" s="1158" t="s">
        <v>1486</v>
      </c>
    </row>
    <row r="519" spans="1:181" s="1002" customFormat="1" ht="41.25" customHeight="1">
      <c r="A519" s="1319">
        <v>16</v>
      </c>
      <c r="B519" s="1139" t="s">
        <v>1826</v>
      </c>
      <c r="C519" s="1009">
        <v>1966</v>
      </c>
      <c r="D519" s="1017"/>
      <c r="E519" s="1009" t="s">
        <v>218</v>
      </c>
      <c r="F519" s="1017">
        <v>5</v>
      </c>
      <c r="G519" s="1017">
        <v>3</v>
      </c>
      <c r="H519" s="1183">
        <v>2817.5</v>
      </c>
      <c r="I519" s="1183">
        <v>2613.5</v>
      </c>
      <c r="J519" s="1183">
        <f>2613.5-363.8</f>
        <v>2249.6999999999998</v>
      </c>
      <c r="K519" s="1134">
        <v>120</v>
      </c>
      <c r="L519" s="1184">
        <v>5363868.12</v>
      </c>
      <c r="M519" s="1184">
        <v>0</v>
      </c>
      <c r="N519" s="1184">
        <v>0</v>
      </c>
      <c r="O519" s="1184">
        <f t="shared" si="152"/>
        <v>5363868.12</v>
      </c>
      <c r="P519" s="1184">
        <v>0</v>
      </c>
      <c r="Q519" s="1184">
        <v>0</v>
      </c>
      <c r="R519" s="1319">
        <v>2016</v>
      </c>
      <c r="S519" s="1158" t="s">
        <v>1486</v>
      </c>
    </row>
    <row r="520" spans="1:181" s="1014" customFormat="1" ht="41.25" customHeight="1">
      <c r="A520" s="1319">
        <v>17</v>
      </c>
      <c r="B520" s="1139" t="s">
        <v>1827</v>
      </c>
      <c r="C520" s="1017">
        <v>1949</v>
      </c>
      <c r="D520" s="1017"/>
      <c r="E520" s="1009" t="s">
        <v>220</v>
      </c>
      <c r="F520" s="1017">
        <v>2</v>
      </c>
      <c r="G520" s="1017">
        <v>1</v>
      </c>
      <c r="H520" s="1017">
        <v>390.4</v>
      </c>
      <c r="I520" s="1017">
        <v>359.8</v>
      </c>
      <c r="J520" s="1017">
        <v>359.8</v>
      </c>
      <c r="K520" s="1017">
        <v>34</v>
      </c>
      <c r="L520" s="1184">
        <v>1438136.9167299999</v>
      </c>
      <c r="M520" s="1184">
        <v>0</v>
      </c>
      <c r="N520" s="1184">
        <v>0</v>
      </c>
      <c r="O520" s="1184">
        <f t="shared" si="152"/>
        <v>1438136.9167299999</v>
      </c>
      <c r="P520" s="1184">
        <v>0</v>
      </c>
      <c r="Q520" s="1184">
        <v>0</v>
      </c>
      <c r="R520" s="1319">
        <v>2016</v>
      </c>
      <c r="S520" s="1158" t="s">
        <v>1486</v>
      </c>
    </row>
    <row r="521" spans="1:181" s="1011" customFormat="1" ht="41.25" customHeight="1">
      <c r="A521" s="1319">
        <v>18</v>
      </c>
      <c r="B521" s="1139" t="s">
        <v>1828</v>
      </c>
      <c r="C521" s="1017">
        <v>1956</v>
      </c>
      <c r="D521" s="1017"/>
      <c r="E521" s="1009" t="s">
        <v>218</v>
      </c>
      <c r="F521" s="1017">
        <v>3</v>
      </c>
      <c r="G521" s="1017">
        <v>3</v>
      </c>
      <c r="H521" s="1017">
        <v>2113.6</v>
      </c>
      <c r="I521" s="1017">
        <v>1827</v>
      </c>
      <c r="J521" s="1017">
        <v>1827</v>
      </c>
      <c r="K521" s="1017">
        <v>78</v>
      </c>
      <c r="L521" s="1184">
        <v>1745786.78</v>
      </c>
      <c r="M521" s="1184">
        <v>0</v>
      </c>
      <c r="N521" s="1184">
        <v>0</v>
      </c>
      <c r="O521" s="1184">
        <f t="shared" si="152"/>
        <v>1745786.78</v>
      </c>
      <c r="P521" s="1184">
        <v>0</v>
      </c>
      <c r="Q521" s="1184">
        <v>0</v>
      </c>
      <c r="R521" s="1319">
        <v>2016</v>
      </c>
      <c r="S521" s="1158" t="s">
        <v>1486</v>
      </c>
    </row>
    <row r="522" spans="1:181" s="1015" customFormat="1" ht="41.25" customHeight="1">
      <c r="A522" s="1319">
        <v>19</v>
      </c>
      <c r="B522" s="1139" t="s">
        <v>1829</v>
      </c>
      <c r="C522" s="1154">
        <v>1957</v>
      </c>
      <c r="D522" s="1017"/>
      <c r="E522" s="1009" t="s">
        <v>218</v>
      </c>
      <c r="F522" s="1185">
        <v>4</v>
      </c>
      <c r="G522" s="1185">
        <v>4</v>
      </c>
      <c r="H522" s="1186">
        <v>3135.2</v>
      </c>
      <c r="I522" s="1186">
        <v>2702.3</v>
      </c>
      <c r="J522" s="1186">
        <f>2580.3-39.91</f>
        <v>2540.3900000000003</v>
      </c>
      <c r="K522" s="1187">
        <v>79</v>
      </c>
      <c r="L522" s="1184">
        <v>7325272.1299999999</v>
      </c>
      <c r="M522" s="1184">
        <v>0</v>
      </c>
      <c r="N522" s="1184">
        <v>0</v>
      </c>
      <c r="O522" s="1184">
        <f t="shared" si="152"/>
        <v>7325272.1299999999</v>
      </c>
      <c r="P522" s="1184">
        <v>0</v>
      </c>
      <c r="Q522" s="1184">
        <v>0</v>
      </c>
      <c r="R522" s="1319">
        <v>2016</v>
      </c>
      <c r="S522" s="1158" t="s">
        <v>1486</v>
      </c>
    </row>
    <row r="523" spans="1:181" s="1011" customFormat="1" ht="41.25" customHeight="1">
      <c r="A523" s="1319">
        <v>20</v>
      </c>
      <c r="B523" s="1139" t="s">
        <v>1830</v>
      </c>
      <c r="C523" s="1154">
        <v>1966</v>
      </c>
      <c r="D523" s="1017"/>
      <c r="E523" s="1009" t="s">
        <v>218</v>
      </c>
      <c r="F523" s="1185">
        <v>4</v>
      </c>
      <c r="G523" s="1185">
        <v>4</v>
      </c>
      <c r="H523" s="1186">
        <v>2740.8</v>
      </c>
      <c r="I523" s="1186">
        <v>2546.4</v>
      </c>
      <c r="J523" s="1186">
        <v>2546.4</v>
      </c>
      <c r="K523" s="1187">
        <v>128</v>
      </c>
      <c r="L523" s="1184">
        <v>2224973.3199999998</v>
      </c>
      <c r="M523" s="1184">
        <v>0</v>
      </c>
      <c r="N523" s="1184">
        <v>0</v>
      </c>
      <c r="O523" s="1184">
        <f t="shared" si="152"/>
        <v>2224973.3199999998</v>
      </c>
      <c r="P523" s="1184">
        <v>0</v>
      </c>
      <c r="Q523" s="1184">
        <v>0</v>
      </c>
      <c r="R523" s="1319">
        <v>2016</v>
      </c>
      <c r="S523" s="1158" t="s">
        <v>1486</v>
      </c>
      <c r="T523" s="1012"/>
      <c r="U523" s="1012"/>
      <c r="V523" s="1012"/>
      <c r="W523" s="1012"/>
      <c r="X523" s="1012"/>
      <c r="Y523" s="1012"/>
      <c r="Z523" s="1012"/>
      <c r="AA523" s="1012"/>
      <c r="AB523" s="1012"/>
      <c r="AC523" s="1012"/>
      <c r="AD523" s="1012"/>
      <c r="AE523" s="1012"/>
      <c r="AF523" s="1012"/>
      <c r="AG523" s="1012"/>
      <c r="AH523" s="1012"/>
      <c r="AI523" s="1012"/>
      <c r="AJ523" s="1012"/>
      <c r="AK523" s="1012"/>
      <c r="AL523" s="1012"/>
      <c r="AM523" s="1012"/>
      <c r="AN523" s="1012"/>
      <c r="AO523" s="1012"/>
      <c r="AP523" s="1012"/>
      <c r="AQ523" s="1012"/>
      <c r="AR523" s="1012"/>
      <c r="AS523" s="1012"/>
      <c r="AT523" s="1012"/>
      <c r="AU523" s="1012"/>
      <c r="AV523" s="1012"/>
      <c r="AW523" s="1012"/>
      <c r="AX523" s="1012"/>
      <c r="AY523" s="1012"/>
      <c r="AZ523" s="1012"/>
      <c r="BA523" s="1012"/>
      <c r="BB523" s="1012"/>
      <c r="BC523" s="1012"/>
      <c r="BD523" s="1012"/>
      <c r="BE523" s="1012"/>
      <c r="BF523" s="1012"/>
      <c r="BG523" s="1012"/>
      <c r="BH523" s="1012"/>
      <c r="BI523" s="1012"/>
      <c r="BJ523" s="1012"/>
      <c r="BK523" s="1012"/>
      <c r="BL523" s="1012"/>
      <c r="BM523" s="1012"/>
      <c r="BN523" s="1012"/>
      <c r="BO523" s="1012"/>
      <c r="BP523" s="1012"/>
      <c r="BQ523" s="1012"/>
      <c r="BR523" s="1012"/>
      <c r="BS523" s="1012"/>
      <c r="BT523" s="1012"/>
      <c r="BU523" s="1012"/>
      <c r="BV523" s="1012"/>
      <c r="BW523" s="1012"/>
      <c r="BX523" s="1012"/>
      <c r="BY523" s="1012"/>
      <c r="BZ523" s="1012"/>
      <c r="CA523" s="1012"/>
      <c r="CB523" s="1012"/>
      <c r="CC523" s="1012"/>
      <c r="CD523" s="1012"/>
      <c r="CE523" s="1012"/>
      <c r="CF523" s="1012"/>
      <c r="CG523" s="1012"/>
      <c r="CH523" s="1012"/>
      <c r="CI523" s="1012"/>
      <c r="CJ523" s="1012"/>
      <c r="CK523" s="1012"/>
      <c r="CL523" s="1012"/>
      <c r="CM523" s="1012"/>
      <c r="CN523" s="1012"/>
      <c r="CO523" s="1012"/>
      <c r="CP523" s="1012"/>
      <c r="CQ523" s="1012"/>
      <c r="CR523" s="1012"/>
      <c r="CS523" s="1012"/>
      <c r="CT523" s="1012"/>
      <c r="CU523" s="1012"/>
      <c r="CV523" s="1012"/>
      <c r="CW523" s="1012"/>
      <c r="CX523" s="1012"/>
      <c r="CY523" s="1012"/>
      <c r="CZ523" s="1012"/>
      <c r="DA523" s="1012"/>
      <c r="DB523" s="1012"/>
      <c r="DC523" s="1012"/>
      <c r="DD523" s="1012"/>
      <c r="DE523" s="1012"/>
      <c r="DF523" s="1012"/>
      <c r="DG523" s="1012"/>
      <c r="DH523" s="1012"/>
      <c r="DI523" s="1012"/>
      <c r="DJ523" s="1012"/>
      <c r="DK523" s="1012"/>
      <c r="DL523" s="1012"/>
      <c r="DM523" s="1012"/>
      <c r="DN523" s="1012"/>
      <c r="DO523" s="1012"/>
      <c r="DP523" s="1012"/>
      <c r="DQ523" s="1012"/>
      <c r="DR523" s="1012"/>
      <c r="DS523" s="1012"/>
      <c r="DT523" s="1012"/>
      <c r="DU523" s="1012"/>
      <c r="DV523" s="1012"/>
      <c r="DW523" s="1012"/>
      <c r="DX523" s="1012"/>
      <c r="DY523" s="1012"/>
      <c r="DZ523" s="1012"/>
      <c r="EA523" s="1012"/>
      <c r="EB523" s="1012"/>
      <c r="EC523" s="1012"/>
      <c r="ED523" s="1012"/>
      <c r="EE523" s="1012"/>
      <c r="EF523" s="1012"/>
      <c r="EG523" s="1012"/>
      <c r="EH523" s="1012"/>
      <c r="EI523" s="1012"/>
      <c r="EJ523" s="1012"/>
      <c r="EK523" s="1012"/>
      <c r="EL523" s="1012"/>
      <c r="EM523" s="1012"/>
      <c r="EN523" s="1012"/>
      <c r="EO523" s="1012"/>
      <c r="EP523" s="1012"/>
      <c r="EQ523" s="1012"/>
      <c r="ER523" s="1012"/>
      <c r="ES523" s="1012"/>
      <c r="ET523" s="1012"/>
      <c r="EU523" s="1012"/>
      <c r="EV523" s="1012"/>
      <c r="EW523" s="1012"/>
      <c r="EX523" s="1012"/>
      <c r="EY523" s="1012"/>
      <c r="EZ523" s="1012"/>
      <c r="FA523" s="1012"/>
      <c r="FB523" s="1012"/>
      <c r="FC523" s="1012"/>
      <c r="FD523" s="1012"/>
      <c r="FE523" s="1012"/>
      <c r="FF523" s="1012"/>
      <c r="FG523" s="1012"/>
      <c r="FH523" s="1012"/>
      <c r="FI523" s="1012"/>
      <c r="FJ523" s="1012"/>
      <c r="FK523" s="1012"/>
      <c r="FL523" s="1012"/>
      <c r="FM523" s="1012"/>
      <c r="FN523" s="1012"/>
      <c r="FO523" s="1012"/>
      <c r="FP523" s="1012"/>
      <c r="FQ523" s="1012"/>
      <c r="FR523" s="1012"/>
      <c r="FS523" s="1012"/>
      <c r="FT523" s="1012"/>
      <c r="FU523" s="1012"/>
      <c r="FV523" s="1012"/>
      <c r="FW523" s="1012"/>
      <c r="FX523" s="1012"/>
      <c r="FY523" s="1012"/>
    </row>
    <row r="524" spans="1:181" s="1011" customFormat="1" ht="41.25" customHeight="1">
      <c r="A524" s="1319">
        <v>21</v>
      </c>
      <c r="B524" s="1139" t="s">
        <v>1831</v>
      </c>
      <c r="C524" s="1154">
        <v>1960</v>
      </c>
      <c r="D524" s="1017"/>
      <c r="E524" s="1009" t="s">
        <v>218</v>
      </c>
      <c r="F524" s="1185">
        <v>5</v>
      </c>
      <c r="G524" s="1185">
        <v>4</v>
      </c>
      <c r="H524" s="1186">
        <v>2830.1</v>
      </c>
      <c r="I524" s="1186">
        <v>2725.21</v>
      </c>
      <c r="J524" s="1186">
        <f>2222.21-231.9</f>
        <v>1990.31</v>
      </c>
      <c r="K524" s="1187">
        <v>137</v>
      </c>
      <c r="L524" s="1184">
        <v>2593045.9899999998</v>
      </c>
      <c r="M524" s="1184">
        <v>0</v>
      </c>
      <c r="N524" s="1184">
        <v>0</v>
      </c>
      <c r="O524" s="1184">
        <f t="shared" si="152"/>
        <v>2593045.9899999998</v>
      </c>
      <c r="P524" s="1184">
        <v>0</v>
      </c>
      <c r="Q524" s="1184">
        <v>0</v>
      </c>
      <c r="R524" s="1319">
        <v>2016</v>
      </c>
      <c r="S524" s="1158" t="s">
        <v>1486</v>
      </c>
      <c r="T524" s="1012"/>
      <c r="U524" s="1012"/>
      <c r="V524" s="1012"/>
      <c r="W524" s="1012"/>
      <c r="X524" s="1012"/>
      <c r="Y524" s="1012"/>
      <c r="Z524" s="1012"/>
      <c r="AA524" s="1012"/>
      <c r="AB524" s="1012"/>
      <c r="AC524" s="1012"/>
      <c r="AD524" s="1012"/>
      <c r="AE524" s="1012"/>
      <c r="AF524" s="1012"/>
      <c r="AG524" s="1012"/>
      <c r="AH524" s="1012"/>
      <c r="AI524" s="1012"/>
      <c r="AJ524" s="1012"/>
      <c r="AK524" s="1012"/>
      <c r="AL524" s="1012"/>
      <c r="AM524" s="1012"/>
      <c r="AN524" s="1012"/>
      <c r="AO524" s="1012"/>
      <c r="AP524" s="1012"/>
      <c r="AQ524" s="1012"/>
      <c r="AR524" s="1012"/>
      <c r="AS524" s="1012"/>
      <c r="AT524" s="1012"/>
      <c r="AU524" s="1012"/>
      <c r="AV524" s="1012"/>
      <c r="AW524" s="1012"/>
      <c r="AX524" s="1012"/>
      <c r="AY524" s="1012"/>
      <c r="AZ524" s="1012"/>
      <c r="BA524" s="1012"/>
      <c r="BB524" s="1012"/>
      <c r="BC524" s="1012"/>
      <c r="BD524" s="1012"/>
      <c r="BE524" s="1012"/>
      <c r="BF524" s="1012"/>
      <c r="BG524" s="1012"/>
      <c r="BH524" s="1012"/>
      <c r="BI524" s="1012"/>
      <c r="BJ524" s="1012"/>
      <c r="BK524" s="1012"/>
      <c r="BL524" s="1012"/>
      <c r="BM524" s="1012"/>
      <c r="BN524" s="1012"/>
      <c r="BO524" s="1012"/>
      <c r="BP524" s="1012"/>
      <c r="BQ524" s="1012"/>
      <c r="BR524" s="1012"/>
      <c r="BS524" s="1012"/>
      <c r="BT524" s="1012"/>
      <c r="BU524" s="1012"/>
      <c r="BV524" s="1012"/>
      <c r="BW524" s="1012"/>
      <c r="BX524" s="1012"/>
      <c r="BY524" s="1012"/>
      <c r="BZ524" s="1012"/>
      <c r="CA524" s="1012"/>
      <c r="CB524" s="1012"/>
      <c r="CC524" s="1012"/>
      <c r="CD524" s="1012"/>
      <c r="CE524" s="1012"/>
      <c r="CF524" s="1012"/>
      <c r="CG524" s="1012"/>
      <c r="CH524" s="1012"/>
      <c r="CI524" s="1012"/>
      <c r="CJ524" s="1012"/>
      <c r="CK524" s="1012"/>
      <c r="CL524" s="1012"/>
      <c r="CM524" s="1012"/>
      <c r="CN524" s="1012"/>
      <c r="CO524" s="1012"/>
      <c r="CP524" s="1012"/>
      <c r="CQ524" s="1012"/>
      <c r="CR524" s="1012"/>
      <c r="CS524" s="1012"/>
      <c r="CT524" s="1012"/>
      <c r="CU524" s="1012"/>
      <c r="CV524" s="1012"/>
      <c r="CW524" s="1012"/>
      <c r="CX524" s="1012"/>
      <c r="CY524" s="1012"/>
      <c r="CZ524" s="1012"/>
      <c r="DA524" s="1012"/>
      <c r="DB524" s="1012"/>
      <c r="DC524" s="1012"/>
      <c r="DD524" s="1012"/>
      <c r="DE524" s="1012"/>
      <c r="DF524" s="1012"/>
      <c r="DG524" s="1012"/>
      <c r="DH524" s="1012"/>
      <c r="DI524" s="1012"/>
      <c r="DJ524" s="1012"/>
      <c r="DK524" s="1012"/>
      <c r="DL524" s="1012"/>
      <c r="DM524" s="1012"/>
      <c r="DN524" s="1012"/>
      <c r="DO524" s="1012"/>
      <c r="DP524" s="1012"/>
      <c r="DQ524" s="1012"/>
      <c r="DR524" s="1012"/>
      <c r="DS524" s="1012"/>
      <c r="DT524" s="1012"/>
      <c r="DU524" s="1012"/>
      <c r="DV524" s="1012"/>
      <c r="DW524" s="1012"/>
      <c r="DX524" s="1012"/>
      <c r="DY524" s="1012"/>
      <c r="DZ524" s="1012"/>
      <c r="EA524" s="1012"/>
      <c r="EB524" s="1012"/>
      <c r="EC524" s="1012"/>
      <c r="ED524" s="1012"/>
      <c r="EE524" s="1012"/>
      <c r="EF524" s="1012"/>
      <c r="EG524" s="1012"/>
      <c r="EH524" s="1012"/>
      <c r="EI524" s="1012"/>
      <c r="EJ524" s="1012"/>
      <c r="EK524" s="1012"/>
      <c r="EL524" s="1012"/>
      <c r="EM524" s="1012"/>
      <c r="EN524" s="1012"/>
      <c r="EO524" s="1012"/>
      <c r="EP524" s="1012"/>
      <c r="EQ524" s="1012"/>
      <c r="ER524" s="1012"/>
      <c r="ES524" s="1012"/>
      <c r="ET524" s="1012"/>
      <c r="EU524" s="1012"/>
      <c r="EV524" s="1012"/>
      <c r="EW524" s="1012"/>
      <c r="EX524" s="1012"/>
      <c r="EY524" s="1012"/>
      <c r="EZ524" s="1012"/>
      <c r="FA524" s="1012"/>
      <c r="FB524" s="1012"/>
      <c r="FC524" s="1012"/>
      <c r="FD524" s="1012"/>
      <c r="FE524" s="1012"/>
      <c r="FF524" s="1012"/>
      <c r="FG524" s="1012"/>
      <c r="FH524" s="1012"/>
      <c r="FI524" s="1012"/>
      <c r="FJ524" s="1012"/>
      <c r="FK524" s="1012"/>
      <c r="FL524" s="1012"/>
      <c r="FM524" s="1012"/>
      <c r="FN524" s="1012"/>
      <c r="FO524" s="1012"/>
      <c r="FP524" s="1012"/>
      <c r="FQ524" s="1012"/>
      <c r="FR524" s="1012"/>
      <c r="FS524" s="1012"/>
      <c r="FT524" s="1012"/>
      <c r="FU524" s="1012"/>
      <c r="FV524" s="1012"/>
      <c r="FW524" s="1012"/>
      <c r="FX524" s="1012"/>
      <c r="FY524" s="1012"/>
    </row>
    <row r="525" spans="1:181" s="1011" customFormat="1" ht="41.25" customHeight="1">
      <c r="A525" s="1319">
        <v>22</v>
      </c>
      <c r="B525" s="1139" t="s">
        <v>1832</v>
      </c>
      <c r="C525" s="1017">
        <v>1955</v>
      </c>
      <c r="D525" s="1017"/>
      <c r="E525" s="1009" t="s">
        <v>218</v>
      </c>
      <c r="F525" s="1017">
        <v>2</v>
      </c>
      <c r="G525" s="1017">
        <v>2</v>
      </c>
      <c r="H525" s="1017">
        <v>743.3</v>
      </c>
      <c r="I525" s="1017">
        <v>654.79999999999995</v>
      </c>
      <c r="J525" s="1017">
        <f>585.8-80.7</f>
        <v>505.09999999999997</v>
      </c>
      <c r="K525" s="1017">
        <v>29</v>
      </c>
      <c r="L525" s="1184">
        <v>1109964.3</v>
      </c>
      <c r="M525" s="1184">
        <v>0</v>
      </c>
      <c r="N525" s="1184">
        <v>0</v>
      </c>
      <c r="O525" s="1184">
        <f t="shared" si="152"/>
        <v>1109964.3</v>
      </c>
      <c r="P525" s="1184">
        <v>0</v>
      </c>
      <c r="Q525" s="1184">
        <v>0</v>
      </c>
      <c r="R525" s="1319">
        <v>2016</v>
      </c>
      <c r="S525" s="1158" t="s">
        <v>1486</v>
      </c>
      <c r="T525" s="1012"/>
      <c r="U525" s="1012"/>
      <c r="V525" s="1012"/>
      <c r="W525" s="1012"/>
      <c r="X525" s="1012"/>
      <c r="Y525" s="1012"/>
      <c r="Z525" s="1012"/>
      <c r="AA525" s="1012"/>
      <c r="AB525" s="1012"/>
      <c r="AC525" s="1012"/>
      <c r="AD525" s="1012"/>
      <c r="AE525" s="1012"/>
      <c r="AF525" s="1012"/>
      <c r="AG525" s="1012"/>
      <c r="AH525" s="1012"/>
      <c r="AI525" s="1012"/>
      <c r="AJ525" s="1012"/>
      <c r="AK525" s="1012"/>
      <c r="AL525" s="1012"/>
      <c r="AM525" s="1012"/>
      <c r="AN525" s="1012"/>
      <c r="AO525" s="1012"/>
      <c r="AP525" s="1012"/>
      <c r="AQ525" s="1012"/>
      <c r="AR525" s="1012"/>
      <c r="AS525" s="1012"/>
      <c r="AT525" s="1012"/>
      <c r="AU525" s="1012"/>
      <c r="AV525" s="1012"/>
      <c r="AW525" s="1012"/>
      <c r="AX525" s="1012"/>
      <c r="AY525" s="1012"/>
      <c r="AZ525" s="1012"/>
      <c r="BA525" s="1012"/>
      <c r="BB525" s="1012"/>
      <c r="BC525" s="1012"/>
      <c r="BD525" s="1012"/>
      <c r="BE525" s="1012"/>
      <c r="BF525" s="1012"/>
      <c r="BG525" s="1012"/>
      <c r="BH525" s="1012"/>
      <c r="BI525" s="1012"/>
      <c r="BJ525" s="1012"/>
      <c r="BK525" s="1012"/>
      <c r="BL525" s="1012"/>
      <c r="BM525" s="1012"/>
      <c r="BN525" s="1012"/>
      <c r="BO525" s="1012"/>
      <c r="BP525" s="1012"/>
      <c r="BQ525" s="1012"/>
      <c r="BR525" s="1012"/>
      <c r="BS525" s="1012"/>
      <c r="BT525" s="1012"/>
      <c r="BU525" s="1012"/>
      <c r="BV525" s="1012"/>
      <c r="BW525" s="1012"/>
      <c r="BX525" s="1012"/>
      <c r="BY525" s="1012"/>
      <c r="BZ525" s="1012"/>
      <c r="CA525" s="1012"/>
      <c r="CB525" s="1012"/>
      <c r="CC525" s="1012"/>
      <c r="CD525" s="1012"/>
      <c r="CE525" s="1012"/>
      <c r="CF525" s="1012"/>
      <c r="CG525" s="1012"/>
      <c r="CH525" s="1012"/>
      <c r="CI525" s="1012"/>
      <c r="CJ525" s="1012"/>
      <c r="CK525" s="1012"/>
      <c r="CL525" s="1012"/>
      <c r="CM525" s="1012"/>
      <c r="CN525" s="1012"/>
      <c r="CO525" s="1012"/>
      <c r="CP525" s="1012"/>
      <c r="CQ525" s="1012"/>
      <c r="CR525" s="1012"/>
      <c r="CS525" s="1012"/>
      <c r="CT525" s="1012"/>
      <c r="CU525" s="1012"/>
      <c r="CV525" s="1012"/>
      <c r="CW525" s="1012"/>
      <c r="CX525" s="1012"/>
      <c r="CY525" s="1012"/>
      <c r="CZ525" s="1012"/>
      <c r="DA525" s="1012"/>
      <c r="DB525" s="1012"/>
      <c r="DC525" s="1012"/>
      <c r="DD525" s="1012"/>
      <c r="DE525" s="1012"/>
      <c r="DF525" s="1012"/>
      <c r="DG525" s="1012"/>
      <c r="DH525" s="1012"/>
      <c r="DI525" s="1012"/>
      <c r="DJ525" s="1012"/>
      <c r="DK525" s="1012"/>
      <c r="DL525" s="1012"/>
      <c r="DM525" s="1012"/>
      <c r="DN525" s="1012"/>
      <c r="DO525" s="1012"/>
      <c r="DP525" s="1012"/>
      <c r="DQ525" s="1012"/>
      <c r="DR525" s="1012"/>
      <c r="DS525" s="1012"/>
      <c r="DT525" s="1012"/>
      <c r="DU525" s="1012"/>
      <c r="DV525" s="1012"/>
      <c r="DW525" s="1012"/>
      <c r="DX525" s="1012"/>
      <c r="DY525" s="1012"/>
      <c r="DZ525" s="1012"/>
      <c r="EA525" s="1012"/>
      <c r="EB525" s="1012"/>
      <c r="EC525" s="1012"/>
      <c r="ED525" s="1012"/>
      <c r="EE525" s="1012"/>
      <c r="EF525" s="1012"/>
      <c r="EG525" s="1012"/>
      <c r="EH525" s="1012"/>
      <c r="EI525" s="1012"/>
      <c r="EJ525" s="1012"/>
      <c r="EK525" s="1012"/>
      <c r="EL525" s="1012"/>
      <c r="EM525" s="1012"/>
      <c r="EN525" s="1012"/>
      <c r="EO525" s="1012"/>
      <c r="EP525" s="1012"/>
      <c r="EQ525" s="1012"/>
      <c r="ER525" s="1012"/>
      <c r="ES525" s="1012"/>
      <c r="ET525" s="1012"/>
      <c r="EU525" s="1012"/>
      <c r="EV525" s="1012"/>
      <c r="EW525" s="1012"/>
      <c r="EX525" s="1012"/>
      <c r="EY525" s="1012"/>
      <c r="EZ525" s="1012"/>
      <c r="FA525" s="1012"/>
      <c r="FB525" s="1012"/>
      <c r="FC525" s="1012"/>
      <c r="FD525" s="1012"/>
      <c r="FE525" s="1012"/>
      <c r="FF525" s="1012"/>
      <c r="FG525" s="1012"/>
      <c r="FH525" s="1012"/>
      <c r="FI525" s="1012"/>
      <c r="FJ525" s="1012"/>
      <c r="FK525" s="1012"/>
      <c r="FL525" s="1012"/>
      <c r="FM525" s="1012"/>
      <c r="FN525" s="1012"/>
      <c r="FO525" s="1012"/>
      <c r="FP525" s="1012"/>
      <c r="FQ525" s="1012"/>
      <c r="FR525" s="1012"/>
      <c r="FS525" s="1012"/>
      <c r="FT525" s="1012"/>
      <c r="FU525" s="1012"/>
      <c r="FV525" s="1012"/>
      <c r="FW525" s="1012"/>
      <c r="FX525" s="1012"/>
      <c r="FY525" s="1012"/>
    </row>
    <row r="526" spans="1:181" s="1011" customFormat="1" ht="41.25" customHeight="1">
      <c r="A526" s="1319">
        <v>23</v>
      </c>
      <c r="B526" s="1139" t="s">
        <v>1833</v>
      </c>
      <c r="C526" s="1154">
        <v>1970</v>
      </c>
      <c r="D526" s="1017"/>
      <c r="E526" s="1009" t="s">
        <v>218</v>
      </c>
      <c r="F526" s="1185">
        <v>5</v>
      </c>
      <c r="G526" s="1185">
        <v>2</v>
      </c>
      <c r="H526" s="1186">
        <v>1913.8</v>
      </c>
      <c r="I526" s="1186">
        <f>1589+176.8</f>
        <v>1765.8</v>
      </c>
      <c r="J526" s="1186">
        <f>1589-110.5</f>
        <v>1478.5</v>
      </c>
      <c r="K526" s="1187">
        <v>75</v>
      </c>
      <c r="L526" s="1184">
        <v>5790016.8200000003</v>
      </c>
      <c r="M526" s="1184">
        <v>0</v>
      </c>
      <c r="N526" s="1184">
        <v>0</v>
      </c>
      <c r="O526" s="1184">
        <f t="shared" si="152"/>
        <v>5790016.8200000003</v>
      </c>
      <c r="P526" s="1184">
        <v>0</v>
      </c>
      <c r="Q526" s="1184">
        <v>0</v>
      </c>
      <c r="R526" s="1319">
        <v>2016</v>
      </c>
      <c r="S526" s="1158" t="s">
        <v>1486</v>
      </c>
      <c r="T526" s="1012"/>
      <c r="U526" s="1012"/>
      <c r="V526" s="1012"/>
      <c r="W526" s="1012"/>
      <c r="X526" s="1012"/>
      <c r="Y526" s="1012"/>
      <c r="Z526" s="1012"/>
      <c r="AA526" s="1012"/>
      <c r="AB526" s="1012"/>
      <c r="AC526" s="1012"/>
      <c r="AD526" s="1012"/>
      <c r="AE526" s="1012"/>
      <c r="AF526" s="1012"/>
      <c r="AG526" s="1012"/>
      <c r="AH526" s="1012"/>
      <c r="AI526" s="1012"/>
      <c r="AJ526" s="1012"/>
      <c r="AK526" s="1012"/>
      <c r="AL526" s="1012"/>
      <c r="AM526" s="1012"/>
      <c r="AN526" s="1012"/>
      <c r="AO526" s="1012"/>
      <c r="AP526" s="1012"/>
      <c r="AQ526" s="1012"/>
      <c r="AR526" s="1012"/>
      <c r="AS526" s="1012"/>
      <c r="AT526" s="1012"/>
      <c r="AU526" s="1012"/>
      <c r="AV526" s="1012"/>
      <c r="AW526" s="1012"/>
      <c r="AX526" s="1012"/>
      <c r="AY526" s="1012"/>
      <c r="AZ526" s="1012"/>
      <c r="BA526" s="1012"/>
      <c r="BB526" s="1012"/>
      <c r="BC526" s="1012"/>
      <c r="BD526" s="1012"/>
      <c r="BE526" s="1012"/>
      <c r="BF526" s="1012"/>
      <c r="BG526" s="1012"/>
      <c r="BH526" s="1012"/>
      <c r="BI526" s="1012"/>
      <c r="BJ526" s="1012"/>
      <c r="BK526" s="1012"/>
      <c r="BL526" s="1012"/>
      <c r="BM526" s="1012"/>
      <c r="BN526" s="1012"/>
      <c r="BO526" s="1012"/>
      <c r="BP526" s="1012"/>
      <c r="BQ526" s="1012"/>
      <c r="BR526" s="1012"/>
      <c r="BS526" s="1012"/>
      <c r="BT526" s="1012"/>
      <c r="BU526" s="1012"/>
      <c r="BV526" s="1012"/>
      <c r="BW526" s="1012"/>
      <c r="BX526" s="1012"/>
      <c r="BY526" s="1012"/>
      <c r="BZ526" s="1012"/>
      <c r="CA526" s="1012"/>
      <c r="CB526" s="1012"/>
      <c r="CC526" s="1012"/>
      <c r="CD526" s="1012"/>
      <c r="CE526" s="1012"/>
      <c r="CF526" s="1012"/>
      <c r="CG526" s="1012"/>
      <c r="CH526" s="1012"/>
      <c r="CI526" s="1012"/>
      <c r="CJ526" s="1012"/>
      <c r="CK526" s="1012"/>
      <c r="CL526" s="1012"/>
      <c r="CM526" s="1012"/>
      <c r="CN526" s="1012"/>
      <c r="CO526" s="1012"/>
      <c r="CP526" s="1012"/>
      <c r="CQ526" s="1012"/>
      <c r="CR526" s="1012"/>
      <c r="CS526" s="1012"/>
      <c r="CT526" s="1012"/>
      <c r="CU526" s="1012"/>
      <c r="CV526" s="1012"/>
      <c r="CW526" s="1012"/>
      <c r="CX526" s="1012"/>
      <c r="CY526" s="1012"/>
      <c r="CZ526" s="1012"/>
      <c r="DA526" s="1012"/>
      <c r="DB526" s="1012"/>
      <c r="DC526" s="1012"/>
      <c r="DD526" s="1012"/>
      <c r="DE526" s="1012"/>
      <c r="DF526" s="1012"/>
      <c r="DG526" s="1012"/>
      <c r="DH526" s="1012"/>
      <c r="DI526" s="1012"/>
      <c r="DJ526" s="1012"/>
      <c r="DK526" s="1012"/>
      <c r="DL526" s="1012"/>
      <c r="DM526" s="1012"/>
      <c r="DN526" s="1012"/>
      <c r="DO526" s="1012"/>
      <c r="DP526" s="1012"/>
      <c r="DQ526" s="1012"/>
      <c r="DR526" s="1012"/>
      <c r="DS526" s="1012"/>
      <c r="DT526" s="1012"/>
      <c r="DU526" s="1012"/>
      <c r="DV526" s="1012"/>
      <c r="DW526" s="1012"/>
      <c r="DX526" s="1012"/>
      <c r="DY526" s="1012"/>
      <c r="DZ526" s="1012"/>
      <c r="EA526" s="1012"/>
      <c r="EB526" s="1012"/>
      <c r="EC526" s="1012"/>
      <c r="ED526" s="1012"/>
      <c r="EE526" s="1012"/>
      <c r="EF526" s="1012"/>
      <c r="EG526" s="1012"/>
      <c r="EH526" s="1012"/>
      <c r="EI526" s="1012"/>
      <c r="EJ526" s="1012"/>
      <c r="EK526" s="1012"/>
      <c r="EL526" s="1012"/>
      <c r="EM526" s="1012"/>
      <c r="EN526" s="1012"/>
      <c r="EO526" s="1012"/>
      <c r="EP526" s="1012"/>
      <c r="EQ526" s="1012"/>
      <c r="ER526" s="1012"/>
      <c r="ES526" s="1012"/>
      <c r="ET526" s="1012"/>
      <c r="EU526" s="1012"/>
      <c r="EV526" s="1012"/>
      <c r="EW526" s="1012"/>
      <c r="EX526" s="1012"/>
      <c r="EY526" s="1012"/>
      <c r="EZ526" s="1012"/>
      <c r="FA526" s="1012"/>
      <c r="FB526" s="1012"/>
      <c r="FC526" s="1012"/>
      <c r="FD526" s="1012"/>
      <c r="FE526" s="1012"/>
      <c r="FF526" s="1012"/>
      <c r="FG526" s="1012"/>
      <c r="FH526" s="1012"/>
      <c r="FI526" s="1012"/>
      <c r="FJ526" s="1012"/>
      <c r="FK526" s="1012"/>
      <c r="FL526" s="1012"/>
      <c r="FM526" s="1012"/>
      <c r="FN526" s="1012"/>
      <c r="FO526" s="1012"/>
      <c r="FP526" s="1012"/>
      <c r="FQ526" s="1012"/>
      <c r="FR526" s="1012"/>
      <c r="FS526" s="1012"/>
      <c r="FT526" s="1012"/>
      <c r="FU526" s="1012"/>
      <c r="FV526" s="1012"/>
      <c r="FW526" s="1012"/>
      <c r="FX526" s="1012"/>
      <c r="FY526" s="1012"/>
    </row>
    <row r="527" spans="1:181" s="1002" customFormat="1" ht="41.25" customHeight="1">
      <c r="A527" s="1319">
        <v>24</v>
      </c>
      <c r="B527" s="1139" t="s">
        <v>1834</v>
      </c>
      <c r="C527" s="1009">
        <v>1955</v>
      </c>
      <c r="D527" s="1017"/>
      <c r="E527" s="1009" t="s">
        <v>218</v>
      </c>
      <c r="F527" s="1017">
        <v>2</v>
      </c>
      <c r="G527" s="1017">
        <v>2</v>
      </c>
      <c r="H527" s="1183">
        <f>894.5+87.2</f>
        <v>981.7</v>
      </c>
      <c r="I527" s="1183">
        <v>894.5</v>
      </c>
      <c r="J527" s="1183">
        <f>I527-50.2</f>
        <v>844.3</v>
      </c>
      <c r="K527" s="1134">
        <v>37</v>
      </c>
      <c r="L527" s="1184">
        <v>1137886</v>
      </c>
      <c r="M527" s="1184">
        <v>0</v>
      </c>
      <c r="N527" s="1184">
        <v>0</v>
      </c>
      <c r="O527" s="1184">
        <f t="shared" si="152"/>
        <v>1137886</v>
      </c>
      <c r="P527" s="1184">
        <v>0</v>
      </c>
      <c r="Q527" s="1184">
        <v>0</v>
      </c>
      <c r="R527" s="1319">
        <v>2016</v>
      </c>
      <c r="S527" s="1158" t="s">
        <v>1486</v>
      </c>
      <c r="T527" s="1010"/>
      <c r="U527" s="1010"/>
      <c r="V527" s="1010"/>
      <c r="W527" s="1010"/>
      <c r="X527" s="1010"/>
      <c r="Y527" s="1010"/>
      <c r="Z527" s="1010"/>
      <c r="AA527" s="1010"/>
      <c r="AB527" s="1010"/>
      <c r="AC527" s="1010"/>
      <c r="AD527" s="1010"/>
      <c r="AE527" s="1010"/>
      <c r="AF527" s="1010"/>
      <c r="AG527" s="1010"/>
      <c r="AH527" s="1010"/>
      <c r="AI527" s="1010"/>
      <c r="AJ527" s="1010"/>
      <c r="AK527" s="1010"/>
      <c r="AL527" s="1010"/>
      <c r="AM527" s="1010"/>
      <c r="AN527" s="1010"/>
      <c r="AO527" s="1010"/>
      <c r="AP527" s="1010"/>
      <c r="AQ527" s="1010"/>
      <c r="AR527" s="1010"/>
      <c r="AS527" s="1010"/>
      <c r="AT527" s="1010"/>
      <c r="AU527" s="1010"/>
      <c r="AV527" s="1010"/>
      <c r="AW527" s="1010"/>
      <c r="AX527" s="1010"/>
      <c r="AY527" s="1010"/>
      <c r="AZ527" s="1010"/>
      <c r="BA527" s="1010"/>
      <c r="BB527" s="1010"/>
      <c r="BC527" s="1010"/>
      <c r="BD527" s="1010"/>
      <c r="BE527" s="1010"/>
      <c r="BF527" s="1010"/>
      <c r="BG527" s="1010"/>
      <c r="BH527" s="1010"/>
      <c r="BI527" s="1010"/>
      <c r="BJ527" s="1010"/>
      <c r="BK527" s="1010"/>
      <c r="BL527" s="1010"/>
      <c r="BM527" s="1010"/>
      <c r="BN527" s="1010"/>
      <c r="BO527" s="1010"/>
      <c r="BP527" s="1010"/>
      <c r="BQ527" s="1010"/>
      <c r="BR527" s="1010"/>
      <c r="BS527" s="1010"/>
      <c r="BT527" s="1010"/>
      <c r="BU527" s="1010"/>
      <c r="BV527" s="1010"/>
      <c r="BW527" s="1010"/>
      <c r="BX527" s="1010"/>
      <c r="BY527" s="1010"/>
      <c r="BZ527" s="1010"/>
      <c r="CA527" s="1010"/>
      <c r="CB527" s="1010"/>
      <c r="CC527" s="1010"/>
      <c r="CD527" s="1010"/>
      <c r="CE527" s="1010"/>
      <c r="CF527" s="1010"/>
      <c r="CG527" s="1010"/>
      <c r="CH527" s="1010"/>
      <c r="CI527" s="1010"/>
      <c r="CJ527" s="1010"/>
      <c r="CK527" s="1010"/>
      <c r="CL527" s="1010"/>
      <c r="CM527" s="1010"/>
      <c r="CN527" s="1010"/>
      <c r="CO527" s="1010"/>
      <c r="CP527" s="1010"/>
      <c r="CQ527" s="1010"/>
      <c r="CR527" s="1010"/>
      <c r="CS527" s="1010"/>
      <c r="CT527" s="1010"/>
      <c r="CU527" s="1010"/>
      <c r="CV527" s="1010"/>
      <c r="CW527" s="1010"/>
      <c r="CX527" s="1010"/>
      <c r="CY527" s="1010"/>
      <c r="CZ527" s="1010"/>
      <c r="DA527" s="1010"/>
      <c r="DB527" s="1010"/>
      <c r="DC527" s="1010"/>
      <c r="DD527" s="1010"/>
      <c r="DE527" s="1010"/>
      <c r="DF527" s="1010"/>
      <c r="DG527" s="1010"/>
      <c r="DH527" s="1010"/>
      <c r="DI527" s="1010"/>
      <c r="DJ527" s="1010"/>
      <c r="DK527" s="1010"/>
      <c r="DL527" s="1010"/>
      <c r="DM527" s="1010"/>
      <c r="DN527" s="1010"/>
      <c r="DO527" s="1010"/>
      <c r="DP527" s="1010"/>
      <c r="DQ527" s="1010"/>
      <c r="DR527" s="1010"/>
      <c r="DS527" s="1010"/>
      <c r="DT527" s="1010"/>
      <c r="DU527" s="1010"/>
      <c r="DV527" s="1010"/>
      <c r="DW527" s="1010"/>
      <c r="DX527" s="1010"/>
      <c r="DY527" s="1010"/>
      <c r="DZ527" s="1010"/>
      <c r="EA527" s="1010"/>
      <c r="EB527" s="1010"/>
      <c r="EC527" s="1010"/>
      <c r="ED527" s="1010"/>
      <c r="EE527" s="1010"/>
      <c r="EF527" s="1010"/>
      <c r="EG527" s="1010"/>
      <c r="EH527" s="1010"/>
      <c r="EI527" s="1010"/>
      <c r="EJ527" s="1010"/>
      <c r="EK527" s="1010"/>
      <c r="EL527" s="1010"/>
      <c r="EM527" s="1010"/>
      <c r="EN527" s="1010"/>
      <c r="EO527" s="1010"/>
      <c r="EP527" s="1010"/>
      <c r="EQ527" s="1010"/>
      <c r="ER527" s="1010"/>
      <c r="ES527" s="1010"/>
      <c r="ET527" s="1010"/>
      <c r="EU527" s="1010"/>
      <c r="EV527" s="1010"/>
      <c r="EW527" s="1010"/>
      <c r="EX527" s="1010"/>
      <c r="EY527" s="1010"/>
      <c r="EZ527" s="1010"/>
      <c r="FA527" s="1010"/>
      <c r="FB527" s="1010"/>
      <c r="FC527" s="1010"/>
      <c r="FD527" s="1010"/>
      <c r="FE527" s="1010"/>
      <c r="FF527" s="1010"/>
      <c r="FG527" s="1010"/>
      <c r="FH527" s="1010"/>
      <c r="FI527" s="1010"/>
      <c r="FJ527" s="1010"/>
      <c r="FK527" s="1010"/>
      <c r="FL527" s="1010"/>
      <c r="FM527" s="1010"/>
      <c r="FN527" s="1010"/>
      <c r="FO527" s="1010"/>
      <c r="FP527" s="1010"/>
      <c r="FQ527" s="1010"/>
      <c r="FR527" s="1010"/>
      <c r="FS527" s="1010"/>
      <c r="FT527" s="1010"/>
      <c r="FU527" s="1010"/>
      <c r="FV527" s="1010"/>
      <c r="FW527" s="1010"/>
      <c r="FX527" s="1010"/>
      <c r="FY527" s="1010"/>
    </row>
    <row r="528" spans="1:181" s="1002" customFormat="1" ht="41.25" customHeight="1">
      <c r="A528" s="1319">
        <v>25</v>
      </c>
      <c r="B528" s="1139" t="s">
        <v>1835</v>
      </c>
      <c r="C528" s="1009">
        <v>1973</v>
      </c>
      <c r="D528" s="1017"/>
      <c r="E528" s="1009" t="s">
        <v>219</v>
      </c>
      <c r="F528" s="1017">
        <v>9</v>
      </c>
      <c r="G528" s="1017">
        <v>6</v>
      </c>
      <c r="H528" s="1183">
        <v>12984.5</v>
      </c>
      <c r="I528" s="1183">
        <v>11178.3</v>
      </c>
      <c r="J528" s="1183">
        <f>11013.2-617.2</f>
        <v>10396</v>
      </c>
      <c r="K528" s="1134">
        <v>576</v>
      </c>
      <c r="L528" s="1184">
        <v>7082325</v>
      </c>
      <c r="M528" s="1184">
        <v>0</v>
      </c>
      <c r="N528" s="1184">
        <v>0</v>
      </c>
      <c r="O528" s="1184">
        <f t="shared" si="152"/>
        <v>7082325</v>
      </c>
      <c r="P528" s="1184">
        <v>0</v>
      </c>
      <c r="Q528" s="1184">
        <v>0</v>
      </c>
      <c r="R528" s="1319">
        <v>2016</v>
      </c>
      <c r="S528" s="1158" t="s">
        <v>1486</v>
      </c>
      <c r="T528" s="1010"/>
      <c r="U528" s="1010"/>
      <c r="V528" s="1010"/>
      <c r="W528" s="1010"/>
      <c r="X528" s="1010"/>
      <c r="Y528" s="1010"/>
      <c r="Z528" s="1010"/>
      <c r="AA528" s="1010"/>
      <c r="AB528" s="1010"/>
      <c r="AC528" s="1010"/>
      <c r="AD528" s="1010"/>
      <c r="AE528" s="1010"/>
      <c r="AF528" s="1010"/>
      <c r="AG528" s="1010"/>
      <c r="AH528" s="1010"/>
      <c r="AI528" s="1010"/>
      <c r="AJ528" s="1010"/>
      <c r="AK528" s="1010"/>
      <c r="AL528" s="1010"/>
      <c r="AM528" s="1010"/>
      <c r="AN528" s="1010"/>
      <c r="AO528" s="1010"/>
      <c r="AP528" s="1010"/>
      <c r="AQ528" s="1010"/>
      <c r="AR528" s="1010"/>
      <c r="AS528" s="1010"/>
      <c r="AT528" s="1010"/>
      <c r="AU528" s="1010"/>
      <c r="AV528" s="1010"/>
      <c r="AW528" s="1010"/>
      <c r="AX528" s="1010"/>
      <c r="AY528" s="1010"/>
      <c r="AZ528" s="1010"/>
      <c r="BA528" s="1010"/>
      <c r="BB528" s="1010"/>
      <c r="BC528" s="1010"/>
      <c r="BD528" s="1010"/>
      <c r="BE528" s="1010"/>
      <c r="BF528" s="1010"/>
      <c r="BG528" s="1010"/>
      <c r="BH528" s="1010"/>
      <c r="BI528" s="1010"/>
      <c r="BJ528" s="1010"/>
      <c r="BK528" s="1010"/>
      <c r="BL528" s="1010"/>
      <c r="BM528" s="1010"/>
      <c r="BN528" s="1010"/>
      <c r="BO528" s="1010"/>
      <c r="BP528" s="1010"/>
      <c r="BQ528" s="1010"/>
      <c r="BR528" s="1010"/>
      <c r="BS528" s="1010"/>
      <c r="BT528" s="1010"/>
      <c r="BU528" s="1010"/>
      <c r="BV528" s="1010"/>
      <c r="BW528" s="1010"/>
      <c r="BX528" s="1010"/>
      <c r="BY528" s="1010"/>
      <c r="BZ528" s="1010"/>
      <c r="CA528" s="1010"/>
      <c r="CB528" s="1010"/>
      <c r="CC528" s="1010"/>
      <c r="CD528" s="1010"/>
      <c r="CE528" s="1010"/>
      <c r="CF528" s="1010"/>
      <c r="CG528" s="1010"/>
      <c r="CH528" s="1010"/>
      <c r="CI528" s="1010"/>
      <c r="CJ528" s="1010"/>
      <c r="CK528" s="1010"/>
      <c r="CL528" s="1010"/>
      <c r="CM528" s="1010"/>
      <c r="CN528" s="1010"/>
      <c r="CO528" s="1010"/>
      <c r="CP528" s="1010"/>
      <c r="CQ528" s="1010"/>
      <c r="CR528" s="1010"/>
      <c r="CS528" s="1010"/>
      <c r="CT528" s="1010"/>
      <c r="CU528" s="1010"/>
      <c r="CV528" s="1010"/>
      <c r="CW528" s="1010"/>
      <c r="CX528" s="1010"/>
      <c r="CY528" s="1010"/>
      <c r="CZ528" s="1010"/>
      <c r="DA528" s="1010"/>
      <c r="DB528" s="1010"/>
      <c r="DC528" s="1010"/>
      <c r="DD528" s="1010"/>
      <c r="DE528" s="1010"/>
      <c r="DF528" s="1010"/>
      <c r="DG528" s="1010"/>
      <c r="DH528" s="1010"/>
      <c r="DI528" s="1010"/>
      <c r="DJ528" s="1010"/>
      <c r="DK528" s="1010"/>
      <c r="DL528" s="1010"/>
      <c r="DM528" s="1010"/>
      <c r="DN528" s="1010"/>
      <c r="DO528" s="1010"/>
      <c r="DP528" s="1010"/>
      <c r="DQ528" s="1010"/>
      <c r="DR528" s="1010"/>
      <c r="DS528" s="1010"/>
      <c r="DT528" s="1010"/>
      <c r="DU528" s="1010"/>
      <c r="DV528" s="1010"/>
      <c r="DW528" s="1010"/>
      <c r="DX528" s="1010"/>
      <c r="DY528" s="1010"/>
      <c r="DZ528" s="1010"/>
      <c r="EA528" s="1010"/>
      <c r="EB528" s="1010"/>
      <c r="EC528" s="1010"/>
      <c r="ED528" s="1010"/>
      <c r="EE528" s="1010"/>
      <c r="EF528" s="1010"/>
      <c r="EG528" s="1010"/>
      <c r="EH528" s="1010"/>
      <c r="EI528" s="1010"/>
      <c r="EJ528" s="1010"/>
      <c r="EK528" s="1010"/>
      <c r="EL528" s="1010"/>
      <c r="EM528" s="1010"/>
      <c r="EN528" s="1010"/>
      <c r="EO528" s="1010"/>
      <c r="EP528" s="1010"/>
      <c r="EQ528" s="1010"/>
      <c r="ER528" s="1010"/>
      <c r="ES528" s="1010"/>
      <c r="ET528" s="1010"/>
      <c r="EU528" s="1010"/>
      <c r="EV528" s="1010"/>
      <c r="EW528" s="1010"/>
      <c r="EX528" s="1010"/>
      <c r="EY528" s="1010"/>
      <c r="EZ528" s="1010"/>
      <c r="FA528" s="1010"/>
      <c r="FB528" s="1010"/>
      <c r="FC528" s="1010"/>
      <c r="FD528" s="1010"/>
      <c r="FE528" s="1010"/>
      <c r="FF528" s="1010"/>
      <c r="FG528" s="1010"/>
      <c r="FH528" s="1010"/>
      <c r="FI528" s="1010"/>
      <c r="FJ528" s="1010"/>
      <c r="FK528" s="1010"/>
      <c r="FL528" s="1010"/>
      <c r="FM528" s="1010"/>
      <c r="FN528" s="1010"/>
      <c r="FO528" s="1010"/>
      <c r="FP528" s="1010"/>
      <c r="FQ528" s="1010"/>
      <c r="FR528" s="1010"/>
      <c r="FS528" s="1010"/>
      <c r="FT528" s="1010"/>
      <c r="FU528" s="1010"/>
      <c r="FV528" s="1010"/>
      <c r="FW528" s="1010"/>
      <c r="FX528" s="1010"/>
      <c r="FY528" s="1010"/>
    </row>
    <row r="529" spans="1:181" s="1002" customFormat="1" ht="41.25" customHeight="1">
      <c r="A529" s="1319">
        <v>26</v>
      </c>
      <c r="B529" s="1139" t="s">
        <v>1836</v>
      </c>
      <c r="C529" s="1017">
        <v>1884</v>
      </c>
      <c r="D529" s="1017"/>
      <c r="E529" s="1009" t="s">
        <v>218</v>
      </c>
      <c r="F529" s="1017">
        <v>2</v>
      </c>
      <c r="G529" s="1017">
        <v>2</v>
      </c>
      <c r="H529" s="1017">
        <v>975.5</v>
      </c>
      <c r="I529" s="1017">
        <v>886</v>
      </c>
      <c r="J529" s="1017">
        <f>886-323.3</f>
        <v>562.70000000000005</v>
      </c>
      <c r="K529" s="1017">
        <v>52</v>
      </c>
      <c r="L529" s="1184">
        <v>142855.18</v>
      </c>
      <c r="M529" s="1184">
        <v>0</v>
      </c>
      <c r="N529" s="1184">
        <v>0</v>
      </c>
      <c r="O529" s="1184">
        <f t="shared" si="152"/>
        <v>142855.18</v>
      </c>
      <c r="P529" s="1184">
        <v>0</v>
      </c>
      <c r="Q529" s="1184">
        <v>0</v>
      </c>
      <c r="R529" s="1319">
        <v>2016</v>
      </c>
      <c r="S529" s="1158" t="s">
        <v>1486</v>
      </c>
      <c r="T529" s="1010"/>
      <c r="U529" s="1010"/>
      <c r="V529" s="1010"/>
      <c r="W529" s="1010"/>
      <c r="X529" s="1010"/>
      <c r="Y529" s="1010"/>
      <c r="Z529" s="1010"/>
      <c r="AA529" s="1010"/>
      <c r="AB529" s="1010"/>
      <c r="AC529" s="1010"/>
      <c r="AD529" s="1010"/>
      <c r="AE529" s="1010"/>
      <c r="AF529" s="1010"/>
      <c r="AG529" s="1010"/>
      <c r="AH529" s="1010"/>
      <c r="AI529" s="1010"/>
      <c r="AJ529" s="1010"/>
      <c r="AK529" s="1010"/>
      <c r="AL529" s="1010"/>
      <c r="AM529" s="1010"/>
      <c r="AN529" s="1010"/>
      <c r="AO529" s="1010"/>
      <c r="AP529" s="1010"/>
      <c r="AQ529" s="1010"/>
      <c r="AR529" s="1010"/>
      <c r="AS529" s="1010"/>
      <c r="AT529" s="1010"/>
      <c r="AU529" s="1010"/>
      <c r="AV529" s="1010"/>
      <c r="AW529" s="1010"/>
      <c r="AX529" s="1010"/>
      <c r="AY529" s="1010"/>
      <c r="AZ529" s="1010"/>
      <c r="BA529" s="1010"/>
      <c r="BB529" s="1010"/>
      <c r="BC529" s="1010"/>
      <c r="BD529" s="1010"/>
      <c r="BE529" s="1010"/>
      <c r="BF529" s="1010"/>
      <c r="BG529" s="1010"/>
      <c r="BH529" s="1010"/>
      <c r="BI529" s="1010"/>
      <c r="BJ529" s="1010"/>
      <c r="BK529" s="1010"/>
      <c r="BL529" s="1010"/>
      <c r="BM529" s="1010"/>
      <c r="BN529" s="1010"/>
      <c r="BO529" s="1010"/>
      <c r="BP529" s="1010"/>
      <c r="BQ529" s="1010"/>
      <c r="BR529" s="1010"/>
      <c r="BS529" s="1010"/>
      <c r="BT529" s="1010"/>
      <c r="BU529" s="1010"/>
      <c r="BV529" s="1010"/>
      <c r="BW529" s="1010"/>
      <c r="BX529" s="1010"/>
      <c r="BY529" s="1010"/>
      <c r="BZ529" s="1010"/>
      <c r="CA529" s="1010"/>
      <c r="CB529" s="1010"/>
      <c r="CC529" s="1010"/>
      <c r="CD529" s="1010"/>
      <c r="CE529" s="1010"/>
      <c r="CF529" s="1010"/>
      <c r="CG529" s="1010"/>
      <c r="CH529" s="1010"/>
      <c r="CI529" s="1010"/>
      <c r="CJ529" s="1010"/>
      <c r="CK529" s="1010"/>
      <c r="CL529" s="1010"/>
      <c r="CM529" s="1010"/>
      <c r="CN529" s="1010"/>
      <c r="CO529" s="1010"/>
      <c r="CP529" s="1010"/>
      <c r="CQ529" s="1010"/>
      <c r="CR529" s="1010"/>
      <c r="CS529" s="1010"/>
      <c r="CT529" s="1010"/>
      <c r="CU529" s="1010"/>
      <c r="CV529" s="1010"/>
      <c r="CW529" s="1010"/>
      <c r="CX529" s="1010"/>
      <c r="CY529" s="1010"/>
      <c r="CZ529" s="1010"/>
      <c r="DA529" s="1010"/>
      <c r="DB529" s="1010"/>
      <c r="DC529" s="1010"/>
      <c r="DD529" s="1010"/>
      <c r="DE529" s="1010"/>
      <c r="DF529" s="1010"/>
      <c r="DG529" s="1010"/>
      <c r="DH529" s="1010"/>
      <c r="DI529" s="1010"/>
      <c r="DJ529" s="1010"/>
      <c r="DK529" s="1010"/>
      <c r="DL529" s="1010"/>
      <c r="DM529" s="1010"/>
      <c r="DN529" s="1010"/>
      <c r="DO529" s="1010"/>
      <c r="DP529" s="1010"/>
      <c r="DQ529" s="1010"/>
      <c r="DR529" s="1010"/>
      <c r="DS529" s="1010"/>
      <c r="DT529" s="1010"/>
      <c r="DU529" s="1010"/>
      <c r="DV529" s="1010"/>
      <c r="DW529" s="1010"/>
      <c r="DX529" s="1010"/>
      <c r="DY529" s="1010"/>
      <c r="DZ529" s="1010"/>
      <c r="EA529" s="1010"/>
      <c r="EB529" s="1010"/>
      <c r="EC529" s="1010"/>
      <c r="ED529" s="1010"/>
      <c r="EE529" s="1010"/>
      <c r="EF529" s="1010"/>
      <c r="EG529" s="1010"/>
      <c r="EH529" s="1010"/>
      <c r="EI529" s="1010"/>
      <c r="EJ529" s="1010"/>
      <c r="EK529" s="1010"/>
      <c r="EL529" s="1010"/>
      <c r="EM529" s="1010"/>
      <c r="EN529" s="1010"/>
      <c r="EO529" s="1010"/>
      <c r="EP529" s="1010"/>
      <c r="EQ529" s="1010"/>
      <c r="ER529" s="1010"/>
      <c r="ES529" s="1010"/>
      <c r="ET529" s="1010"/>
      <c r="EU529" s="1010"/>
      <c r="EV529" s="1010"/>
      <c r="EW529" s="1010"/>
      <c r="EX529" s="1010"/>
      <c r="EY529" s="1010"/>
      <c r="EZ529" s="1010"/>
      <c r="FA529" s="1010"/>
      <c r="FB529" s="1010"/>
      <c r="FC529" s="1010"/>
      <c r="FD529" s="1010"/>
      <c r="FE529" s="1010"/>
      <c r="FF529" s="1010"/>
      <c r="FG529" s="1010"/>
      <c r="FH529" s="1010"/>
      <c r="FI529" s="1010"/>
      <c r="FJ529" s="1010"/>
      <c r="FK529" s="1010"/>
      <c r="FL529" s="1010"/>
      <c r="FM529" s="1010"/>
      <c r="FN529" s="1010"/>
      <c r="FO529" s="1010"/>
      <c r="FP529" s="1010"/>
      <c r="FQ529" s="1010"/>
      <c r="FR529" s="1010"/>
      <c r="FS529" s="1010"/>
      <c r="FT529" s="1010"/>
      <c r="FU529" s="1010"/>
      <c r="FV529" s="1010"/>
      <c r="FW529" s="1010"/>
      <c r="FX529" s="1010"/>
      <c r="FY529" s="1010"/>
    </row>
    <row r="530" spans="1:181" s="1002" customFormat="1" ht="41.25" customHeight="1">
      <c r="A530" s="1319">
        <v>27</v>
      </c>
      <c r="B530" s="1139" t="s">
        <v>1837</v>
      </c>
      <c r="C530" s="1154">
        <v>1961</v>
      </c>
      <c r="D530" s="1017"/>
      <c r="E530" s="1009" t="s">
        <v>218</v>
      </c>
      <c r="F530" s="1185">
        <v>5</v>
      </c>
      <c r="G530" s="1185">
        <v>2</v>
      </c>
      <c r="H530" s="1186">
        <v>1732.1</v>
      </c>
      <c r="I530" s="1186">
        <v>1608.1</v>
      </c>
      <c r="J530" s="1186">
        <f>1608.1-263.9</f>
        <v>1344.1999999999998</v>
      </c>
      <c r="K530" s="1187">
        <v>79</v>
      </c>
      <c r="L530" s="1184">
        <v>5240312.92</v>
      </c>
      <c r="M530" s="1184">
        <v>0</v>
      </c>
      <c r="N530" s="1184">
        <v>0</v>
      </c>
      <c r="O530" s="1184">
        <f t="shared" si="152"/>
        <v>5240312.92</v>
      </c>
      <c r="P530" s="1184">
        <v>0</v>
      </c>
      <c r="Q530" s="1184">
        <v>0</v>
      </c>
      <c r="R530" s="1319">
        <v>2016</v>
      </c>
      <c r="S530" s="1158" t="s">
        <v>1486</v>
      </c>
      <c r="T530" s="1010"/>
      <c r="U530" s="1010"/>
      <c r="V530" s="1010"/>
      <c r="W530" s="1010"/>
      <c r="X530" s="1010"/>
      <c r="Y530" s="1010"/>
      <c r="Z530" s="1010"/>
      <c r="AA530" s="1010"/>
      <c r="AB530" s="1010"/>
      <c r="AC530" s="1010"/>
      <c r="AD530" s="1010"/>
      <c r="AE530" s="1010"/>
      <c r="AF530" s="1010"/>
      <c r="AG530" s="1010"/>
      <c r="AH530" s="1010"/>
      <c r="AI530" s="1010"/>
      <c r="AJ530" s="1010"/>
      <c r="AK530" s="1010"/>
      <c r="AL530" s="1010"/>
      <c r="AM530" s="1010"/>
      <c r="AN530" s="1010"/>
      <c r="AO530" s="1010"/>
      <c r="AP530" s="1010"/>
      <c r="AQ530" s="1010"/>
      <c r="AR530" s="1010"/>
      <c r="AS530" s="1010"/>
      <c r="AT530" s="1010"/>
      <c r="AU530" s="1010"/>
      <c r="AV530" s="1010"/>
      <c r="AW530" s="1010"/>
      <c r="AX530" s="1010"/>
      <c r="AY530" s="1010"/>
      <c r="AZ530" s="1010"/>
      <c r="BA530" s="1010"/>
      <c r="BB530" s="1010"/>
      <c r="BC530" s="1010"/>
      <c r="BD530" s="1010"/>
      <c r="BE530" s="1010"/>
      <c r="BF530" s="1010"/>
      <c r="BG530" s="1010"/>
      <c r="BH530" s="1010"/>
      <c r="BI530" s="1010"/>
      <c r="BJ530" s="1010"/>
      <c r="BK530" s="1010"/>
      <c r="BL530" s="1010"/>
      <c r="BM530" s="1010"/>
      <c r="BN530" s="1010"/>
      <c r="BO530" s="1010"/>
      <c r="BP530" s="1010"/>
      <c r="BQ530" s="1010"/>
      <c r="BR530" s="1010"/>
      <c r="BS530" s="1010"/>
      <c r="BT530" s="1010"/>
      <c r="BU530" s="1010"/>
      <c r="BV530" s="1010"/>
      <c r="BW530" s="1010"/>
      <c r="BX530" s="1010"/>
      <c r="BY530" s="1010"/>
      <c r="BZ530" s="1010"/>
      <c r="CA530" s="1010"/>
      <c r="CB530" s="1010"/>
      <c r="CC530" s="1010"/>
      <c r="CD530" s="1010"/>
      <c r="CE530" s="1010"/>
      <c r="CF530" s="1010"/>
      <c r="CG530" s="1010"/>
      <c r="CH530" s="1010"/>
      <c r="CI530" s="1010"/>
      <c r="CJ530" s="1010"/>
      <c r="CK530" s="1010"/>
      <c r="CL530" s="1010"/>
      <c r="CM530" s="1010"/>
      <c r="CN530" s="1010"/>
      <c r="CO530" s="1010"/>
      <c r="CP530" s="1010"/>
      <c r="CQ530" s="1010"/>
      <c r="CR530" s="1010"/>
      <c r="CS530" s="1010"/>
      <c r="CT530" s="1010"/>
      <c r="CU530" s="1010"/>
      <c r="CV530" s="1010"/>
      <c r="CW530" s="1010"/>
      <c r="CX530" s="1010"/>
      <c r="CY530" s="1010"/>
      <c r="CZ530" s="1010"/>
      <c r="DA530" s="1010"/>
      <c r="DB530" s="1010"/>
      <c r="DC530" s="1010"/>
      <c r="DD530" s="1010"/>
      <c r="DE530" s="1010"/>
      <c r="DF530" s="1010"/>
      <c r="DG530" s="1010"/>
      <c r="DH530" s="1010"/>
      <c r="DI530" s="1010"/>
      <c r="DJ530" s="1010"/>
      <c r="DK530" s="1010"/>
      <c r="DL530" s="1010"/>
      <c r="DM530" s="1010"/>
      <c r="DN530" s="1010"/>
      <c r="DO530" s="1010"/>
      <c r="DP530" s="1010"/>
      <c r="DQ530" s="1010"/>
      <c r="DR530" s="1010"/>
      <c r="DS530" s="1010"/>
      <c r="DT530" s="1010"/>
      <c r="DU530" s="1010"/>
      <c r="DV530" s="1010"/>
      <c r="DW530" s="1010"/>
      <c r="DX530" s="1010"/>
      <c r="DY530" s="1010"/>
      <c r="DZ530" s="1010"/>
      <c r="EA530" s="1010"/>
      <c r="EB530" s="1010"/>
      <c r="EC530" s="1010"/>
      <c r="ED530" s="1010"/>
      <c r="EE530" s="1010"/>
      <c r="EF530" s="1010"/>
      <c r="EG530" s="1010"/>
      <c r="EH530" s="1010"/>
      <c r="EI530" s="1010"/>
      <c r="EJ530" s="1010"/>
      <c r="EK530" s="1010"/>
      <c r="EL530" s="1010"/>
      <c r="EM530" s="1010"/>
      <c r="EN530" s="1010"/>
      <c r="EO530" s="1010"/>
      <c r="EP530" s="1010"/>
      <c r="EQ530" s="1010"/>
      <c r="ER530" s="1010"/>
      <c r="ES530" s="1010"/>
      <c r="ET530" s="1010"/>
      <c r="EU530" s="1010"/>
      <c r="EV530" s="1010"/>
      <c r="EW530" s="1010"/>
      <c r="EX530" s="1010"/>
      <c r="EY530" s="1010"/>
      <c r="EZ530" s="1010"/>
      <c r="FA530" s="1010"/>
      <c r="FB530" s="1010"/>
      <c r="FC530" s="1010"/>
      <c r="FD530" s="1010"/>
      <c r="FE530" s="1010"/>
      <c r="FF530" s="1010"/>
      <c r="FG530" s="1010"/>
      <c r="FH530" s="1010"/>
      <c r="FI530" s="1010"/>
      <c r="FJ530" s="1010"/>
      <c r="FK530" s="1010"/>
      <c r="FL530" s="1010"/>
      <c r="FM530" s="1010"/>
      <c r="FN530" s="1010"/>
      <c r="FO530" s="1010"/>
      <c r="FP530" s="1010"/>
      <c r="FQ530" s="1010"/>
      <c r="FR530" s="1010"/>
      <c r="FS530" s="1010"/>
      <c r="FT530" s="1010"/>
      <c r="FU530" s="1010"/>
      <c r="FV530" s="1010"/>
      <c r="FW530" s="1010"/>
      <c r="FX530" s="1010"/>
      <c r="FY530" s="1010"/>
    </row>
    <row r="531" spans="1:181" s="1002" customFormat="1" ht="41.25" customHeight="1">
      <c r="A531" s="1319">
        <v>28</v>
      </c>
      <c r="B531" s="1139" t="s">
        <v>1838</v>
      </c>
      <c r="C531" s="1017">
        <v>1937</v>
      </c>
      <c r="D531" s="1017"/>
      <c r="E531" s="1009" t="s">
        <v>218</v>
      </c>
      <c r="F531" s="1017">
        <v>4</v>
      </c>
      <c r="G531" s="1017">
        <v>9</v>
      </c>
      <c r="H531" s="1017">
        <v>6091.4</v>
      </c>
      <c r="I531" s="1017">
        <v>5348.4</v>
      </c>
      <c r="J531" s="1017">
        <f>3926.4-62.1</f>
        <v>3864.3</v>
      </c>
      <c r="K531" s="1017">
        <v>114</v>
      </c>
      <c r="L531" s="1184">
        <v>9049205.0199999996</v>
      </c>
      <c r="M531" s="1184">
        <v>0</v>
      </c>
      <c r="N531" s="1184">
        <v>0</v>
      </c>
      <c r="O531" s="1184">
        <f t="shared" si="152"/>
        <v>9049205.0199999996</v>
      </c>
      <c r="P531" s="1184">
        <v>0</v>
      </c>
      <c r="Q531" s="1184">
        <v>0</v>
      </c>
      <c r="R531" s="1319">
        <v>2016</v>
      </c>
      <c r="S531" s="1158" t="s">
        <v>1486</v>
      </c>
      <c r="T531" s="1010"/>
      <c r="U531" s="1010"/>
      <c r="V531" s="1010"/>
      <c r="W531" s="1010"/>
      <c r="X531" s="1010"/>
      <c r="Y531" s="1010"/>
      <c r="Z531" s="1010"/>
      <c r="AA531" s="1010"/>
      <c r="AB531" s="1010"/>
      <c r="AC531" s="1010"/>
      <c r="AD531" s="1010"/>
      <c r="AE531" s="1010"/>
      <c r="AF531" s="1010"/>
      <c r="AG531" s="1010"/>
      <c r="AH531" s="1010"/>
      <c r="AI531" s="1010"/>
      <c r="AJ531" s="1010"/>
      <c r="AK531" s="1010"/>
      <c r="AL531" s="1010"/>
      <c r="AM531" s="1010"/>
      <c r="AN531" s="1010"/>
      <c r="AO531" s="1010"/>
      <c r="AP531" s="1010"/>
      <c r="AQ531" s="1010"/>
      <c r="AR531" s="1010"/>
      <c r="AS531" s="1010"/>
      <c r="AT531" s="1010"/>
      <c r="AU531" s="1010"/>
      <c r="AV531" s="1010"/>
      <c r="AW531" s="1010"/>
      <c r="AX531" s="1010"/>
      <c r="AY531" s="1010"/>
      <c r="AZ531" s="1010"/>
      <c r="BA531" s="1010"/>
      <c r="BB531" s="1010"/>
      <c r="BC531" s="1010"/>
      <c r="BD531" s="1010"/>
      <c r="BE531" s="1010"/>
      <c r="BF531" s="1010"/>
      <c r="BG531" s="1010"/>
      <c r="BH531" s="1010"/>
      <c r="BI531" s="1010"/>
      <c r="BJ531" s="1010"/>
      <c r="BK531" s="1010"/>
      <c r="BL531" s="1010"/>
      <c r="BM531" s="1010"/>
      <c r="BN531" s="1010"/>
      <c r="BO531" s="1010"/>
      <c r="BP531" s="1010"/>
      <c r="BQ531" s="1010"/>
      <c r="BR531" s="1010"/>
      <c r="BS531" s="1010"/>
      <c r="BT531" s="1010"/>
      <c r="BU531" s="1010"/>
      <c r="BV531" s="1010"/>
      <c r="BW531" s="1010"/>
      <c r="BX531" s="1010"/>
      <c r="BY531" s="1010"/>
      <c r="BZ531" s="1010"/>
      <c r="CA531" s="1010"/>
      <c r="CB531" s="1010"/>
      <c r="CC531" s="1010"/>
      <c r="CD531" s="1010"/>
      <c r="CE531" s="1010"/>
      <c r="CF531" s="1010"/>
      <c r="CG531" s="1010"/>
      <c r="CH531" s="1010"/>
      <c r="CI531" s="1010"/>
      <c r="CJ531" s="1010"/>
      <c r="CK531" s="1010"/>
      <c r="CL531" s="1010"/>
      <c r="CM531" s="1010"/>
      <c r="CN531" s="1010"/>
      <c r="CO531" s="1010"/>
      <c r="CP531" s="1010"/>
      <c r="CQ531" s="1010"/>
      <c r="CR531" s="1010"/>
      <c r="CS531" s="1010"/>
      <c r="CT531" s="1010"/>
      <c r="CU531" s="1010"/>
      <c r="CV531" s="1010"/>
      <c r="CW531" s="1010"/>
      <c r="CX531" s="1010"/>
      <c r="CY531" s="1010"/>
      <c r="CZ531" s="1010"/>
      <c r="DA531" s="1010"/>
      <c r="DB531" s="1010"/>
      <c r="DC531" s="1010"/>
      <c r="DD531" s="1010"/>
      <c r="DE531" s="1010"/>
      <c r="DF531" s="1010"/>
      <c r="DG531" s="1010"/>
      <c r="DH531" s="1010"/>
      <c r="DI531" s="1010"/>
      <c r="DJ531" s="1010"/>
      <c r="DK531" s="1010"/>
      <c r="DL531" s="1010"/>
      <c r="DM531" s="1010"/>
      <c r="DN531" s="1010"/>
      <c r="DO531" s="1010"/>
      <c r="DP531" s="1010"/>
      <c r="DQ531" s="1010"/>
      <c r="DR531" s="1010"/>
      <c r="DS531" s="1010"/>
      <c r="DT531" s="1010"/>
      <c r="DU531" s="1010"/>
      <c r="DV531" s="1010"/>
      <c r="DW531" s="1010"/>
      <c r="DX531" s="1010"/>
      <c r="DY531" s="1010"/>
      <c r="DZ531" s="1010"/>
      <c r="EA531" s="1010"/>
      <c r="EB531" s="1010"/>
      <c r="EC531" s="1010"/>
      <c r="ED531" s="1010"/>
      <c r="EE531" s="1010"/>
      <c r="EF531" s="1010"/>
      <c r="EG531" s="1010"/>
      <c r="EH531" s="1010"/>
      <c r="EI531" s="1010"/>
      <c r="EJ531" s="1010"/>
      <c r="EK531" s="1010"/>
      <c r="EL531" s="1010"/>
      <c r="EM531" s="1010"/>
      <c r="EN531" s="1010"/>
      <c r="EO531" s="1010"/>
      <c r="EP531" s="1010"/>
      <c r="EQ531" s="1010"/>
      <c r="ER531" s="1010"/>
      <c r="ES531" s="1010"/>
      <c r="ET531" s="1010"/>
      <c r="EU531" s="1010"/>
      <c r="EV531" s="1010"/>
      <c r="EW531" s="1010"/>
      <c r="EX531" s="1010"/>
      <c r="EY531" s="1010"/>
      <c r="EZ531" s="1010"/>
      <c r="FA531" s="1010"/>
      <c r="FB531" s="1010"/>
      <c r="FC531" s="1010"/>
      <c r="FD531" s="1010"/>
      <c r="FE531" s="1010"/>
      <c r="FF531" s="1010"/>
      <c r="FG531" s="1010"/>
      <c r="FH531" s="1010"/>
      <c r="FI531" s="1010"/>
      <c r="FJ531" s="1010"/>
      <c r="FK531" s="1010"/>
      <c r="FL531" s="1010"/>
      <c r="FM531" s="1010"/>
      <c r="FN531" s="1010"/>
      <c r="FO531" s="1010"/>
      <c r="FP531" s="1010"/>
      <c r="FQ531" s="1010"/>
      <c r="FR531" s="1010"/>
      <c r="FS531" s="1010"/>
      <c r="FT531" s="1010"/>
      <c r="FU531" s="1010"/>
      <c r="FV531" s="1010"/>
      <c r="FW531" s="1010"/>
      <c r="FX531" s="1010"/>
      <c r="FY531" s="1010"/>
    </row>
    <row r="532" spans="1:181" s="1002" customFormat="1" ht="41.25" customHeight="1">
      <c r="A532" s="1319">
        <v>29</v>
      </c>
      <c r="B532" s="1139" t="s">
        <v>1839</v>
      </c>
      <c r="C532" s="1154">
        <v>1961</v>
      </c>
      <c r="D532" s="1017"/>
      <c r="E532" s="1009" t="s">
        <v>218</v>
      </c>
      <c r="F532" s="1185">
        <v>5</v>
      </c>
      <c r="G532" s="1185">
        <v>4</v>
      </c>
      <c r="H532" s="1186">
        <v>3760.3</v>
      </c>
      <c r="I532" s="1186">
        <v>3400.51</v>
      </c>
      <c r="J532" s="1186">
        <f>2497.9-100.3</f>
        <v>2397.6</v>
      </c>
      <c r="K532" s="1187">
        <v>105</v>
      </c>
      <c r="L532" s="1184">
        <v>2583495.7799999998</v>
      </c>
      <c r="M532" s="1184">
        <v>0</v>
      </c>
      <c r="N532" s="1184">
        <v>0</v>
      </c>
      <c r="O532" s="1184">
        <f t="shared" si="152"/>
        <v>2583495.7799999998</v>
      </c>
      <c r="P532" s="1184">
        <v>0</v>
      </c>
      <c r="Q532" s="1184">
        <v>0</v>
      </c>
      <c r="R532" s="1319">
        <v>2016</v>
      </c>
      <c r="S532" s="1158" t="s">
        <v>1486</v>
      </c>
      <c r="T532" s="1010"/>
      <c r="U532" s="1010"/>
      <c r="V532" s="1010"/>
      <c r="W532" s="1010"/>
      <c r="X532" s="1010"/>
      <c r="Y532" s="1010"/>
      <c r="Z532" s="1010"/>
      <c r="AA532" s="1010"/>
      <c r="AB532" s="1010"/>
      <c r="AC532" s="1010"/>
      <c r="AD532" s="1010"/>
      <c r="AE532" s="1010"/>
      <c r="AF532" s="1010"/>
      <c r="AG532" s="1010"/>
      <c r="AH532" s="1010"/>
      <c r="AI532" s="1010"/>
      <c r="AJ532" s="1010"/>
      <c r="AK532" s="1010"/>
      <c r="AL532" s="1010"/>
      <c r="AM532" s="1010"/>
      <c r="AN532" s="1010"/>
      <c r="AO532" s="1010"/>
      <c r="AP532" s="1010"/>
      <c r="AQ532" s="1010"/>
      <c r="AR532" s="1010"/>
      <c r="AS532" s="1010"/>
      <c r="AT532" s="1010"/>
      <c r="AU532" s="1010"/>
      <c r="AV532" s="1010"/>
      <c r="AW532" s="1010"/>
      <c r="AX532" s="1010"/>
      <c r="AY532" s="1010"/>
      <c r="AZ532" s="1010"/>
      <c r="BA532" s="1010"/>
      <c r="BB532" s="1010"/>
      <c r="BC532" s="1010"/>
      <c r="BD532" s="1010"/>
      <c r="BE532" s="1010"/>
      <c r="BF532" s="1010"/>
      <c r="BG532" s="1010"/>
      <c r="BH532" s="1010"/>
      <c r="BI532" s="1010"/>
      <c r="BJ532" s="1010"/>
      <c r="BK532" s="1010"/>
      <c r="BL532" s="1010"/>
      <c r="BM532" s="1010"/>
      <c r="BN532" s="1010"/>
      <c r="BO532" s="1010"/>
      <c r="BP532" s="1010"/>
      <c r="BQ532" s="1010"/>
      <c r="BR532" s="1010"/>
      <c r="BS532" s="1010"/>
      <c r="BT532" s="1010"/>
      <c r="BU532" s="1010"/>
      <c r="BV532" s="1010"/>
      <c r="BW532" s="1010"/>
      <c r="BX532" s="1010"/>
      <c r="BY532" s="1010"/>
      <c r="BZ532" s="1010"/>
      <c r="CA532" s="1010"/>
      <c r="CB532" s="1010"/>
      <c r="CC532" s="1010"/>
      <c r="CD532" s="1010"/>
      <c r="CE532" s="1010"/>
      <c r="CF532" s="1010"/>
      <c r="CG532" s="1010"/>
      <c r="CH532" s="1010"/>
      <c r="CI532" s="1010"/>
      <c r="CJ532" s="1010"/>
      <c r="CK532" s="1010"/>
      <c r="CL532" s="1010"/>
      <c r="CM532" s="1010"/>
      <c r="CN532" s="1010"/>
      <c r="CO532" s="1010"/>
      <c r="CP532" s="1010"/>
      <c r="CQ532" s="1010"/>
      <c r="CR532" s="1010"/>
      <c r="CS532" s="1010"/>
      <c r="CT532" s="1010"/>
      <c r="CU532" s="1010"/>
      <c r="CV532" s="1010"/>
      <c r="CW532" s="1010"/>
      <c r="CX532" s="1010"/>
      <c r="CY532" s="1010"/>
      <c r="CZ532" s="1010"/>
      <c r="DA532" s="1010"/>
      <c r="DB532" s="1010"/>
      <c r="DC532" s="1010"/>
      <c r="DD532" s="1010"/>
      <c r="DE532" s="1010"/>
      <c r="DF532" s="1010"/>
      <c r="DG532" s="1010"/>
      <c r="DH532" s="1010"/>
      <c r="DI532" s="1010"/>
      <c r="DJ532" s="1010"/>
      <c r="DK532" s="1010"/>
      <c r="DL532" s="1010"/>
      <c r="DM532" s="1010"/>
      <c r="DN532" s="1010"/>
      <c r="DO532" s="1010"/>
      <c r="DP532" s="1010"/>
      <c r="DQ532" s="1010"/>
      <c r="DR532" s="1010"/>
      <c r="DS532" s="1010"/>
      <c r="DT532" s="1010"/>
      <c r="DU532" s="1010"/>
      <c r="DV532" s="1010"/>
      <c r="DW532" s="1010"/>
      <c r="DX532" s="1010"/>
      <c r="DY532" s="1010"/>
      <c r="DZ532" s="1010"/>
      <c r="EA532" s="1010"/>
      <c r="EB532" s="1010"/>
      <c r="EC532" s="1010"/>
      <c r="ED532" s="1010"/>
      <c r="EE532" s="1010"/>
      <c r="EF532" s="1010"/>
      <c r="EG532" s="1010"/>
      <c r="EH532" s="1010"/>
      <c r="EI532" s="1010"/>
      <c r="EJ532" s="1010"/>
      <c r="EK532" s="1010"/>
      <c r="EL532" s="1010"/>
      <c r="EM532" s="1010"/>
      <c r="EN532" s="1010"/>
      <c r="EO532" s="1010"/>
      <c r="EP532" s="1010"/>
      <c r="EQ532" s="1010"/>
      <c r="ER532" s="1010"/>
      <c r="ES532" s="1010"/>
      <c r="ET532" s="1010"/>
      <c r="EU532" s="1010"/>
      <c r="EV532" s="1010"/>
      <c r="EW532" s="1010"/>
      <c r="EX532" s="1010"/>
      <c r="EY532" s="1010"/>
      <c r="EZ532" s="1010"/>
      <c r="FA532" s="1010"/>
      <c r="FB532" s="1010"/>
      <c r="FC532" s="1010"/>
      <c r="FD532" s="1010"/>
      <c r="FE532" s="1010"/>
      <c r="FF532" s="1010"/>
      <c r="FG532" s="1010"/>
      <c r="FH532" s="1010"/>
      <c r="FI532" s="1010"/>
      <c r="FJ532" s="1010"/>
      <c r="FK532" s="1010"/>
      <c r="FL532" s="1010"/>
      <c r="FM532" s="1010"/>
      <c r="FN532" s="1010"/>
      <c r="FO532" s="1010"/>
      <c r="FP532" s="1010"/>
      <c r="FQ532" s="1010"/>
      <c r="FR532" s="1010"/>
      <c r="FS532" s="1010"/>
      <c r="FT532" s="1010"/>
      <c r="FU532" s="1010"/>
      <c r="FV532" s="1010"/>
      <c r="FW532" s="1010"/>
      <c r="FX532" s="1010"/>
      <c r="FY532" s="1010"/>
    </row>
    <row r="533" spans="1:181" s="1002" customFormat="1" ht="41.25" customHeight="1">
      <c r="A533" s="1319">
        <v>30</v>
      </c>
      <c r="B533" s="1139" t="s">
        <v>1840</v>
      </c>
      <c r="C533" s="1017" t="s">
        <v>190</v>
      </c>
      <c r="D533" s="1017"/>
      <c r="E533" s="1009" t="s">
        <v>218</v>
      </c>
      <c r="F533" s="1017">
        <v>4</v>
      </c>
      <c r="G533" s="1017">
        <v>2</v>
      </c>
      <c r="H533" s="1017">
        <v>1002.4</v>
      </c>
      <c r="I533" s="1017">
        <v>878.31</v>
      </c>
      <c r="J533" s="1017">
        <f>695.5-109.4</f>
        <v>586.1</v>
      </c>
      <c r="K533" s="1017">
        <v>26</v>
      </c>
      <c r="L533" s="1184">
        <v>1271010.81</v>
      </c>
      <c r="M533" s="1184">
        <v>0</v>
      </c>
      <c r="N533" s="1184">
        <v>0</v>
      </c>
      <c r="O533" s="1184">
        <f t="shared" si="152"/>
        <v>1271010.81</v>
      </c>
      <c r="P533" s="1184">
        <v>0</v>
      </c>
      <c r="Q533" s="1184">
        <v>0</v>
      </c>
      <c r="R533" s="1319">
        <v>2016</v>
      </c>
      <c r="S533" s="1158" t="s">
        <v>1486</v>
      </c>
      <c r="T533" s="1010"/>
      <c r="U533" s="1010"/>
      <c r="V533" s="1010"/>
      <c r="W533" s="1010"/>
      <c r="X533" s="1010"/>
      <c r="Y533" s="1010"/>
      <c r="Z533" s="1010"/>
      <c r="AA533" s="1010"/>
      <c r="AB533" s="1010"/>
      <c r="AC533" s="1010"/>
      <c r="AD533" s="1010"/>
      <c r="AE533" s="1010"/>
      <c r="AF533" s="1010"/>
      <c r="AG533" s="1010"/>
      <c r="AH533" s="1010"/>
      <c r="AI533" s="1010"/>
      <c r="AJ533" s="1010"/>
      <c r="AK533" s="1010"/>
      <c r="AL533" s="1010"/>
      <c r="AM533" s="1010"/>
      <c r="AN533" s="1010"/>
      <c r="AO533" s="1010"/>
      <c r="AP533" s="1010"/>
      <c r="AQ533" s="1010"/>
      <c r="AR533" s="1010"/>
      <c r="AS533" s="1010"/>
      <c r="AT533" s="1010"/>
      <c r="AU533" s="1010"/>
      <c r="AV533" s="1010"/>
      <c r="AW533" s="1010"/>
      <c r="AX533" s="1010"/>
      <c r="AY533" s="1010"/>
      <c r="AZ533" s="1010"/>
      <c r="BA533" s="1010"/>
      <c r="BB533" s="1010"/>
      <c r="BC533" s="1010"/>
      <c r="BD533" s="1010"/>
      <c r="BE533" s="1010"/>
      <c r="BF533" s="1010"/>
      <c r="BG533" s="1010"/>
      <c r="BH533" s="1010"/>
      <c r="BI533" s="1010"/>
      <c r="BJ533" s="1010"/>
      <c r="BK533" s="1010"/>
      <c r="BL533" s="1010"/>
      <c r="BM533" s="1010"/>
      <c r="BN533" s="1010"/>
      <c r="BO533" s="1010"/>
      <c r="BP533" s="1010"/>
      <c r="BQ533" s="1010"/>
      <c r="BR533" s="1010"/>
      <c r="BS533" s="1010"/>
      <c r="BT533" s="1010"/>
      <c r="BU533" s="1010"/>
      <c r="BV533" s="1010"/>
      <c r="BW533" s="1010"/>
      <c r="BX533" s="1010"/>
      <c r="BY533" s="1010"/>
      <c r="BZ533" s="1010"/>
      <c r="CA533" s="1010"/>
      <c r="CB533" s="1010"/>
      <c r="CC533" s="1010"/>
      <c r="CD533" s="1010"/>
      <c r="CE533" s="1010"/>
      <c r="CF533" s="1010"/>
      <c r="CG533" s="1010"/>
      <c r="CH533" s="1010"/>
      <c r="CI533" s="1010"/>
      <c r="CJ533" s="1010"/>
      <c r="CK533" s="1010"/>
      <c r="CL533" s="1010"/>
      <c r="CM533" s="1010"/>
      <c r="CN533" s="1010"/>
      <c r="CO533" s="1010"/>
      <c r="CP533" s="1010"/>
      <c r="CQ533" s="1010"/>
      <c r="CR533" s="1010"/>
      <c r="CS533" s="1010"/>
      <c r="CT533" s="1010"/>
      <c r="CU533" s="1010"/>
      <c r="CV533" s="1010"/>
      <c r="CW533" s="1010"/>
      <c r="CX533" s="1010"/>
      <c r="CY533" s="1010"/>
      <c r="CZ533" s="1010"/>
      <c r="DA533" s="1010"/>
      <c r="DB533" s="1010"/>
      <c r="DC533" s="1010"/>
      <c r="DD533" s="1010"/>
      <c r="DE533" s="1010"/>
      <c r="DF533" s="1010"/>
      <c r="DG533" s="1010"/>
      <c r="DH533" s="1010"/>
      <c r="DI533" s="1010"/>
      <c r="DJ533" s="1010"/>
      <c r="DK533" s="1010"/>
      <c r="DL533" s="1010"/>
      <c r="DM533" s="1010"/>
      <c r="DN533" s="1010"/>
      <c r="DO533" s="1010"/>
      <c r="DP533" s="1010"/>
      <c r="DQ533" s="1010"/>
      <c r="DR533" s="1010"/>
      <c r="DS533" s="1010"/>
      <c r="DT533" s="1010"/>
      <c r="DU533" s="1010"/>
      <c r="DV533" s="1010"/>
      <c r="DW533" s="1010"/>
      <c r="DX533" s="1010"/>
      <c r="DY533" s="1010"/>
      <c r="DZ533" s="1010"/>
      <c r="EA533" s="1010"/>
      <c r="EB533" s="1010"/>
      <c r="EC533" s="1010"/>
      <c r="ED533" s="1010"/>
      <c r="EE533" s="1010"/>
      <c r="EF533" s="1010"/>
      <c r="EG533" s="1010"/>
      <c r="EH533" s="1010"/>
      <c r="EI533" s="1010"/>
      <c r="EJ533" s="1010"/>
      <c r="EK533" s="1010"/>
      <c r="EL533" s="1010"/>
      <c r="EM533" s="1010"/>
      <c r="EN533" s="1010"/>
      <c r="EO533" s="1010"/>
      <c r="EP533" s="1010"/>
      <c r="EQ533" s="1010"/>
      <c r="ER533" s="1010"/>
      <c r="ES533" s="1010"/>
      <c r="ET533" s="1010"/>
      <c r="EU533" s="1010"/>
      <c r="EV533" s="1010"/>
      <c r="EW533" s="1010"/>
      <c r="EX533" s="1010"/>
      <c r="EY533" s="1010"/>
      <c r="EZ533" s="1010"/>
      <c r="FA533" s="1010"/>
      <c r="FB533" s="1010"/>
      <c r="FC533" s="1010"/>
      <c r="FD533" s="1010"/>
      <c r="FE533" s="1010"/>
      <c r="FF533" s="1010"/>
      <c r="FG533" s="1010"/>
      <c r="FH533" s="1010"/>
      <c r="FI533" s="1010"/>
      <c r="FJ533" s="1010"/>
      <c r="FK533" s="1010"/>
      <c r="FL533" s="1010"/>
      <c r="FM533" s="1010"/>
      <c r="FN533" s="1010"/>
      <c r="FO533" s="1010"/>
      <c r="FP533" s="1010"/>
      <c r="FQ533" s="1010"/>
      <c r="FR533" s="1010"/>
      <c r="FS533" s="1010"/>
      <c r="FT533" s="1010"/>
      <c r="FU533" s="1010"/>
      <c r="FV533" s="1010"/>
      <c r="FW533" s="1010"/>
      <c r="FX533" s="1010"/>
      <c r="FY533" s="1010"/>
    </row>
    <row r="534" spans="1:181" s="1002" customFormat="1" ht="41.25" customHeight="1">
      <c r="A534" s="1319">
        <v>31</v>
      </c>
      <c r="B534" s="1139" t="s">
        <v>1841</v>
      </c>
      <c r="C534" s="1009">
        <v>1951</v>
      </c>
      <c r="D534" s="1017"/>
      <c r="E534" s="1009" t="s">
        <v>218</v>
      </c>
      <c r="F534" s="1017">
        <v>3</v>
      </c>
      <c r="G534" s="1017">
        <v>3</v>
      </c>
      <c r="H534" s="1183">
        <v>2112</v>
      </c>
      <c r="I534" s="1183">
        <v>1945.5</v>
      </c>
      <c r="J534" s="1183">
        <f>I534-198</f>
        <v>1747.5</v>
      </c>
      <c r="K534" s="1134">
        <v>79</v>
      </c>
      <c r="L534" s="1184">
        <v>2253297</v>
      </c>
      <c r="M534" s="1184">
        <v>0</v>
      </c>
      <c r="N534" s="1184">
        <v>0</v>
      </c>
      <c r="O534" s="1184">
        <f t="shared" si="152"/>
        <v>2253297</v>
      </c>
      <c r="P534" s="1184">
        <v>0</v>
      </c>
      <c r="Q534" s="1184">
        <v>0</v>
      </c>
      <c r="R534" s="1319">
        <v>2016</v>
      </c>
      <c r="S534" s="1158" t="s">
        <v>1486</v>
      </c>
      <c r="T534" s="1010"/>
      <c r="U534" s="1010"/>
      <c r="V534" s="1010"/>
      <c r="W534" s="1010"/>
      <c r="X534" s="1010"/>
      <c r="Y534" s="1010"/>
      <c r="Z534" s="1010"/>
      <c r="AA534" s="1010"/>
      <c r="AB534" s="1010"/>
      <c r="AC534" s="1010"/>
      <c r="AD534" s="1010"/>
      <c r="AE534" s="1010"/>
      <c r="AF534" s="1010"/>
      <c r="AG534" s="1010"/>
      <c r="AH534" s="1010"/>
      <c r="AI534" s="1010"/>
      <c r="AJ534" s="1010"/>
      <c r="AK534" s="1010"/>
      <c r="AL534" s="1010"/>
      <c r="AM534" s="1010"/>
      <c r="AN534" s="1010"/>
      <c r="AO534" s="1010"/>
      <c r="AP534" s="1010"/>
      <c r="AQ534" s="1010"/>
      <c r="AR534" s="1010"/>
      <c r="AS534" s="1010"/>
      <c r="AT534" s="1010"/>
      <c r="AU534" s="1010"/>
      <c r="AV534" s="1010"/>
      <c r="AW534" s="1010"/>
      <c r="AX534" s="1010"/>
      <c r="AY534" s="1010"/>
      <c r="AZ534" s="1010"/>
      <c r="BA534" s="1010"/>
      <c r="BB534" s="1010"/>
      <c r="BC534" s="1010"/>
      <c r="BD534" s="1010"/>
      <c r="BE534" s="1010"/>
      <c r="BF534" s="1010"/>
      <c r="BG534" s="1010"/>
      <c r="BH534" s="1010"/>
      <c r="BI534" s="1010"/>
      <c r="BJ534" s="1010"/>
      <c r="BK534" s="1010"/>
      <c r="BL534" s="1010"/>
      <c r="BM534" s="1010"/>
      <c r="BN534" s="1010"/>
      <c r="BO534" s="1010"/>
      <c r="BP534" s="1010"/>
      <c r="BQ534" s="1010"/>
      <c r="BR534" s="1010"/>
      <c r="BS534" s="1010"/>
      <c r="BT534" s="1010"/>
      <c r="BU534" s="1010"/>
      <c r="BV534" s="1010"/>
      <c r="BW534" s="1010"/>
      <c r="BX534" s="1010"/>
      <c r="BY534" s="1010"/>
      <c r="BZ534" s="1010"/>
      <c r="CA534" s="1010"/>
      <c r="CB534" s="1010"/>
      <c r="CC534" s="1010"/>
      <c r="CD534" s="1010"/>
      <c r="CE534" s="1010"/>
      <c r="CF534" s="1010"/>
      <c r="CG534" s="1010"/>
      <c r="CH534" s="1010"/>
      <c r="CI534" s="1010"/>
      <c r="CJ534" s="1010"/>
      <c r="CK534" s="1010"/>
      <c r="CL534" s="1010"/>
      <c r="CM534" s="1010"/>
      <c r="CN534" s="1010"/>
      <c r="CO534" s="1010"/>
      <c r="CP534" s="1010"/>
      <c r="CQ534" s="1010"/>
      <c r="CR534" s="1010"/>
      <c r="CS534" s="1010"/>
      <c r="CT534" s="1010"/>
      <c r="CU534" s="1010"/>
      <c r="CV534" s="1010"/>
      <c r="CW534" s="1010"/>
      <c r="CX534" s="1010"/>
      <c r="CY534" s="1010"/>
      <c r="CZ534" s="1010"/>
      <c r="DA534" s="1010"/>
      <c r="DB534" s="1010"/>
      <c r="DC534" s="1010"/>
      <c r="DD534" s="1010"/>
      <c r="DE534" s="1010"/>
      <c r="DF534" s="1010"/>
      <c r="DG534" s="1010"/>
      <c r="DH534" s="1010"/>
      <c r="DI534" s="1010"/>
      <c r="DJ534" s="1010"/>
      <c r="DK534" s="1010"/>
      <c r="DL534" s="1010"/>
      <c r="DM534" s="1010"/>
      <c r="DN534" s="1010"/>
      <c r="DO534" s="1010"/>
      <c r="DP534" s="1010"/>
      <c r="DQ534" s="1010"/>
      <c r="DR534" s="1010"/>
      <c r="DS534" s="1010"/>
      <c r="DT534" s="1010"/>
      <c r="DU534" s="1010"/>
      <c r="DV534" s="1010"/>
      <c r="DW534" s="1010"/>
      <c r="DX534" s="1010"/>
      <c r="DY534" s="1010"/>
      <c r="DZ534" s="1010"/>
      <c r="EA534" s="1010"/>
      <c r="EB534" s="1010"/>
      <c r="EC534" s="1010"/>
      <c r="ED534" s="1010"/>
      <c r="EE534" s="1010"/>
      <c r="EF534" s="1010"/>
      <c r="EG534" s="1010"/>
      <c r="EH534" s="1010"/>
      <c r="EI534" s="1010"/>
      <c r="EJ534" s="1010"/>
      <c r="EK534" s="1010"/>
      <c r="EL534" s="1010"/>
      <c r="EM534" s="1010"/>
      <c r="EN534" s="1010"/>
      <c r="EO534" s="1010"/>
      <c r="EP534" s="1010"/>
      <c r="EQ534" s="1010"/>
      <c r="ER534" s="1010"/>
      <c r="ES534" s="1010"/>
      <c r="ET534" s="1010"/>
      <c r="EU534" s="1010"/>
      <c r="EV534" s="1010"/>
      <c r="EW534" s="1010"/>
      <c r="EX534" s="1010"/>
      <c r="EY534" s="1010"/>
      <c r="EZ534" s="1010"/>
      <c r="FA534" s="1010"/>
      <c r="FB534" s="1010"/>
      <c r="FC534" s="1010"/>
      <c r="FD534" s="1010"/>
      <c r="FE534" s="1010"/>
      <c r="FF534" s="1010"/>
      <c r="FG534" s="1010"/>
      <c r="FH534" s="1010"/>
      <c r="FI534" s="1010"/>
      <c r="FJ534" s="1010"/>
      <c r="FK534" s="1010"/>
      <c r="FL534" s="1010"/>
      <c r="FM534" s="1010"/>
      <c r="FN534" s="1010"/>
      <c r="FO534" s="1010"/>
      <c r="FP534" s="1010"/>
      <c r="FQ534" s="1010"/>
      <c r="FR534" s="1010"/>
      <c r="FS534" s="1010"/>
      <c r="FT534" s="1010"/>
      <c r="FU534" s="1010"/>
      <c r="FV534" s="1010"/>
      <c r="FW534" s="1010"/>
      <c r="FX534" s="1010"/>
      <c r="FY534" s="1010"/>
    </row>
    <row r="535" spans="1:181" s="1002" customFormat="1" ht="41.25" customHeight="1">
      <c r="A535" s="1319">
        <v>32</v>
      </c>
      <c r="B535" s="1139" t="s">
        <v>1842</v>
      </c>
      <c r="C535" s="1017">
        <v>1977</v>
      </c>
      <c r="D535" s="1017"/>
      <c r="E535" s="1009" t="s">
        <v>218</v>
      </c>
      <c r="F535" s="1017">
        <v>5</v>
      </c>
      <c r="G535" s="1017">
        <v>6</v>
      </c>
      <c r="H535" s="1017">
        <v>4612</v>
      </c>
      <c r="I535" s="1017">
        <v>4552.5</v>
      </c>
      <c r="J535" s="1017">
        <f>4461.8-285.7</f>
        <v>4176.1000000000004</v>
      </c>
      <c r="K535" s="1017">
        <v>191</v>
      </c>
      <c r="L535" s="1184">
        <v>3687908</v>
      </c>
      <c r="M535" s="1184">
        <v>0</v>
      </c>
      <c r="N535" s="1184">
        <v>0</v>
      </c>
      <c r="O535" s="1184">
        <f t="shared" si="152"/>
        <v>3687908</v>
      </c>
      <c r="P535" s="1184">
        <v>0</v>
      </c>
      <c r="Q535" s="1184">
        <v>0</v>
      </c>
      <c r="R535" s="1319">
        <v>2016</v>
      </c>
      <c r="S535" s="1158" t="s">
        <v>1486</v>
      </c>
      <c r="T535" s="1010"/>
      <c r="U535" s="1010"/>
      <c r="V535" s="1010"/>
      <c r="W535" s="1010"/>
      <c r="X535" s="1010"/>
      <c r="Y535" s="1010"/>
      <c r="Z535" s="1010"/>
      <c r="AA535" s="1010"/>
      <c r="AB535" s="1010"/>
      <c r="AC535" s="1010"/>
      <c r="AD535" s="1010"/>
      <c r="AE535" s="1010"/>
      <c r="AF535" s="1010"/>
      <c r="AG535" s="1010"/>
      <c r="AH535" s="1010"/>
      <c r="AI535" s="1010"/>
      <c r="AJ535" s="1010"/>
      <c r="AK535" s="1010"/>
      <c r="AL535" s="1010"/>
      <c r="AM535" s="1010"/>
      <c r="AN535" s="1010"/>
      <c r="AO535" s="1010"/>
      <c r="AP535" s="1010"/>
      <c r="AQ535" s="1010"/>
      <c r="AR535" s="1010"/>
      <c r="AS535" s="1010"/>
      <c r="AT535" s="1010"/>
      <c r="AU535" s="1010"/>
      <c r="AV535" s="1010"/>
      <c r="AW535" s="1010"/>
      <c r="AX535" s="1010"/>
      <c r="AY535" s="1010"/>
      <c r="AZ535" s="1010"/>
      <c r="BA535" s="1010"/>
      <c r="BB535" s="1010"/>
      <c r="BC535" s="1010"/>
      <c r="BD535" s="1010"/>
      <c r="BE535" s="1010"/>
      <c r="BF535" s="1010"/>
      <c r="BG535" s="1010"/>
      <c r="BH535" s="1010"/>
      <c r="BI535" s="1010"/>
      <c r="BJ535" s="1010"/>
      <c r="BK535" s="1010"/>
      <c r="BL535" s="1010"/>
      <c r="BM535" s="1010"/>
      <c r="BN535" s="1010"/>
      <c r="BO535" s="1010"/>
      <c r="BP535" s="1010"/>
      <c r="BQ535" s="1010"/>
      <c r="BR535" s="1010"/>
      <c r="BS535" s="1010"/>
      <c r="BT535" s="1010"/>
      <c r="BU535" s="1010"/>
      <c r="BV535" s="1010"/>
      <c r="BW535" s="1010"/>
      <c r="BX535" s="1010"/>
      <c r="BY535" s="1010"/>
      <c r="BZ535" s="1010"/>
      <c r="CA535" s="1010"/>
      <c r="CB535" s="1010"/>
      <c r="CC535" s="1010"/>
      <c r="CD535" s="1010"/>
      <c r="CE535" s="1010"/>
      <c r="CF535" s="1010"/>
      <c r="CG535" s="1010"/>
      <c r="CH535" s="1010"/>
      <c r="CI535" s="1010"/>
      <c r="CJ535" s="1010"/>
      <c r="CK535" s="1010"/>
      <c r="CL535" s="1010"/>
      <c r="CM535" s="1010"/>
      <c r="CN535" s="1010"/>
      <c r="CO535" s="1010"/>
      <c r="CP535" s="1010"/>
      <c r="CQ535" s="1010"/>
      <c r="CR535" s="1010"/>
      <c r="CS535" s="1010"/>
      <c r="CT535" s="1010"/>
      <c r="CU535" s="1010"/>
      <c r="CV535" s="1010"/>
      <c r="CW535" s="1010"/>
      <c r="CX535" s="1010"/>
      <c r="CY535" s="1010"/>
      <c r="CZ535" s="1010"/>
      <c r="DA535" s="1010"/>
      <c r="DB535" s="1010"/>
      <c r="DC535" s="1010"/>
      <c r="DD535" s="1010"/>
      <c r="DE535" s="1010"/>
      <c r="DF535" s="1010"/>
      <c r="DG535" s="1010"/>
      <c r="DH535" s="1010"/>
      <c r="DI535" s="1010"/>
      <c r="DJ535" s="1010"/>
      <c r="DK535" s="1010"/>
      <c r="DL535" s="1010"/>
      <c r="DM535" s="1010"/>
      <c r="DN535" s="1010"/>
      <c r="DO535" s="1010"/>
      <c r="DP535" s="1010"/>
      <c r="DQ535" s="1010"/>
      <c r="DR535" s="1010"/>
      <c r="DS535" s="1010"/>
      <c r="DT535" s="1010"/>
      <c r="DU535" s="1010"/>
      <c r="DV535" s="1010"/>
      <c r="DW535" s="1010"/>
      <c r="DX535" s="1010"/>
      <c r="DY535" s="1010"/>
      <c r="DZ535" s="1010"/>
      <c r="EA535" s="1010"/>
      <c r="EB535" s="1010"/>
      <c r="EC535" s="1010"/>
      <c r="ED535" s="1010"/>
      <c r="EE535" s="1010"/>
      <c r="EF535" s="1010"/>
      <c r="EG535" s="1010"/>
      <c r="EH535" s="1010"/>
      <c r="EI535" s="1010"/>
      <c r="EJ535" s="1010"/>
      <c r="EK535" s="1010"/>
      <c r="EL535" s="1010"/>
      <c r="EM535" s="1010"/>
      <c r="EN535" s="1010"/>
      <c r="EO535" s="1010"/>
      <c r="EP535" s="1010"/>
      <c r="EQ535" s="1010"/>
      <c r="ER535" s="1010"/>
      <c r="ES535" s="1010"/>
      <c r="ET535" s="1010"/>
      <c r="EU535" s="1010"/>
      <c r="EV535" s="1010"/>
      <c r="EW535" s="1010"/>
      <c r="EX535" s="1010"/>
      <c r="EY535" s="1010"/>
      <c r="EZ535" s="1010"/>
      <c r="FA535" s="1010"/>
      <c r="FB535" s="1010"/>
      <c r="FC535" s="1010"/>
      <c r="FD535" s="1010"/>
      <c r="FE535" s="1010"/>
      <c r="FF535" s="1010"/>
      <c r="FG535" s="1010"/>
      <c r="FH535" s="1010"/>
      <c r="FI535" s="1010"/>
      <c r="FJ535" s="1010"/>
      <c r="FK535" s="1010"/>
      <c r="FL535" s="1010"/>
      <c r="FM535" s="1010"/>
      <c r="FN535" s="1010"/>
      <c r="FO535" s="1010"/>
      <c r="FP535" s="1010"/>
      <c r="FQ535" s="1010"/>
      <c r="FR535" s="1010"/>
      <c r="FS535" s="1010"/>
      <c r="FT535" s="1010"/>
      <c r="FU535" s="1010"/>
      <c r="FV535" s="1010"/>
      <c r="FW535" s="1010"/>
      <c r="FX535" s="1010"/>
      <c r="FY535" s="1010"/>
    </row>
    <row r="536" spans="1:181" s="1002" customFormat="1" ht="41.25" customHeight="1">
      <c r="A536" s="1319">
        <v>33</v>
      </c>
      <c r="B536" s="1139" t="s">
        <v>1843</v>
      </c>
      <c r="C536" s="1154">
        <v>1967</v>
      </c>
      <c r="D536" s="1017"/>
      <c r="E536" s="1009" t="s">
        <v>218</v>
      </c>
      <c r="F536" s="1185">
        <v>6</v>
      </c>
      <c r="G536" s="1185">
        <v>5</v>
      </c>
      <c r="H536" s="1186">
        <v>5871.4</v>
      </c>
      <c r="I536" s="1186">
        <v>5136.3</v>
      </c>
      <c r="J536" s="1186">
        <v>3519.89</v>
      </c>
      <c r="K536" s="1187">
        <v>206</v>
      </c>
      <c r="L536" s="1188">
        <v>2903468</v>
      </c>
      <c r="M536" s="1184">
        <v>0</v>
      </c>
      <c r="N536" s="1184">
        <v>0</v>
      </c>
      <c r="O536" s="1184">
        <f t="shared" si="152"/>
        <v>2903468</v>
      </c>
      <c r="P536" s="1184">
        <v>0</v>
      </c>
      <c r="Q536" s="1184">
        <v>0</v>
      </c>
      <c r="R536" s="1319">
        <v>2016</v>
      </c>
      <c r="S536" s="1158" t="s">
        <v>1486</v>
      </c>
    </row>
    <row r="537" spans="1:181" s="1002" customFormat="1" ht="41.25" customHeight="1">
      <c r="A537" s="1319">
        <v>34</v>
      </c>
      <c r="B537" s="1127" t="s">
        <v>1844</v>
      </c>
      <c r="C537" s="1017">
        <v>1966</v>
      </c>
      <c r="D537" s="1017"/>
      <c r="E537" s="1009" t="s">
        <v>219</v>
      </c>
      <c r="F537" s="1017">
        <v>5</v>
      </c>
      <c r="G537" s="1017">
        <v>6</v>
      </c>
      <c r="H537" s="1184">
        <v>4938</v>
      </c>
      <c r="I537" s="1184">
        <v>4375.2</v>
      </c>
      <c r="J537" s="1184">
        <f>I537-300.7</f>
        <v>4074.5</v>
      </c>
      <c r="K537" s="1189">
        <v>229</v>
      </c>
      <c r="L537" s="1184">
        <v>1967436</v>
      </c>
      <c r="M537" s="1184">
        <v>0</v>
      </c>
      <c r="N537" s="1184">
        <v>0</v>
      </c>
      <c r="O537" s="1184">
        <f t="shared" si="152"/>
        <v>1967436</v>
      </c>
      <c r="P537" s="1184">
        <v>0</v>
      </c>
      <c r="Q537" s="1184">
        <v>0</v>
      </c>
      <c r="R537" s="1319">
        <v>2017</v>
      </c>
      <c r="S537" s="1158" t="s">
        <v>1486</v>
      </c>
    </row>
    <row r="538" spans="1:181" s="1002" customFormat="1" ht="41.25" customHeight="1">
      <c r="A538" s="1319">
        <v>35</v>
      </c>
      <c r="B538" s="1127" t="s">
        <v>1845</v>
      </c>
      <c r="C538" s="1017">
        <v>1955</v>
      </c>
      <c r="D538" s="1017"/>
      <c r="E538" s="1009" t="s">
        <v>218</v>
      </c>
      <c r="F538" s="1017">
        <v>3</v>
      </c>
      <c r="G538" s="1017">
        <v>3</v>
      </c>
      <c r="H538" s="1184">
        <v>2398.9</v>
      </c>
      <c r="I538" s="1184">
        <v>2188.3000000000002</v>
      </c>
      <c r="J538" s="1184">
        <f>I538-236.1</f>
        <v>1952.2000000000003</v>
      </c>
      <c r="K538" s="1189">
        <v>95</v>
      </c>
      <c r="L538" s="1184">
        <v>9914209.8100000005</v>
      </c>
      <c r="M538" s="1184">
        <v>0</v>
      </c>
      <c r="N538" s="1184">
        <v>0</v>
      </c>
      <c r="O538" s="1184">
        <f t="shared" si="152"/>
        <v>9914209.8100000005</v>
      </c>
      <c r="P538" s="1184">
        <v>0</v>
      </c>
      <c r="Q538" s="1184">
        <v>0</v>
      </c>
      <c r="R538" s="1319">
        <v>2017</v>
      </c>
      <c r="S538" s="1158" t="s">
        <v>1486</v>
      </c>
    </row>
    <row r="539" spans="1:181" s="1002" customFormat="1" ht="41.25" customHeight="1">
      <c r="A539" s="1319">
        <v>36</v>
      </c>
      <c r="B539" s="1127" t="s">
        <v>1846</v>
      </c>
      <c r="C539" s="1017">
        <v>1914</v>
      </c>
      <c r="D539" s="1017"/>
      <c r="E539" s="1009" t="s">
        <v>218</v>
      </c>
      <c r="F539" s="1017">
        <v>4</v>
      </c>
      <c r="G539" s="1017">
        <v>5</v>
      </c>
      <c r="H539" s="1184">
        <v>2953.4</v>
      </c>
      <c r="I539" s="1184">
        <v>2592.5</v>
      </c>
      <c r="J539" s="1184">
        <f>I539-231.93</f>
        <v>2360.5700000000002</v>
      </c>
      <c r="K539" s="1189">
        <v>90</v>
      </c>
      <c r="L539" s="1184">
        <v>19552943.849999998</v>
      </c>
      <c r="M539" s="1184">
        <v>0</v>
      </c>
      <c r="N539" s="1184">
        <v>0</v>
      </c>
      <c r="O539" s="1184">
        <f t="shared" si="152"/>
        <v>19552943.849999998</v>
      </c>
      <c r="P539" s="1184">
        <v>0</v>
      </c>
      <c r="Q539" s="1184">
        <v>0</v>
      </c>
      <c r="R539" s="1319">
        <v>2017</v>
      </c>
      <c r="S539" s="1158" t="s">
        <v>1486</v>
      </c>
    </row>
    <row r="540" spans="1:181" s="1002" customFormat="1" ht="41.25" customHeight="1">
      <c r="A540" s="1319">
        <v>37</v>
      </c>
      <c r="B540" s="1127" t="s">
        <v>1847</v>
      </c>
      <c r="C540" s="1017">
        <v>1907</v>
      </c>
      <c r="D540" s="1017"/>
      <c r="E540" s="1009" t="s">
        <v>221</v>
      </c>
      <c r="F540" s="1017">
        <v>2</v>
      </c>
      <c r="G540" s="1017">
        <v>1</v>
      </c>
      <c r="H540" s="1184">
        <v>691.1</v>
      </c>
      <c r="I540" s="1184">
        <v>660.5</v>
      </c>
      <c r="J540" s="1184">
        <f>I540-19.87</f>
        <v>640.63</v>
      </c>
      <c r="K540" s="1189">
        <v>32</v>
      </c>
      <c r="L540" s="1184">
        <v>3712475</v>
      </c>
      <c r="M540" s="1184">
        <v>0</v>
      </c>
      <c r="N540" s="1184">
        <v>0</v>
      </c>
      <c r="O540" s="1184">
        <f t="shared" si="152"/>
        <v>3712475</v>
      </c>
      <c r="P540" s="1184">
        <v>0</v>
      </c>
      <c r="Q540" s="1184">
        <v>0</v>
      </c>
      <c r="R540" s="1319">
        <v>2017</v>
      </c>
      <c r="S540" s="1158" t="s">
        <v>1486</v>
      </c>
    </row>
    <row r="541" spans="1:181" s="1002" customFormat="1" ht="41.25" customHeight="1">
      <c r="A541" s="1319">
        <v>38</v>
      </c>
      <c r="B541" s="1127" t="s">
        <v>1848</v>
      </c>
      <c r="C541" s="1017">
        <v>1925</v>
      </c>
      <c r="D541" s="1017"/>
      <c r="E541" s="1009" t="s">
        <v>221</v>
      </c>
      <c r="F541" s="1017">
        <v>2</v>
      </c>
      <c r="G541" s="1017">
        <v>2</v>
      </c>
      <c r="H541" s="1184">
        <v>440</v>
      </c>
      <c r="I541" s="1184">
        <v>411.5</v>
      </c>
      <c r="J541" s="1184">
        <f>I541-102.4</f>
        <v>309.10000000000002</v>
      </c>
      <c r="K541" s="1189">
        <v>20</v>
      </c>
      <c r="L541" s="1184">
        <v>264057</v>
      </c>
      <c r="M541" s="1184">
        <v>0</v>
      </c>
      <c r="N541" s="1184">
        <v>0</v>
      </c>
      <c r="O541" s="1184">
        <f t="shared" si="152"/>
        <v>264057</v>
      </c>
      <c r="P541" s="1184">
        <v>0</v>
      </c>
      <c r="Q541" s="1184">
        <v>0</v>
      </c>
      <c r="R541" s="1319">
        <v>2017</v>
      </c>
      <c r="S541" s="1158" t="s">
        <v>1486</v>
      </c>
    </row>
    <row r="542" spans="1:181" s="1002" customFormat="1" ht="41.25" customHeight="1">
      <c r="A542" s="1319">
        <v>39</v>
      </c>
      <c r="B542" s="1127" t="s">
        <v>1849</v>
      </c>
      <c r="C542" s="1017">
        <v>1955</v>
      </c>
      <c r="D542" s="1017"/>
      <c r="E542" s="1009" t="s">
        <v>218</v>
      </c>
      <c r="F542" s="1017">
        <v>2</v>
      </c>
      <c r="G542" s="1017">
        <v>2</v>
      </c>
      <c r="H542" s="1184">
        <v>512</v>
      </c>
      <c r="I542" s="1184">
        <v>468.9</v>
      </c>
      <c r="J542" s="1184">
        <f>I542-55.2</f>
        <v>413.7</v>
      </c>
      <c r="K542" s="1189">
        <v>29</v>
      </c>
      <c r="L542" s="1184">
        <v>376932</v>
      </c>
      <c r="M542" s="1184">
        <v>0</v>
      </c>
      <c r="N542" s="1184">
        <v>0</v>
      </c>
      <c r="O542" s="1184">
        <f t="shared" si="152"/>
        <v>376932</v>
      </c>
      <c r="P542" s="1184">
        <v>0</v>
      </c>
      <c r="Q542" s="1184">
        <v>0</v>
      </c>
      <c r="R542" s="1319">
        <v>2017</v>
      </c>
      <c r="S542" s="1158" t="s">
        <v>1486</v>
      </c>
    </row>
    <row r="543" spans="1:181" s="1002" customFormat="1" ht="41.25" customHeight="1">
      <c r="A543" s="1319">
        <v>40</v>
      </c>
      <c r="B543" s="1127" t="s">
        <v>1850</v>
      </c>
      <c r="C543" s="1017">
        <v>1955</v>
      </c>
      <c r="D543" s="1017"/>
      <c r="E543" s="1009" t="s">
        <v>218</v>
      </c>
      <c r="F543" s="1017">
        <v>2</v>
      </c>
      <c r="G543" s="1017">
        <v>2</v>
      </c>
      <c r="H543" s="1184">
        <v>619.9</v>
      </c>
      <c r="I543" s="1184">
        <v>561.6</v>
      </c>
      <c r="J543" s="1184">
        <f>I543-174.6</f>
        <v>387</v>
      </c>
      <c r="K543" s="1189">
        <v>45</v>
      </c>
      <c r="L543" s="1184">
        <v>447464</v>
      </c>
      <c r="M543" s="1184">
        <v>0</v>
      </c>
      <c r="N543" s="1184">
        <v>0</v>
      </c>
      <c r="O543" s="1184">
        <f t="shared" si="152"/>
        <v>447464</v>
      </c>
      <c r="P543" s="1184">
        <v>0</v>
      </c>
      <c r="Q543" s="1184">
        <v>0</v>
      </c>
      <c r="R543" s="1319">
        <v>2017</v>
      </c>
      <c r="S543" s="1158" t="s">
        <v>1486</v>
      </c>
    </row>
    <row r="544" spans="1:181" s="1002" customFormat="1" ht="41.25" customHeight="1">
      <c r="A544" s="1319">
        <v>41</v>
      </c>
      <c r="B544" s="1127" t="s">
        <v>1851</v>
      </c>
      <c r="C544" s="1017">
        <v>1991</v>
      </c>
      <c r="D544" s="1017"/>
      <c r="E544" s="1009" t="s">
        <v>219</v>
      </c>
      <c r="F544" s="1017">
        <v>10</v>
      </c>
      <c r="G544" s="1017">
        <v>2</v>
      </c>
      <c r="H544" s="1184">
        <v>5754.7</v>
      </c>
      <c r="I544" s="1184">
        <v>4999.1000000000004</v>
      </c>
      <c r="J544" s="1184">
        <f>I544-126.5-492.5</f>
        <v>4380.1000000000004</v>
      </c>
      <c r="K544" s="1189">
        <v>198</v>
      </c>
      <c r="L544" s="1184">
        <v>26223875.760000002</v>
      </c>
      <c r="M544" s="1184">
        <v>0</v>
      </c>
      <c r="N544" s="1184">
        <v>0</v>
      </c>
      <c r="O544" s="1184">
        <f t="shared" si="152"/>
        <v>26223875.760000002</v>
      </c>
      <c r="P544" s="1184">
        <v>0</v>
      </c>
      <c r="Q544" s="1184">
        <v>0</v>
      </c>
      <c r="R544" s="1319">
        <v>2017</v>
      </c>
      <c r="S544" s="1158" t="s">
        <v>1486</v>
      </c>
    </row>
    <row r="545" spans="1:19" s="1002" customFormat="1" ht="41.25" customHeight="1">
      <c r="A545" s="1319">
        <v>42</v>
      </c>
      <c r="B545" s="1127" t="s">
        <v>1852</v>
      </c>
      <c r="C545" s="1017">
        <v>1950</v>
      </c>
      <c r="D545" s="1017"/>
      <c r="E545" s="1009" t="s">
        <v>220</v>
      </c>
      <c r="F545" s="1017">
        <v>2</v>
      </c>
      <c r="G545" s="1017">
        <v>3</v>
      </c>
      <c r="H545" s="1184">
        <v>1076</v>
      </c>
      <c r="I545" s="1184">
        <v>1042.3</v>
      </c>
      <c r="J545" s="1184">
        <f>I545-108.6</f>
        <v>933.69999999999993</v>
      </c>
      <c r="K545" s="1189">
        <v>33</v>
      </c>
      <c r="L545" s="1184">
        <v>454703</v>
      </c>
      <c r="M545" s="1184">
        <v>0</v>
      </c>
      <c r="N545" s="1184">
        <v>0</v>
      </c>
      <c r="O545" s="1184">
        <f t="shared" si="152"/>
        <v>454703</v>
      </c>
      <c r="P545" s="1184">
        <v>0</v>
      </c>
      <c r="Q545" s="1184">
        <v>0</v>
      </c>
      <c r="R545" s="1319">
        <v>2017</v>
      </c>
      <c r="S545" s="1158" t="s">
        <v>1486</v>
      </c>
    </row>
    <row r="546" spans="1:19" s="1002" customFormat="1" ht="41.25" customHeight="1">
      <c r="A546" s="1319">
        <v>43</v>
      </c>
      <c r="B546" s="1127" t="s">
        <v>1853</v>
      </c>
      <c r="C546" s="1017" t="s">
        <v>190</v>
      </c>
      <c r="D546" s="1017"/>
      <c r="E546" s="1009" t="s">
        <v>218</v>
      </c>
      <c r="F546" s="1017">
        <v>3</v>
      </c>
      <c r="G546" s="1017">
        <v>2</v>
      </c>
      <c r="H546" s="1184">
        <v>781.9</v>
      </c>
      <c r="I546" s="1184">
        <v>709.4</v>
      </c>
      <c r="J546" s="1184">
        <f>I546-342.9-43.4</f>
        <v>323.10000000000002</v>
      </c>
      <c r="K546" s="1189">
        <v>42</v>
      </c>
      <c r="L546" s="1184">
        <v>3635931</v>
      </c>
      <c r="M546" s="1184">
        <v>0</v>
      </c>
      <c r="N546" s="1184">
        <v>0</v>
      </c>
      <c r="O546" s="1184">
        <f t="shared" si="152"/>
        <v>3635931</v>
      </c>
      <c r="P546" s="1184">
        <v>0</v>
      </c>
      <c r="Q546" s="1184">
        <v>0</v>
      </c>
      <c r="R546" s="1319">
        <v>2017</v>
      </c>
      <c r="S546" s="1158" t="s">
        <v>1486</v>
      </c>
    </row>
    <row r="547" spans="1:19" s="1002" customFormat="1" ht="41.25" customHeight="1">
      <c r="A547" s="1319">
        <v>44</v>
      </c>
      <c r="B547" s="1127" t="s">
        <v>1854</v>
      </c>
      <c r="C547" s="1017">
        <v>1962</v>
      </c>
      <c r="D547" s="1017"/>
      <c r="E547" s="1009" t="s">
        <v>218</v>
      </c>
      <c r="F547" s="1017">
        <v>4</v>
      </c>
      <c r="G547" s="1017">
        <v>2</v>
      </c>
      <c r="H547" s="1184">
        <v>1289</v>
      </c>
      <c r="I547" s="1184">
        <v>1263.0999999999999</v>
      </c>
      <c r="J547" s="1184">
        <f>I547-56-31.8</f>
        <v>1175.3</v>
      </c>
      <c r="K547" s="1189">
        <v>67</v>
      </c>
      <c r="L547" s="1184">
        <v>593036</v>
      </c>
      <c r="M547" s="1184">
        <v>0</v>
      </c>
      <c r="N547" s="1184">
        <v>0</v>
      </c>
      <c r="O547" s="1184">
        <f t="shared" si="152"/>
        <v>593036</v>
      </c>
      <c r="P547" s="1184">
        <v>0</v>
      </c>
      <c r="Q547" s="1184">
        <v>0</v>
      </c>
      <c r="R547" s="1319">
        <v>2017</v>
      </c>
      <c r="S547" s="1158" t="s">
        <v>1486</v>
      </c>
    </row>
    <row r="548" spans="1:19" s="1002" customFormat="1" ht="41.25" customHeight="1">
      <c r="A548" s="1319">
        <v>45</v>
      </c>
      <c r="B548" s="1127" t="s">
        <v>1855</v>
      </c>
      <c r="C548" s="1017">
        <v>1926</v>
      </c>
      <c r="D548" s="1017"/>
      <c r="E548" s="1009" t="s">
        <v>221</v>
      </c>
      <c r="F548" s="1017">
        <v>2</v>
      </c>
      <c r="G548" s="1017">
        <v>2</v>
      </c>
      <c r="H548" s="1184">
        <v>548.4</v>
      </c>
      <c r="I548" s="1184">
        <v>422.7</v>
      </c>
      <c r="J548" s="1184">
        <f>I548-137.47</f>
        <v>285.23</v>
      </c>
      <c r="K548" s="1189">
        <v>24</v>
      </c>
      <c r="L548" s="1184">
        <v>948145</v>
      </c>
      <c r="M548" s="1184">
        <v>0</v>
      </c>
      <c r="N548" s="1184">
        <v>0</v>
      </c>
      <c r="O548" s="1184">
        <f t="shared" si="152"/>
        <v>948145</v>
      </c>
      <c r="P548" s="1184">
        <v>0</v>
      </c>
      <c r="Q548" s="1184">
        <v>0</v>
      </c>
      <c r="R548" s="1319">
        <v>2017</v>
      </c>
      <c r="S548" s="1158" t="s">
        <v>1486</v>
      </c>
    </row>
    <row r="549" spans="1:19" s="1002" customFormat="1" ht="41.25" customHeight="1">
      <c r="A549" s="1319">
        <v>46</v>
      </c>
      <c r="B549" s="1127" t="s">
        <v>1856</v>
      </c>
      <c r="C549" s="1017">
        <v>1960</v>
      </c>
      <c r="D549" s="1017"/>
      <c r="E549" s="1009" t="s">
        <v>220</v>
      </c>
      <c r="F549" s="1017">
        <v>3</v>
      </c>
      <c r="G549" s="1017">
        <v>2</v>
      </c>
      <c r="H549" s="1184">
        <v>832.1</v>
      </c>
      <c r="I549" s="1184">
        <v>754.9</v>
      </c>
      <c r="J549" s="1184">
        <v>754.9</v>
      </c>
      <c r="K549" s="1189">
        <v>33</v>
      </c>
      <c r="L549" s="1184">
        <v>1431229</v>
      </c>
      <c r="M549" s="1184">
        <v>0</v>
      </c>
      <c r="N549" s="1184">
        <v>0</v>
      </c>
      <c r="O549" s="1184">
        <f t="shared" si="152"/>
        <v>1431229</v>
      </c>
      <c r="P549" s="1184">
        <v>0</v>
      </c>
      <c r="Q549" s="1184">
        <v>0</v>
      </c>
      <c r="R549" s="1319">
        <v>2017</v>
      </c>
      <c r="S549" s="1158" t="s">
        <v>1486</v>
      </c>
    </row>
    <row r="550" spans="1:19" s="1011" customFormat="1" ht="41.25" customHeight="1">
      <c r="A550" s="1319">
        <v>47</v>
      </c>
      <c r="B550" s="1127" t="s">
        <v>1857</v>
      </c>
      <c r="C550" s="1017">
        <v>1959</v>
      </c>
      <c r="D550" s="1017"/>
      <c r="E550" s="1009" t="s">
        <v>218</v>
      </c>
      <c r="F550" s="1017">
        <v>4</v>
      </c>
      <c r="G550" s="1017">
        <v>2</v>
      </c>
      <c r="H550" s="1184">
        <v>1402.5</v>
      </c>
      <c r="I550" s="1184">
        <v>1322.7</v>
      </c>
      <c r="J550" s="1184">
        <f>I550-63.3-259.4</f>
        <v>1000.0000000000001</v>
      </c>
      <c r="K550" s="1189">
        <v>47</v>
      </c>
      <c r="L550" s="1184">
        <v>3522195.05</v>
      </c>
      <c r="M550" s="1184">
        <v>0</v>
      </c>
      <c r="N550" s="1184">
        <v>0</v>
      </c>
      <c r="O550" s="1184">
        <f t="shared" si="152"/>
        <v>3522195.05</v>
      </c>
      <c r="P550" s="1184">
        <v>0</v>
      </c>
      <c r="Q550" s="1184">
        <v>0</v>
      </c>
      <c r="R550" s="1319">
        <v>2017</v>
      </c>
      <c r="S550" s="1158" t="s">
        <v>1486</v>
      </c>
    </row>
    <row r="551" spans="1:19" s="1011" customFormat="1" ht="41.25" customHeight="1">
      <c r="A551" s="1319">
        <v>48</v>
      </c>
      <c r="B551" s="1127" t="s">
        <v>1858</v>
      </c>
      <c r="C551" s="1009">
        <v>1982</v>
      </c>
      <c r="D551" s="1017"/>
      <c r="E551" s="1009" t="s">
        <v>219</v>
      </c>
      <c r="F551" s="1017">
        <v>12</v>
      </c>
      <c r="G551" s="1017">
        <v>1</v>
      </c>
      <c r="H551" s="1184">
        <v>3835.4</v>
      </c>
      <c r="I551" s="1184">
        <v>3643.6</v>
      </c>
      <c r="J551" s="1184">
        <f>I551-96.5</f>
        <v>3547.1</v>
      </c>
      <c r="K551" s="1162">
        <v>132</v>
      </c>
      <c r="L551" s="1184">
        <v>1459916</v>
      </c>
      <c r="M551" s="1184">
        <v>0</v>
      </c>
      <c r="N551" s="1184">
        <v>0</v>
      </c>
      <c r="O551" s="1184">
        <f t="shared" si="152"/>
        <v>1459916</v>
      </c>
      <c r="P551" s="1184">
        <v>0</v>
      </c>
      <c r="Q551" s="1184">
        <v>0</v>
      </c>
      <c r="R551" s="1319">
        <v>2017</v>
      </c>
      <c r="S551" s="1158" t="s">
        <v>1486</v>
      </c>
    </row>
    <row r="552" spans="1:19" s="1011" customFormat="1" ht="41.25" customHeight="1">
      <c r="A552" s="1319">
        <v>49</v>
      </c>
      <c r="B552" s="1127" t="s">
        <v>1859</v>
      </c>
      <c r="C552" s="1009">
        <v>1950</v>
      </c>
      <c r="D552" s="1017"/>
      <c r="E552" s="1009" t="s">
        <v>220</v>
      </c>
      <c r="F552" s="1017">
        <v>2</v>
      </c>
      <c r="G552" s="1017">
        <v>3</v>
      </c>
      <c r="H552" s="1184">
        <v>1395.9</v>
      </c>
      <c r="I552" s="1184">
        <v>1263.0999999999999</v>
      </c>
      <c r="J552" s="1184">
        <f>1102.5-138.3</f>
        <v>964.2</v>
      </c>
      <c r="K552" s="1162">
        <v>49</v>
      </c>
      <c r="L552" s="1184">
        <v>1168390</v>
      </c>
      <c r="M552" s="1184">
        <v>0</v>
      </c>
      <c r="N552" s="1184">
        <v>0</v>
      </c>
      <c r="O552" s="1184">
        <f t="shared" si="152"/>
        <v>1168390</v>
      </c>
      <c r="P552" s="1184">
        <v>0</v>
      </c>
      <c r="Q552" s="1184">
        <v>0</v>
      </c>
      <c r="R552" s="1319">
        <v>2017</v>
      </c>
      <c r="S552" s="1158" t="s">
        <v>1486</v>
      </c>
    </row>
    <row r="553" spans="1:19" s="1011" customFormat="1" ht="41.25" customHeight="1">
      <c r="A553" s="1319">
        <v>50</v>
      </c>
      <c r="B553" s="1127" t="s">
        <v>1860</v>
      </c>
      <c r="C553" s="1009">
        <v>1983</v>
      </c>
      <c r="D553" s="1017"/>
      <c r="E553" s="1009" t="s">
        <v>219</v>
      </c>
      <c r="F553" s="1017">
        <v>9</v>
      </c>
      <c r="G553" s="1017">
        <v>9</v>
      </c>
      <c r="H553" s="1184">
        <v>20254.5</v>
      </c>
      <c r="I553" s="1184">
        <v>17871.5</v>
      </c>
      <c r="J553" s="1184">
        <f>I553-933.3</f>
        <v>16938.2</v>
      </c>
      <c r="K553" s="1162">
        <v>764</v>
      </c>
      <c r="L553" s="1184">
        <v>2540822</v>
      </c>
      <c r="M553" s="1184">
        <v>0</v>
      </c>
      <c r="N553" s="1184">
        <v>0</v>
      </c>
      <c r="O553" s="1184">
        <v>2540822</v>
      </c>
      <c r="P553" s="1184">
        <v>0</v>
      </c>
      <c r="Q553" s="1184">
        <v>0</v>
      </c>
      <c r="R553" s="1319">
        <v>2018</v>
      </c>
      <c r="S553" s="1158" t="s">
        <v>1486</v>
      </c>
    </row>
    <row r="554" spans="1:19" s="1002" customFormat="1" ht="41.25" customHeight="1">
      <c r="A554" s="1319">
        <v>51</v>
      </c>
      <c r="B554" s="1127" t="s">
        <v>1861</v>
      </c>
      <c r="C554" s="1009">
        <v>1983</v>
      </c>
      <c r="D554" s="1017"/>
      <c r="E554" s="1009" t="s">
        <v>219</v>
      </c>
      <c r="F554" s="1017">
        <v>9</v>
      </c>
      <c r="G554" s="1017">
        <v>3</v>
      </c>
      <c r="H554" s="1184">
        <v>8203.6</v>
      </c>
      <c r="I554" s="1184">
        <v>5766.8</v>
      </c>
      <c r="J554" s="1184">
        <f>I554-338.5</f>
        <v>5428.3</v>
      </c>
      <c r="K554" s="1162">
        <v>251</v>
      </c>
      <c r="L554" s="1184">
        <v>2518802</v>
      </c>
      <c r="M554" s="1184">
        <v>0</v>
      </c>
      <c r="N554" s="1184">
        <v>0</v>
      </c>
      <c r="O554" s="1184">
        <v>2518802</v>
      </c>
      <c r="P554" s="1184">
        <v>0</v>
      </c>
      <c r="Q554" s="1184">
        <v>0</v>
      </c>
      <c r="R554" s="987">
        <v>2018</v>
      </c>
      <c r="S554" s="1158" t="s">
        <v>1486</v>
      </c>
    </row>
    <row r="555" spans="1:19" s="1002" customFormat="1" ht="41.25" customHeight="1">
      <c r="A555" s="1319">
        <v>52</v>
      </c>
      <c r="B555" s="1127" t="s">
        <v>1862</v>
      </c>
      <c r="C555" s="1009">
        <v>1959</v>
      </c>
      <c r="D555" s="1017"/>
      <c r="E555" s="1009" t="s">
        <v>218</v>
      </c>
      <c r="F555" s="1017">
        <v>3</v>
      </c>
      <c r="G555" s="1017">
        <v>2</v>
      </c>
      <c r="H555" s="1184">
        <v>1012.8</v>
      </c>
      <c r="I555" s="1184">
        <v>983.7</v>
      </c>
      <c r="J555" s="1184">
        <f>I555-36.4</f>
        <v>947.30000000000007</v>
      </c>
      <c r="K555" s="1162">
        <v>22</v>
      </c>
      <c r="L555" s="1184">
        <v>1243453</v>
      </c>
      <c r="M555" s="1184">
        <v>0</v>
      </c>
      <c r="N555" s="1184">
        <v>0</v>
      </c>
      <c r="O555" s="1184">
        <v>1243453</v>
      </c>
      <c r="P555" s="1184">
        <v>0</v>
      </c>
      <c r="Q555" s="1184">
        <v>0</v>
      </c>
      <c r="R555" s="1319">
        <v>2018</v>
      </c>
      <c r="S555" s="1158" t="s">
        <v>1486</v>
      </c>
    </row>
    <row r="556" spans="1:19" s="1002" customFormat="1" ht="41.25" customHeight="1">
      <c r="A556" s="1319">
        <v>53</v>
      </c>
      <c r="B556" s="1127" t="s">
        <v>1863</v>
      </c>
      <c r="C556" s="1009">
        <v>1917</v>
      </c>
      <c r="D556" s="1017"/>
      <c r="E556" s="1009" t="s">
        <v>218</v>
      </c>
      <c r="F556" s="1017">
        <v>3</v>
      </c>
      <c r="G556" s="1017">
        <v>1</v>
      </c>
      <c r="H556" s="1184">
        <v>460.1</v>
      </c>
      <c r="I556" s="1184">
        <v>420.1</v>
      </c>
      <c r="J556" s="1184">
        <v>420.1</v>
      </c>
      <c r="K556" s="1162">
        <v>11</v>
      </c>
      <c r="L556" s="1184">
        <v>1685452.24</v>
      </c>
      <c r="M556" s="1184">
        <v>0</v>
      </c>
      <c r="N556" s="1184">
        <v>0</v>
      </c>
      <c r="O556" s="1184">
        <f>L556</f>
        <v>1685452.24</v>
      </c>
      <c r="P556" s="1184">
        <v>0</v>
      </c>
      <c r="Q556" s="1184">
        <v>0</v>
      </c>
      <c r="R556" s="987">
        <v>2018</v>
      </c>
      <c r="S556" s="1158" t="s">
        <v>1486</v>
      </c>
    </row>
    <row r="557" spans="1:19" s="1002" customFormat="1" ht="41.25" customHeight="1">
      <c r="A557" s="1319">
        <v>54</v>
      </c>
      <c r="B557" s="1127" t="s">
        <v>1864</v>
      </c>
      <c r="C557" s="1009">
        <v>1917</v>
      </c>
      <c r="D557" s="1017"/>
      <c r="E557" s="1009" t="s">
        <v>218</v>
      </c>
      <c r="F557" s="1017">
        <v>3</v>
      </c>
      <c r="G557" s="1017">
        <v>2</v>
      </c>
      <c r="H557" s="1184">
        <v>483.6</v>
      </c>
      <c r="I557" s="1184">
        <v>410</v>
      </c>
      <c r="J557" s="1184">
        <f>I557</f>
        <v>410</v>
      </c>
      <c r="K557" s="1162">
        <v>15</v>
      </c>
      <c r="L557" s="1184">
        <v>2676796.31</v>
      </c>
      <c r="M557" s="1184">
        <v>0</v>
      </c>
      <c r="N557" s="1184">
        <v>0</v>
      </c>
      <c r="O557" s="1184">
        <f>L557</f>
        <v>2676796.31</v>
      </c>
      <c r="P557" s="1184">
        <v>0</v>
      </c>
      <c r="Q557" s="1184">
        <v>0</v>
      </c>
      <c r="R557" s="1319">
        <v>2018</v>
      </c>
      <c r="S557" s="1158" t="s">
        <v>1486</v>
      </c>
    </row>
    <row r="558" spans="1:19" s="1002" customFormat="1" ht="41.25" customHeight="1">
      <c r="A558" s="1319">
        <v>55</v>
      </c>
      <c r="B558" s="1127" t="s">
        <v>1865</v>
      </c>
      <c r="C558" s="1009">
        <v>1967</v>
      </c>
      <c r="D558" s="1017"/>
      <c r="E558" s="1009" t="s">
        <v>219</v>
      </c>
      <c r="F558" s="1017">
        <v>5</v>
      </c>
      <c r="G558" s="1017">
        <v>3</v>
      </c>
      <c r="H558" s="1184">
        <v>2789.8</v>
      </c>
      <c r="I558" s="1184">
        <v>2568.3000000000002</v>
      </c>
      <c r="J558" s="1184">
        <f>I558-186.2</f>
        <v>2382.1000000000004</v>
      </c>
      <c r="K558" s="1162">
        <v>73</v>
      </c>
      <c r="L558" s="1184">
        <v>899225</v>
      </c>
      <c r="M558" s="1184">
        <v>0</v>
      </c>
      <c r="N558" s="1184">
        <v>0</v>
      </c>
      <c r="O558" s="1184">
        <v>899225</v>
      </c>
      <c r="P558" s="1184">
        <v>0</v>
      </c>
      <c r="Q558" s="1184">
        <v>0</v>
      </c>
      <c r="R558" s="987">
        <v>2018</v>
      </c>
      <c r="S558" s="1158" t="s">
        <v>1486</v>
      </c>
    </row>
    <row r="559" spans="1:19" s="1002" customFormat="1" ht="41.25" customHeight="1">
      <c r="A559" s="1319">
        <v>56</v>
      </c>
      <c r="B559" s="1127" t="s">
        <v>1866</v>
      </c>
      <c r="C559" s="1009">
        <v>1992</v>
      </c>
      <c r="D559" s="1017"/>
      <c r="E559" s="1009" t="s">
        <v>219</v>
      </c>
      <c r="F559" s="1017">
        <v>10</v>
      </c>
      <c r="G559" s="1017">
        <v>4</v>
      </c>
      <c r="H559" s="1184">
        <v>10086.799999999999</v>
      </c>
      <c r="I559" s="1184">
        <v>9077.1</v>
      </c>
      <c r="J559" s="1184">
        <f>I559-229.9</f>
        <v>8847.2000000000007</v>
      </c>
      <c r="K559" s="1162">
        <v>378</v>
      </c>
      <c r="L559" s="1188">
        <v>8338382</v>
      </c>
      <c r="M559" s="1184">
        <v>0</v>
      </c>
      <c r="N559" s="1184">
        <v>0</v>
      </c>
      <c r="O559" s="1184">
        <v>8338382</v>
      </c>
      <c r="P559" s="1184">
        <v>0</v>
      </c>
      <c r="Q559" s="1184">
        <v>0</v>
      </c>
      <c r="R559" s="1319">
        <v>2018</v>
      </c>
      <c r="S559" s="1158" t="s">
        <v>1486</v>
      </c>
    </row>
    <row r="560" spans="1:19" s="1002" customFormat="1" ht="41.25" customHeight="1">
      <c r="A560" s="1319">
        <v>57</v>
      </c>
      <c r="B560" s="1127" t="s">
        <v>1867</v>
      </c>
      <c r="C560" s="1009">
        <v>1964</v>
      </c>
      <c r="D560" s="1017"/>
      <c r="E560" s="1009" t="s">
        <v>218</v>
      </c>
      <c r="F560" s="1017">
        <v>4</v>
      </c>
      <c r="G560" s="1017">
        <v>2</v>
      </c>
      <c r="H560" s="1184">
        <v>1397.3</v>
      </c>
      <c r="I560" s="1184">
        <v>1269.3</v>
      </c>
      <c r="J560" s="1184">
        <f>I560-42</f>
        <v>1227.3</v>
      </c>
      <c r="K560" s="1162">
        <v>37</v>
      </c>
      <c r="L560" s="1184">
        <v>1750958</v>
      </c>
      <c r="M560" s="1184">
        <v>0</v>
      </c>
      <c r="N560" s="1184">
        <v>0</v>
      </c>
      <c r="O560" s="1184">
        <v>1750958</v>
      </c>
      <c r="P560" s="1184">
        <v>0</v>
      </c>
      <c r="Q560" s="1184">
        <v>0</v>
      </c>
      <c r="R560" s="987">
        <v>2018</v>
      </c>
      <c r="S560" s="1158" t="s">
        <v>1486</v>
      </c>
    </row>
    <row r="561" spans="1:19" s="1002" customFormat="1" ht="41.25" customHeight="1">
      <c r="A561" s="1319">
        <v>58</v>
      </c>
      <c r="B561" s="1127" t="s">
        <v>1868</v>
      </c>
      <c r="C561" s="1009">
        <v>1955</v>
      </c>
      <c r="D561" s="1017"/>
      <c r="E561" s="1009" t="s">
        <v>218</v>
      </c>
      <c r="F561" s="1017">
        <v>2</v>
      </c>
      <c r="G561" s="1017">
        <v>2</v>
      </c>
      <c r="H561" s="1184">
        <v>623.79999999999995</v>
      </c>
      <c r="I561" s="1184">
        <v>577.70000000000005</v>
      </c>
      <c r="J561" s="1184">
        <f>I561-119.7</f>
        <v>458.00000000000006</v>
      </c>
      <c r="K561" s="1162">
        <v>17</v>
      </c>
      <c r="L561" s="1184">
        <v>982113</v>
      </c>
      <c r="M561" s="1184">
        <v>0</v>
      </c>
      <c r="N561" s="1184">
        <v>0</v>
      </c>
      <c r="O561" s="1184">
        <f>L561</f>
        <v>982113</v>
      </c>
      <c r="P561" s="1184">
        <v>0</v>
      </c>
      <c r="Q561" s="1184">
        <v>0</v>
      </c>
      <c r="R561" s="1319">
        <v>2018</v>
      </c>
      <c r="S561" s="1158" t="s">
        <v>1486</v>
      </c>
    </row>
    <row r="562" spans="1:19" s="1002" customFormat="1" ht="41.25" customHeight="1">
      <c r="A562" s="1319">
        <v>59</v>
      </c>
      <c r="B562" s="1127" t="s">
        <v>1810</v>
      </c>
      <c r="C562" s="1009">
        <v>1965</v>
      </c>
      <c r="D562" s="1017"/>
      <c r="E562" s="1009" t="s">
        <v>218</v>
      </c>
      <c r="F562" s="1017">
        <v>5</v>
      </c>
      <c r="G562" s="1017">
        <v>4</v>
      </c>
      <c r="H562" s="1184">
        <v>4172.8</v>
      </c>
      <c r="I562" s="1184">
        <v>3897.3</v>
      </c>
      <c r="J562" s="1184">
        <f>I562-1361.8-84.2</f>
        <v>2451.3000000000002</v>
      </c>
      <c r="K562" s="1162">
        <v>132</v>
      </c>
      <c r="L562" s="1188">
        <v>14351824.439999999</v>
      </c>
      <c r="M562" s="1184">
        <v>0</v>
      </c>
      <c r="N562" s="1184">
        <v>0</v>
      </c>
      <c r="O562" s="1184">
        <f>L562</f>
        <v>14351824.439999999</v>
      </c>
      <c r="P562" s="1184">
        <v>0</v>
      </c>
      <c r="Q562" s="1184">
        <v>0</v>
      </c>
      <c r="R562" s="987">
        <v>2018</v>
      </c>
      <c r="S562" s="1158" t="s">
        <v>1486</v>
      </c>
    </row>
    <row r="563" spans="1:19" s="1002" customFormat="1" ht="41.25" customHeight="1">
      <c r="A563" s="1319">
        <v>60</v>
      </c>
      <c r="B563" s="1127" t="s">
        <v>1869</v>
      </c>
      <c r="C563" s="1009">
        <v>1958</v>
      </c>
      <c r="D563" s="1017"/>
      <c r="E563" s="1009" t="s">
        <v>218</v>
      </c>
      <c r="F563" s="1017">
        <v>4</v>
      </c>
      <c r="G563" s="1017">
        <v>5</v>
      </c>
      <c r="H563" s="1184">
        <v>5887.4</v>
      </c>
      <c r="I563" s="1184">
        <v>5353.2</v>
      </c>
      <c r="J563" s="1184">
        <f>I563-228.7</f>
        <v>5124.5</v>
      </c>
      <c r="K563" s="1162">
        <v>117</v>
      </c>
      <c r="L563" s="1184">
        <v>3679400</v>
      </c>
      <c r="M563" s="1184">
        <v>0</v>
      </c>
      <c r="N563" s="1184">
        <v>0</v>
      </c>
      <c r="O563" s="1184">
        <f>L563</f>
        <v>3679400</v>
      </c>
      <c r="P563" s="1184">
        <v>0</v>
      </c>
      <c r="Q563" s="1184">
        <v>0</v>
      </c>
      <c r="R563" s="1319">
        <v>2018</v>
      </c>
      <c r="S563" s="1158" t="s">
        <v>1486</v>
      </c>
    </row>
    <row r="564" spans="1:19" s="1002" customFormat="1" ht="41.25" customHeight="1">
      <c r="A564" s="1319">
        <v>61</v>
      </c>
      <c r="B564" s="1127" t="s">
        <v>1831</v>
      </c>
      <c r="C564" s="1009">
        <v>1960</v>
      </c>
      <c r="D564" s="1017"/>
      <c r="E564" s="1009" t="s">
        <v>218</v>
      </c>
      <c r="F564" s="1017">
        <v>5</v>
      </c>
      <c r="G564" s="1017">
        <v>4</v>
      </c>
      <c r="H564" s="1184">
        <v>3084</v>
      </c>
      <c r="I564" s="1184">
        <v>2725.9</v>
      </c>
      <c r="J564" s="1184">
        <f>I564-77.4</f>
        <v>2648.5</v>
      </c>
      <c r="K564" s="1162">
        <v>82</v>
      </c>
      <c r="L564" s="1188">
        <v>1960392</v>
      </c>
      <c r="M564" s="1184">
        <v>0</v>
      </c>
      <c r="N564" s="1184">
        <v>0</v>
      </c>
      <c r="O564" s="1184">
        <v>1960392</v>
      </c>
      <c r="P564" s="1184">
        <v>0</v>
      </c>
      <c r="Q564" s="1184">
        <v>0</v>
      </c>
      <c r="R564" s="987">
        <v>2018</v>
      </c>
      <c r="S564" s="1158" t="s">
        <v>1486</v>
      </c>
    </row>
    <row r="565" spans="1:19" s="1002" customFormat="1" ht="41.25" customHeight="1">
      <c r="A565" s="1319">
        <v>62</v>
      </c>
      <c r="B565" s="1127" t="s">
        <v>1870</v>
      </c>
      <c r="C565" s="1009">
        <v>1985</v>
      </c>
      <c r="D565" s="1017"/>
      <c r="E565" s="1009" t="s">
        <v>219</v>
      </c>
      <c r="F565" s="1017">
        <v>9</v>
      </c>
      <c r="G565" s="1017">
        <v>6</v>
      </c>
      <c r="H565" s="1184">
        <v>17027.8</v>
      </c>
      <c r="I565" s="1184">
        <v>11641.95</v>
      </c>
      <c r="J565" s="1184">
        <f>I565-817</f>
        <v>10824.95</v>
      </c>
      <c r="K565" s="1162">
        <v>443</v>
      </c>
      <c r="L565" s="1184">
        <v>5336490</v>
      </c>
      <c r="M565" s="1184">
        <v>0</v>
      </c>
      <c r="N565" s="1184">
        <v>0</v>
      </c>
      <c r="O565" s="1184">
        <v>5336490</v>
      </c>
      <c r="P565" s="1184">
        <v>0</v>
      </c>
      <c r="Q565" s="1184">
        <v>0</v>
      </c>
      <c r="R565" s="1319">
        <v>2018</v>
      </c>
      <c r="S565" s="1158" t="s">
        <v>1486</v>
      </c>
    </row>
    <row r="566" spans="1:19" s="1002" customFormat="1" ht="41.25" customHeight="1">
      <c r="A566" s="1319">
        <v>63</v>
      </c>
      <c r="B566" s="1127" t="s">
        <v>1871</v>
      </c>
      <c r="C566" s="1009">
        <v>1956</v>
      </c>
      <c r="D566" s="1017"/>
      <c r="E566" s="1009" t="s">
        <v>218</v>
      </c>
      <c r="F566" s="1017">
        <v>5</v>
      </c>
      <c r="G566" s="1017">
        <v>8</v>
      </c>
      <c r="H566" s="1184">
        <v>8242.25</v>
      </c>
      <c r="I566" s="1184">
        <v>7440.45</v>
      </c>
      <c r="J566" s="1184">
        <f>I566</f>
        <v>7440.45</v>
      </c>
      <c r="K566" s="1162">
        <v>249</v>
      </c>
      <c r="L566" s="1188">
        <v>8790475.0800000001</v>
      </c>
      <c r="M566" s="1184">
        <v>0</v>
      </c>
      <c r="N566" s="1184">
        <v>0</v>
      </c>
      <c r="O566" s="1184">
        <f>L566</f>
        <v>8790475.0800000001</v>
      </c>
      <c r="P566" s="1184">
        <v>0</v>
      </c>
      <c r="Q566" s="1184">
        <v>0</v>
      </c>
      <c r="R566" s="987">
        <v>2018</v>
      </c>
      <c r="S566" s="1158" t="s">
        <v>1486</v>
      </c>
    </row>
    <row r="567" spans="1:19" s="1002" customFormat="1" ht="41.25" customHeight="1">
      <c r="A567" s="1319">
        <v>64</v>
      </c>
      <c r="B567" s="1127" t="s">
        <v>1872</v>
      </c>
      <c r="C567" s="1009">
        <v>1936</v>
      </c>
      <c r="D567" s="1017"/>
      <c r="E567" s="1009" t="s">
        <v>218</v>
      </c>
      <c r="F567" s="1017">
        <v>5</v>
      </c>
      <c r="G567" s="1017">
        <v>4</v>
      </c>
      <c r="H567" s="1184">
        <v>7195.3</v>
      </c>
      <c r="I567" s="1184">
        <v>6273.7</v>
      </c>
      <c r="J567" s="1184">
        <f>I567-1979.8-20.8</f>
        <v>4273.0999999999995</v>
      </c>
      <c r="K567" s="1162">
        <v>211</v>
      </c>
      <c r="L567" s="1184">
        <v>36550059.109999999</v>
      </c>
      <c r="M567" s="1184">
        <v>0</v>
      </c>
      <c r="N567" s="1184">
        <v>0</v>
      </c>
      <c r="O567" s="1184">
        <f>L567</f>
        <v>36550059.109999999</v>
      </c>
      <c r="P567" s="1184">
        <v>0</v>
      </c>
      <c r="Q567" s="1184">
        <v>0</v>
      </c>
      <c r="R567" s="1319">
        <v>2018</v>
      </c>
      <c r="S567" s="1158" t="s">
        <v>1486</v>
      </c>
    </row>
    <row r="568" spans="1:19" s="1002" customFormat="1" ht="41.25" customHeight="1">
      <c r="A568" s="1319">
        <v>65</v>
      </c>
      <c r="B568" s="1127" t="s">
        <v>1873</v>
      </c>
      <c r="C568" s="1009">
        <v>1959</v>
      </c>
      <c r="D568" s="1017"/>
      <c r="E568" s="1009" t="s">
        <v>218</v>
      </c>
      <c r="F568" s="1017">
        <v>4</v>
      </c>
      <c r="G568" s="1017">
        <v>4</v>
      </c>
      <c r="H568" s="1184">
        <v>2771.8</v>
      </c>
      <c r="I568" s="1184">
        <v>2547.6</v>
      </c>
      <c r="J568" s="1184">
        <f>I568-146.4</f>
        <v>2401.1999999999998</v>
      </c>
      <c r="K568" s="1162">
        <v>121</v>
      </c>
      <c r="L568" s="1184">
        <v>1187834</v>
      </c>
      <c r="M568" s="1184">
        <v>0</v>
      </c>
      <c r="N568" s="1184">
        <v>0</v>
      </c>
      <c r="O568" s="1184">
        <v>1187834</v>
      </c>
      <c r="P568" s="1184">
        <v>0</v>
      </c>
      <c r="Q568" s="1184">
        <v>0</v>
      </c>
      <c r="R568" s="987">
        <v>2018</v>
      </c>
      <c r="S568" s="1158" t="s">
        <v>1486</v>
      </c>
    </row>
    <row r="569" spans="1:19" s="1002" customFormat="1" ht="41.25" customHeight="1">
      <c r="A569" s="1319">
        <v>66</v>
      </c>
      <c r="B569" s="1127" t="s">
        <v>1874</v>
      </c>
      <c r="C569" s="1009">
        <v>1960</v>
      </c>
      <c r="D569" s="1017"/>
      <c r="E569" s="1009" t="s">
        <v>218</v>
      </c>
      <c r="F569" s="1017">
        <v>4</v>
      </c>
      <c r="G569" s="1017">
        <v>4</v>
      </c>
      <c r="H569" s="1184">
        <v>2786</v>
      </c>
      <c r="I569" s="1184">
        <v>2515.1999999999998</v>
      </c>
      <c r="J569" s="1184">
        <f>I569-178.8</f>
        <v>2336.3999999999996</v>
      </c>
      <c r="K569" s="1162">
        <v>132</v>
      </c>
      <c r="L569" s="1188">
        <v>1721427</v>
      </c>
      <c r="M569" s="1184">
        <v>0</v>
      </c>
      <c r="N569" s="1184">
        <v>0</v>
      </c>
      <c r="O569" s="1184">
        <v>1721427</v>
      </c>
      <c r="P569" s="1184">
        <v>0</v>
      </c>
      <c r="Q569" s="1184">
        <v>0</v>
      </c>
      <c r="R569" s="1319">
        <v>2018</v>
      </c>
      <c r="S569" s="1158" t="s">
        <v>1486</v>
      </c>
    </row>
    <row r="570" spans="1:19" s="1002" customFormat="1" ht="41.25" customHeight="1">
      <c r="A570" s="1319">
        <v>67</v>
      </c>
      <c r="B570" s="1127" t="s">
        <v>1875</v>
      </c>
      <c r="C570" s="1009">
        <v>1937</v>
      </c>
      <c r="D570" s="1017"/>
      <c r="E570" s="1009" t="s">
        <v>218</v>
      </c>
      <c r="F570" s="1017">
        <v>4</v>
      </c>
      <c r="G570" s="1017">
        <v>4</v>
      </c>
      <c r="H570" s="1184">
        <v>2732.9</v>
      </c>
      <c r="I570" s="1184">
        <v>2413.1999999999998</v>
      </c>
      <c r="J570" s="1184">
        <f>I570-178.8</f>
        <v>2234.3999999999996</v>
      </c>
      <c r="K570" s="1162">
        <v>117</v>
      </c>
      <c r="L570" s="1184">
        <v>3470236</v>
      </c>
      <c r="M570" s="1184">
        <v>0</v>
      </c>
      <c r="N570" s="1184">
        <v>0</v>
      </c>
      <c r="O570" s="1184">
        <f>L570</f>
        <v>3470236</v>
      </c>
      <c r="P570" s="1184">
        <v>0</v>
      </c>
      <c r="Q570" s="1184">
        <v>0</v>
      </c>
      <c r="R570" s="987">
        <v>2018</v>
      </c>
      <c r="S570" s="1158" t="s">
        <v>1486</v>
      </c>
    </row>
    <row r="571" spans="1:19" s="1002" customFormat="1" ht="41.25" customHeight="1">
      <c r="A571" s="1319">
        <v>68</v>
      </c>
      <c r="B571" s="1127" t="s">
        <v>1876</v>
      </c>
      <c r="C571" s="1009">
        <v>1959</v>
      </c>
      <c r="D571" s="1017"/>
      <c r="E571" s="1009" t="s">
        <v>218</v>
      </c>
      <c r="F571" s="1017">
        <v>4</v>
      </c>
      <c r="G571" s="1017">
        <v>4</v>
      </c>
      <c r="H571" s="1184">
        <v>2729</v>
      </c>
      <c r="I571" s="1184">
        <v>2536.3000000000002</v>
      </c>
      <c r="J571" s="1184">
        <f>I571-32.2</f>
        <v>2504.1000000000004</v>
      </c>
      <c r="K571" s="1162">
        <v>190</v>
      </c>
      <c r="L571" s="1184">
        <v>3275213</v>
      </c>
      <c r="M571" s="1184">
        <v>0</v>
      </c>
      <c r="N571" s="1184">
        <v>0</v>
      </c>
      <c r="O571" s="1184">
        <v>3275213</v>
      </c>
      <c r="P571" s="1184">
        <v>0</v>
      </c>
      <c r="Q571" s="1184">
        <v>0</v>
      </c>
      <c r="R571" s="1319">
        <v>2018</v>
      </c>
      <c r="S571" s="1158" t="s">
        <v>1486</v>
      </c>
    </row>
    <row r="572" spans="1:19" s="1002" customFormat="1" ht="41.25" customHeight="1">
      <c r="A572" s="1319">
        <v>69</v>
      </c>
      <c r="B572" s="1127" t="s">
        <v>1877</v>
      </c>
      <c r="C572" s="1009">
        <v>1957</v>
      </c>
      <c r="D572" s="1017"/>
      <c r="E572" s="1009" t="s">
        <v>218</v>
      </c>
      <c r="F572" s="1017">
        <v>4</v>
      </c>
      <c r="G572" s="1017">
        <v>3</v>
      </c>
      <c r="H572" s="1184">
        <v>3313.9</v>
      </c>
      <c r="I572" s="1184">
        <v>2501.3000000000002</v>
      </c>
      <c r="J572" s="1184">
        <f>I572-58.9</f>
        <v>2442.4</v>
      </c>
      <c r="K572" s="1162">
        <v>103</v>
      </c>
      <c r="L572" s="1184">
        <v>1502478</v>
      </c>
      <c r="M572" s="1184">
        <v>0</v>
      </c>
      <c r="N572" s="1184">
        <v>0</v>
      </c>
      <c r="O572" s="1184">
        <f>L572</f>
        <v>1502478</v>
      </c>
      <c r="P572" s="1184">
        <v>0</v>
      </c>
      <c r="Q572" s="1184">
        <v>0</v>
      </c>
      <c r="R572" s="987">
        <v>2018</v>
      </c>
      <c r="S572" s="1158" t="s">
        <v>1486</v>
      </c>
    </row>
    <row r="573" spans="1:19" s="1002" customFormat="1" ht="41.25" customHeight="1">
      <c r="A573" s="1319">
        <v>70</v>
      </c>
      <c r="B573" s="1127" t="s">
        <v>1878</v>
      </c>
      <c r="C573" s="1009">
        <v>1957</v>
      </c>
      <c r="D573" s="1017"/>
      <c r="E573" s="1009" t="s">
        <v>218</v>
      </c>
      <c r="F573" s="1017">
        <v>3</v>
      </c>
      <c r="G573" s="1017">
        <v>3</v>
      </c>
      <c r="H573" s="1184">
        <v>2389</v>
      </c>
      <c r="I573" s="1184">
        <v>2345.1999999999998</v>
      </c>
      <c r="J573" s="1184">
        <f>I573</f>
        <v>2345.1999999999998</v>
      </c>
      <c r="K573" s="1162">
        <v>49</v>
      </c>
      <c r="L573" s="1188">
        <v>5603275.5800000001</v>
      </c>
      <c r="M573" s="1184">
        <v>0</v>
      </c>
      <c r="N573" s="1184">
        <v>0</v>
      </c>
      <c r="O573" s="1184">
        <f>L573</f>
        <v>5603275.5800000001</v>
      </c>
      <c r="P573" s="1184">
        <v>0</v>
      </c>
      <c r="Q573" s="1184">
        <v>0</v>
      </c>
      <c r="R573" s="1319">
        <v>2018</v>
      </c>
      <c r="S573" s="1158" t="s">
        <v>1486</v>
      </c>
    </row>
    <row r="574" spans="1:19" s="1002" customFormat="1" ht="41.25" customHeight="1">
      <c r="A574" s="1319">
        <v>71</v>
      </c>
      <c r="B574" s="1139" t="s">
        <v>1801</v>
      </c>
      <c r="C574" s="1009">
        <v>1951</v>
      </c>
      <c r="D574" s="1017"/>
      <c r="E574" s="1009" t="s">
        <v>220</v>
      </c>
      <c r="F574" s="1017">
        <v>2</v>
      </c>
      <c r="G574" s="1017">
        <v>1</v>
      </c>
      <c r="H574" s="1184">
        <v>559.9</v>
      </c>
      <c r="I574" s="1184">
        <v>515.29999999999995</v>
      </c>
      <c r="J574" s="1184">
        <f>I574-0</f>
        <v>515.29999999999995</v>
      </c>
      <c r="K574" s="1162">
        <v>24</v>
      </c>
      <c r="L574" s="1184">
        <v>780672</v>
      </c>
      <c r="M574" s="1184">
        <v>0</v>
      </c>
      <c r="N574" s="1184">
        <v>0</v>
      </c>
      <c r="O574" s="1184">
        <f>L574</f>
        <v>780672</v>
      </c>
      <c r="P574" s="1184">
        <v>0</v>
      </c>
      <c r="Q574" s="1184">
        <v>0</v>
      </c>
      <c r="R574" s="987">
        <v>2018</v>
      </c>
      <c r="S574" s="1158" t="s">
        <v>1486</v>
      </c>
    </row>
    <row r="575" spans="1:19" s="1002" customFormat="1" ht="41.25" customHeight="1">
      <c r="A575" s="1319">
        <v>72</v>
      </c>
      <c r="B575" s="1139" t="s">
        <v>1859</v>
      </c>
      <c r="C575" s="1009">
        <v>1950</v>
      </c>
      <c r="D575" s="1017"/>
      <c r="E575" s="1009" t="s">
        <v>220</v>
      </c>
      <c r="F575" s="1017">
        <v>2</v>
      </c>
      <c r="G575" s="1017">
        <v>3</v>
      </c>
      <c r="H575" s="1184">
        <v>1395.9</v>
      </c>
      <c r="I575" s="1184">
        <v>1264.5999999999999</v>
      </c>
      <c r="J575" s="1184">
        <f>I575-213-138.3</f>
        <v>913.3</v>
      </c>
      <c r="K575" s="1162">
        <v>49</v>
      </c>
      <c r="L575" s="1184">
        <v>1864763</v>
      </c>
      <c r="M575" s="1184">
        <v>0</v>
      </c>
      <c r="N575" s="1184">
        <v>0</v>
      </c>
      <c r="O575" s="1184">
        <v>1864763</v>
      </c>
      <c r="P575" s="1184">
        <v>0</v>
      </c>
      <c r="Q575" s="1184">
        <v>0</v>
      </c>
      <c r="R575" s="1319">
        <v>2018</v>
      </c>
      <c r="S575" s="1158" t="s">
        <v>1486</v>
      </c>
    </row>
    <row r="576" spans="1:19" s="1002" customFormat="1" ht="41.25" customHeight="1">
      <c r="A576" s="1319">
        <v>73</v>
      </c>
      <c r="B576" s="1139" t="s">
        <v>1786</v>
      </c>
      <c r="C576" s="1009">
        <v>1948</v>
      </c>
      <c r="D576" s="1017"/>
      <c r="E576" s="1009" t="s">
        <v>218</v>
      </c>
      <c r="F576" s="1017">
        <v>2</v>
      </c>
      <c r="G576" s="1017">
        <v>3</v>
      </c>
      <c r="H576" s="1184">
        <v>1329.8</v>
      </c>
      <c r="I576" s="1184">
        <v>1212.2</v>
      </c>
      <c r="J576" s="1184">
        <f>I576</f>
        <v>1212.2</v>
      </c>
      <c r="K576" s="1162">
        <v>55</v>
      </c>
      <c r="L576" s="1184">
        <v>2627267</v>
      </c>
      <c r="M576" s="1184">
        <v>0</v>
      </c>
      <c r="N576" s="1184">
        <v>0</v>
      </c>
      <c r="O576" s="1184">
        <f>L576</f>
        <v>2627267</v>
      </c>
      <c r="P576" s="1184">
        <v>0</v>
      </c>
      <c r="Q576" s="1184">
        <v>0</v>
      </c>
      <c r="R576" s="987">
        <v>2018</v>
      </c>
      <c r="S576" s="1158" t="s">
        <v>1486</v>
      </c>
    </row>
    <row r="577" spans="1:19" s="1002" customFormat="1" ht="41.25" customHeight="1">
      <c r="A577" s="1319">
        <v>74</v>
      </c>
      <c r="B577" s="1127" t="s">
        <v>1879</v>
      </c>
      <c r="C577" s="1009">
        <v>1895</v>
      </c>
      <c r="D577" s="1017"/>
      <c r="E577" s="1009" t="s">
        <v>218</v>
      </c>
      <c r="F577" s="1017">
        <v>2</v>
      </c>
      <c r="G577" s="1017">
        <v>1</v>
      </c>
      <c r="H577" s="1184">
        <v>497.1</v>
      </c>
      <c r="I577" s="1184">
        <v>363.5</v>
      </c>
      <c r="J577" s="1184">
        <f>I577</f>
        <v>363.5</v>
      </c>
      <c r="K577" s="1162">
        <v>12</v>
      </c>
      <c r="L577" s="1184">
        <v>193341</v>
      </c>
      <c r="M577" s="1184">
        <v>0</v>
      </c>
      <c r="N577" s="1184">
        <v>0</v>
      </c>
      <c r="O577" s="1184">
        <f>L577</f>
        <v>193341</v>
      </c>
      <c r="P577" s="1184">
        <v>0</v>
      </c>
      <c r="Q577" s="1184">
        <v>0</v>
      </c>
      <c r="R577" s="1319">
        <v>2018</v>
      </c>
      <c r="S577" s="1158" t="s">
        <v>1486</v>
      </c>
    </row>
    <row r="578" spans="1:19" s="1002" customFormat="1" ht="41.25" customHeight="1">
      <c r="A578" s="1319">
        <v>75</v>
      </c>
      <c r="B578" s="1127" t="s">
        <v>1880</v>
      </c>
      <c r="C578" s="1009">
        <v>1972</v>
      </c>
      <c r="D578" s="1017"/>
      <c r="E578" s="1009" t="s">
        <v>218</v>
      </c>
      <c r="F578" s="1017">
        <v>5</v>
      </c>
      <c r="G578" s="1017">
        <v>2</v>
      </c>
      <c r="H578" s="1184">
        <v>3773.99</v>
      </c>
      <c r="I578" s="1184">
        <v>3489.29</v>
      </c>
      <c r="J578" s="1184">
        <f>I578-639.8</f>
        <v>2849.49</v>
      </c>
      <c r="K578" s="1162">
        <v>191</v>
      </c>
      <c r="L578" s="1188">
        <v>2610618</v>
      </c>
      <c r="M578" s="1184">
        <v>0</v>
      </c>
      <c r="N578" s="1184">
        <v>0</v>
      </c>
      <c r="O578" s="1184">
        <v>2610618</v>
      </c>
      <c r="P578" s="1184">
        <v>0</v>
      </c>
      <c r="Q578" s="1184">
        <v>0</v>
      </c>
      <c r="R578" s="987">
        <v>2018</v>
      </c>
      <c r="S578" s="1158" t="s">
        <v>1486</v>
      </c>
    </row>
    <row r="579" spans="1:19" s="1011" customFormat="1" ht="41.25" customHeight="1">
      <c r="A579" s="1319">
        <v>76</v>
      </c>
      <c r="B579" s="1127" t="s">
        <v>1881</v>
      </c>
      <c r="C579" s="1009">
        <v>1956</v>
      </c>
      <c r="D579" s="1017"/>
      <c r="E579" s="1009" t="s">
        <v>218</v>
      </c>
      <c r="F579" s="1017">
        <v>2</v>
      </c>
      <c r="G579" s="1017">
        <v>3</v>
      </c>
      <c r="H579" s="1184">
        <v>1305.5999999999999</v>
      </c>
      <c r="I579" s="1184">
        <v>1143.5999999999999</v>
      </c>
      <c r="J579" s="1184">
        <f>I579-57.9-60.1</f>
        <v>1025.5999999999999</v>
      </c>
      <c r="K579" s="1162">
        <v>22</v>
      </c>
      <c r="L579" s="1184">
        <v>1300391</v>
      </c>
      <c r="M579" s="1184">
        <v>0</v>
      </c>
      <c r="N579" s="1184">
        <v>0</v>
      </c>
      <c r="O579" s="1184">
        <v>1300391</v>
      </c>
      <c r="P579" s="1184">
        <v>0</v>
      </c>
      <c r="Q579" s="1184">
        <v>0</v>
      </c>
      <c r="R579" s="1319">
        <v>2018</v>
      </c>
      <c r="S579" s="1158" t="s">
        <v>1486</v>
      </c>
    </row>
    <row r="580" spans="1:19" s="1011" customFormat="1" ht="41.25" customHeight="1">
      <c r="A580" s="1319">
        <v>77</v>
      </c>
      <c r="B580" s="1127" t="s">
        <v>1882</v>
      </c>
      <c r="C580" s="1009">
        <v>1917</v>
      </c>
      <c r="D580" s="1017"/>
      <c r="E580" s="1009" t="s">
        <v>218</v>
      </c>
      <c r="F580" s="1190" t="s">
        <v>1715</v>
      </c>
      <c r="G580" s="1017">
        <v>4</v>
      </c>
      <c r="H580" s="1184">
        <v>2304.3000000000002</v>
      </c>
      <c r="I580" s="1184">
        <v>2167.6999999999998</v>
      </c>
      <c r="J580" s="1184">
        <f>I580-390.4</f>
        <v>1777.2999999999997</v>
      </c>
      <c r="K580" s="1162">
        <v>61</v>
      </c>
      <c r="L580" s="1184">
        <v>7569129.8099999996</v>
      </c>
      <c r="M580" s="1184">
        <v>0</v>
      </c>
      <c r="N580" s="1184">
        <v>0</v>
      </c>
      <c r="O580" s="1184">
        <f>L580</f>
        <v>7569129.8099999996</v>
      </c>
      <c r="P580" s="1184">
        <v>0</v>
      </c>
      <c r="Q580" s="1184">
        <v>0</v>
      </c>
      <c r="R580" s="987">
        <v>2018</v>
      </c>
      <c r="S580" s="1158" t="s">
        <v>1486</v>
      </c>
    </row>
    <row r="581" spans="1:19" s="1002" customFormat="1" ht="41.25" customHeight="1">
      <c r="A581" s="1319">
        <v>78</v>
      </c>
      <c r="B581" s="1127" t="s">
        <v>1883</v>
      </c>
      <c r="C581" s="1009">
        <v>1953</v>
      </c>
      <c r="D581" s="1017"/>
      <c r="E581" s="1009" t="s">
        <v>218</v>
      </c>
      <c r="F581" s="1017">
        <v>4</v>
      </c>
      <c r="G581" s="1017">
        <v>9</v>
      </c>
      <c r="H581" s="1184">
        <v>7344.1</v>
      </c>
      <c r="I581" s="1184">
        <v>6786.8</v>
      </c>
      <c r="J581" s="1184">
        <f>I581-842.1-1022.6</f>
        <v>4922.0999999999995</v>
      </c>
      <c r="K581" s="1162">
        <v>141</v>
      </c>
      <c r="L581" s="1184">
        <v>4100705</v>
      </c>
      <c r="M581" s="1184">
        <v>0</v>
      </c>
      <c r="N581" s="1184">
        <v>0</v>
      </c>
      <c r="O581" s="1184">
        <f>L581</f>
        <v>4100705</v>
      </c>
      <c r="P581" s="1184">
        <v>0</v>
      </c>
      <c r="Q581" s="1184">
        <v>0</v>
      </c>
      <c r="R581" s="1319">
        <v>2018</v>
      </c>
      <c r="S581" s="1158" t="s">
        <v>1486</v>
      </c>
    </row>
    <row r="582" spans="1:19" s="1002" customFormat="1" ht="41.25" customHeight="1">
      <c r="A582" s="1319">
        <v>79</v>
      </c>
      <c r="B582" s="1127" t="s">
        <v>1841</v>
      </c>
      <c r="C582" s="1009">
        <v>1951</v>
      </c>
      <c r="D582" s="1017"/>
      <c r="E582" s="1009" t="s">
        <v>218</v>
      </c>
      <c r="F582" s="1017">
        <v>3</v>
      </c>
      <c r="G582" s="1017">
        <v>3</v>
      </c>
      <c r="H582" s="1184">
        <v>2015</v>
      </c>
      <c r="I582" s="1184">
        <v>1848.5</v>
      </c>
      <c r="J582" s="1184">
        <f>I582-191.4</f>
        <v>1657.1</v>
      </c>
      <c r="K582" s="1162">
        <v>82</v>
      </c>
      <c r="L582" s="1188">
        <v>467928</v>
      </c>
      <c r="M582" s="1184">
        <v>0</v>
      </c>
      <c r="N582" s="1184">
        <v>0</v>
      </c>
      <c r="O582" s="1184">
        <v>467928</v>
      </c>
      <c r="P582" s="1184">
        <v>0</v>
      </c>
      <c r="Q582" s="1184">
        <v>0</v>
      </c>
      <c r="R582" s="987">
        <v>2018</v>
      </c>
      <c r="S582" s="1158" t="s">
        <v>1486</v>
      </c>
    </row>
    <row r="583" spans="1:19" s="1002" customFormat="1" ht="41.25" customHeight="1">
      <c r="A583" s="1319">
        <v>80</v>
      </c>
      <c r="B583" s="1127" t="s">
        <v>1884</v>
      </c>
      <c r="C583" s="1009">
        <v>1953</v>
      </c>
      <c r="D583" s="1017"/>
      <c r="E583" s="1009" t="s">
        <v>218</v>
      </c>
      <c r="F583" s="1017">
        <v>2</v>
      </c>
      <c r="G583" s="1017">
        <v>2</v>
      </c>
      <c r="H583" s="1184">
        <v>411.7</v>
      </c>
      <c r="I583" s="1184">
        <v>368.5</v>
      </c>
      <c r="J583" s="1184">
        <f>I583-21.51</f>
        <v>346.99</v>
      </c>
      <c r="K583" s="1162">
        <v>24</v>
      </c>
      <c r="L583" s="1184">
        <v>720823</v>
      </c>
      <c r="M583" s="1184">
        <v>0</v>
      </c>
      <c r="N583" s="1184">
        <v>0</v>
      </c>
      <c r="O583" s="1184">
        <f>L583</f>
        <v>720823</v>
      </c>
      <c r="P583" s="1184">
        <v>0</v>
      </c>
      <c r="Q583" s="1184">
        <v>0</v>
      </c>
      <c r="R583" s="1319">
        <v>2018</v>
      </c>
      <c r="S583" s="1158" t="s">
        <v>1486</v>
      </c>
    </row>
    <row r="584" spans="1:19" s="1002" customFormat="1" ht="41.25" customHeight="1">
      <c r="A584" s="1319">
        <v>81</v>
      </c>
      <c r="B584" s="1127" t="s">
        <v>1885</v>
      </c>
      <c r="C584" s="1009">
        <v>1926</v>
      </c>
      <c r="D584" s="1017"/>
      <c r="E584" s="1009" t="s">
        <v>221</v>
      </c>
      <c r="F584" s="1017">
        <v>2</v>
      </c>
      <c r="G584" s="1017">
        <v>2</v>
      </c>
      <c r="H584" s="1184">
        <v>564.5</v>
      </c>
      <c r="I584" s="1184">
        <v>519.70000000000005</v>
      </c>
      <c r="J584" s="1184">
        <f>I584-63.6</f>
        <v>456.1</v>
      </c>
      <c r="K584" s="1162">
        <v>29</v>
      </c>
      <c r="L584" s="1184">
        <v>691750</v>
      </c>
      <c r="M584" s="1184">
        <v>0</v>
      </c>
      <c r="N584" s="1184">
        <v>0</v>
      </c>
      <c r="O584" s="1184">
        <v>691750</v>
      </c>
      <c r="P584" s="1184">
        <v>0</v>
      </c>
      <c r="Q584" s="1184">
        <v>0</v>
      </c>
      <c r="R584" s="987">
        <v>2018</v>
      </c>
      <c r="S584" s="1158" t="s">
        <v>1486</v>
      </c>
    </row>
    <row r="585" spans="1:19" s="1002" customFormat="1" ht="41.25" customHeight="1">
      <c r="A585" s="1319">
        <v>82</v>
      </c>
      <c r="B585" s="1127" t="s">
        <v>1886</v>
      </c>
      <c r="C585" s="1009">
        <v>1968</v>
      </c>
      <c r="D585" s="1017"/>
      <c r="E585" s="1009" t="s">
        <v>218</v>
      </c>
      <c r="F585" s="1017">
        <v>5</v>
      </c>
      <c r="G585" s="1017">
        <v>4</v>
      </c>
      <c r="H585" s="1184">
        <v>3442</v>
      </c>
      <c r="I585" s="1184">
        <v>2835.3</v>
      </c>
      <c r="J585" s="1184">
        <f>I585</f>
        <v>2835.3</v>
      </c>
      <c r="K585" s="1162">
        <v>151</v>
      </c>
      <c r="L585" s="1184">
        <v>1443400</v>
      </c>
      <c r="M585" s="1184">
        <v>0</v>
      </c>
      <c r="N585" s="1184">
        <v>0</v>
      </c>
      <c r="O585" s="1184">
        <f>L585</f>
        <v>1443400</v>
      </c>
      <c r="P585" s="1184">
        <v>0</v>
      </c>
      <c r="Q585" s="1184">
        <v>0</v>
      </c>
      <c r="R585" s="1319">
        <v>2018</v>
      </c>
      <c r="S585" s="1158" t="s">
        <v>1486</v>
      </c>
    </row>
    <row r="586" spans="1:19" s="1002" customFormat="1" ht="41.25" customHeight="1">
      <c r="A586" s="1319">
        <v>83</v>
      </c>
      <c r="B586" s="1127" t="s">
        <v>1887</v>
      </c>
      <c r="C586" s="1009">
        <v>1965</v>
      </c>
      <c r="D586" s="1017"/>
      <c r="E586" s="1009" t="s">
        <v>219</v>
      </c>
      <c r="F586" s="1017">
        <v>5</v>
      </c>
      <c r="G586" s="1017">
        <v>5</v>
      </c>
      <c r="H586" s="1184">
        <v>3654.8</v>
      </c>
      <c r="I586" s="1184">
        <v>3252.7</v>
      </c>
      <c r="J586" s="1184">
        <f>I586-467.7</f>
        <v>2785</v>
      </c>
      <c r="K586" s="1162">
        <v>140</v>
      </c>
      <c r="L586" s="1188">
        <v>1194865</v>
      </c>
      <c r="M586" s="1184">
        <v>0</v>
      </c>
      <c r="N586" s="1184">
        <v>0</v>
      </c>
      <c r="O586" s="1184">
        <v>1194865</v>
      </c>
      <c r="P586" s="1184">
        <v>0</v>
      </c>
      <c r="Q586" s="1184">
        <v>0</v>
      </c>
      <c r="R586" s="987">
        <v>2018</v>
      </c>
      <c r="S586" s="1158" t="s">
        <v>1486</v>
      </c>
    </row>
    <row r="587" spans="1:19" s="1002" customFormat="1" ht="41.25" customHeight="1">
      <c r="A587" s="1319">
        <v>84</v>
      </c>
      <c r="B587" s="1127" t="s">
        <v>1888</v>
      </c>
      <c r="C587" s="1009">
        <v>1927</v>
      </c>
      <c r="D587" s="1017"/>
      <c r="E587" s="1009" t="s">
        <v>221</v>
      </c>
      <c r="F587" s="1017">
        <v>2</v>
      </c>
      <c r="G587" s="1017">
        <v>1</v>
      </c>
      <c r="H587" s="1184">
        <v>351.1</v>
      </c>
      <c r="I587" s="1184">
        <v>322.89999999999998</v>
      </c>
      <c r="J587" s="1184">
        <f>I587-38.8</f>
        <v>284.09999999999997</v>
      </c>
      <c r="K587" s="1162">
        <v>16</v>
      </c>
      <c r="L587" s="1184">
        <v>483674</v>
      </c>
      <c r="M587" s="1184">
        <v>0</v>
      </c>
      <c r="N587" s="1184">
        <v>0</v>
      </c>
      <c r="O587" s="1184">
        <f>L587</f>
        <v>483674</v>
      </c>
      <c r="P587" s="1184">
        <v>0</v>
      </c>
      <c r="Q587" s="1184">
        <v>0</v>
      </c>
      <c r="R587" s="1319">
        <v>2018</v>
      </c>
      <c r="S587" s="1158" t="s">
        <v>1486</v>
      </c>
    </row>
    <row r="588" spans="1:19" s="1002" customFormat="1" ht="41.25" customHeight="1">
      <c r="A588" s="1319">
        <v>85</v>
      </c>
      <c r="B588" s="1127" t="s">
        <v>1889</v>
      </c>
      <c r="C588" s="1009">
        <v>1929</v>
      </c>
      <c r="D588" s="1017"/>
      <c r="E588" s="1009" t="s">
        <v>220</v>
      </c>
      <c r="F588" s="1017">
        <v>3</v>
      </c>
      <c r="G588" s="1017">
        <v>2</v>
      </c>
      <c r="H588" s="1184">
        <v>1006.1</v>
      </c>
      <c r="I588" s="1184">
        <v>966.2</v>
      </c>
      <c r="J588" s="1184">
        <f>I588-58.1</f>
        <v>908.1</v>
      </c>
      <c r="K588" s="1162">
        <v>41</v>
      </c>
      <c r="L588" s="1184">
        <v>1418463</v>
      </c>
      <c r="M588" s="1184">
        <v>0</v>
      </c>
      <c r="N588" s="1184">
        <v>0</v>
      </c>
      <c r="O588" s="1184">
        <f>L588</f>
        <v>1418463</v>
      </c>
      <c r="P588" s="1184">
        <v>0</v>
      </c>
      <c r="Q588" s="1184">
        <v>0</v>
      </c>
      <c r="R588" s="987">
        <v>2018</v>
      </c>
      <c r="S588" s="1158" t="s">
        <v>1486</v>
      </c>
    </row>
    <row r="589" spans="1:19" s="1002" customFormat="1" ht="41.25" customHeight="1">
      <c r="A589" s="1319">
        <v>86</v>
      </c>
      <c r="B589" s="1139" t="s">
        <v>1859</v>
      </c>
      <c r="C589" s="1017">
        <v>1950</v>
      </c>
      <c r="D589" s="1017"/>
      <c r="E589" s="1009" t="s">
        <v>220</v>
      </c>
      <c r="F589" s="1017">
        <v>2</v>
      </c>
      <c r="G589" s="1017">
        <v>3</v>
      </c>
      <c r="H589" s="1184">
        <v>1395.9</v>
      </c>
      <c r="I589" s="1184">
        <v>1264.5999999999999</v>
      </c>
      <c r="J589" s="1184">
        <v>913.3</v>
      </c>
      <c r="K589" s="1017">
        <v>49</v>
      </c>
      <c r="L589" s="1184">
        <v>72530</v>
      </c>
      <c r="M589" s="1184">
        <v>0</v>
      </c>
      <c r="N589" s="1184">
        <v>0</v>
      </c>
      <c r="O589" s="1184">
        <v>72530</v>
      </c>
      <c r="P589" s="1184">
        <v>0</v>
      </c>
      <c r="Q589" s="1184">
        <v>0</v>
      </c>
      <c r="R589" s="987">
        <v>2019</v>
      </c>
      <c r="S589" s="1158" t="s">
        <v>1486</v>
      </c>
    </row>
    <row r="590" spans="1:19" s="1002" customFormat="1" ht="41.25" customHeight="1">
      <c r="A590" s="1319">
        <v>87</v>
      </c>
      <c r="B590" s="1139" t="s">
        <v>1890</v>
      </c>
      <c r="C590" s="1017">
        <v>1975</v>
      </c>
      <c r="D590" s="1017"/>
      <c r="E590" s="1009" t="s">
        <v>219</v>
      </c>
      <c r="F590" s="1017">
        <v>9</v>
      </c>
      <c r="G590" s="1017">
        <v>2</v>
      </c>
      <c r="H590" s="1184">
        <v>4377.7</v>
      </c>
      <c r="I590" s="1184">
        <v>3881.7</v>
      </c>
      <c r="J590" s="1184">
        <v>3766.9</v>
      </c>
      <c r="K590" s="1189">
        <v>160</v>
      </c>
      <c r="L590" s="1184">
        <v>454777</v>
      </c>
      <c r="M590" s="1184">
        <v>0</v>
      </c>
      <c r="N590" s="1184">
        <v>0</v>
      </c>
      <c r="O590" s="1184">
        <v>454777</v>
      </c>
      <c r="P590" s="1184">
        <v>0</v>
      </c>
      <c r="Q590" s="1184">
        <v>0</v>
      </c>
      <c r="R590" s="987">
        <v>2019</v>
      </c>
      <c r="S590" s="1158" t="s">
        <v>1486</v>
      </c>
    </row>
    <row r="591" spans="1:19" s="1002" customFormat="1" ht="41.25" customHeight="1">
      <c r="A591" s="1319">
        <v>88</v>
      </c>
      <c r="B591" s="1139" t="s">
        <v>1891</v>
      </c>
      <c r="C591" s="1017" t="s">
        <v>190</v>
      </c>
      <c r="D591" s="1017"/>
      <c r="E591" s="1009" t="s">
        <v>218</v>
      </c>
      <c r="F591" s="1017">
        <v>4</v>
      </c>
      <c r="G591" s="1017">
        <v>2</v>
      </c>
      <c r="H591" s="1184">
        <v>1002.4</v>
      </c>
      <c r="I591" s="1184">
        <v>878.31</v>
      </c>
      <c r="J591" s="1184">
        <v>586.1</v>
      </c>
      <c r="K591" s="1189">
        <v>26</v>
      </c>
      <c r="L591" s="1184">
        <v>372974</v>
      </c>
      <c r="M591" s="1184">
        <v>0</v>
      </c>
      <c r="N591" s="1184">
        <v>0</v>
      </c>
      <c r="O591" s="1184">
        <v>372974</v>
      </c>
      <c r="P591" s="1184">
        <v>0</v>
      </c>
      <c r="Q591" s="1184">
        <v>0</v>
      </c>
      <c r="R591" s="987">
        <v>2019</v>
      </c>
      <c r="S591" s="1158" t="s">
        <v>1486</v>
      </c>
    </row>
    <row r="592" spans="1:19" s="1002" customFormat="1" ht="41.25" customHeight="1">
      <c r="A592" s="1319">
        <v>89</v>
      </c>
      <c r="B592" s="1139" t="s">
        <v>1892</v>
      </c>
      <c r="C592" s="1017">
        <v>1926</v>
      </c>
      <c r="D592" s="1017"/>
      <c r="E592" s="1009" t="s">
        <v>221</v>
      </c>
      <c r="F592" s="1017">
        <v>2</v>
      </c>
      <c r="G592" s="1017">
        <v>2</v>
      </c>
      <c r="H592" s="1184">
        <v>565.29999999999995</v>
      </c>
      <c r="I592" s="1184">
        <v>548.4</v>
      </c>
      <c r="J592" s="1184">
        <v>321.10000000000002</v>
      </c>
      <c r="K592" s="1189">
        <v>24</v>
      </c>
      <c r="L592" s="1184">
        <v>243748</v>
      </c>
      <c r="M592" s="1184">
        <v>0</v>
      </c>
      <c r="N592" s="1184">
        <v>0</v>
      </c>
      <c r="O592" s="1184">
        <v>243748</v>
      </c>
      <c r="P592" s="1184">
        <v>0</v>
      </c>
      <c r="Q592" s="1184">
        <v>0</v>
      </c>
      <c r="R592" s="987">
        <v>2019</v>
      </c>
      <c r="S592" s="1158" t="s">
        <v>1486</v>
      </c>
    </row>
    <row r="593" spans="1:19" s="1002" customFormat="1" ht="41.25" customHeight="1">
      <c r="A593" s="1319">
        <v>90</v>
      </c>
      <c r="B593" s="1139" t="s">
        <v>1893</v>
      </c>
      <c r="C593" s="1017">
        <v>1834</v>
      </c>
      <c r="D593" s="1017"/>
      <c r="E593" s="1009" t="s">
        <v>218</v>
      </c>
      <c r="F593" s="1017">
        <v>3</v>
      </c>
      <c r="G593" s="1017">
        <v>2</v>
      </c>
      <c r="H593" s="1184">
        <v>946.3</v>
      </c>
      <c r="I593" s="1184">
        <v>852.3</v>
      </c>
      <c r="J593" s="1184">
        <v>261.89999999999998</v>
      </c>
      <c r="K593" s="1189">
        <v>9</v>
      </c>
      <c r="L593" s="1184">
        <v>6420744.0499999998</v>
      </c>
      <c r="M593" s="1184">
        <v>0</v>
      </c>
      <c r="N593" s="1184">
        <v>0</v>
      </c>
      <c r="O593" s="1184">
        <f>L593</f>
        <v>6420744.0499999998</v>
      </c>
      <c r="P593" s="1184">
        <v>0</v>
      </c>
      <c r="Q593" s="1184">
        <v>0</v>
      </c>
      <c r="R593" s="987">
        <v>2019</v>
      </c>
      <c r="S593" s="1158" t="s">
        <v>1486</v>
      </c>
    </row>
    <row r="594" spans="1:19" s="1002" customFormat="1" ht="41.25" customHeight="1">
      <c r="A594" s="1319">
        <v>91</v>
      </c>
      <c r="B594" s="1139" t="s">
        <v>1894</v>
      </c>
      <c r="C594" s="1017" t="s">
        <v>190</v>
      </c>
      <c r="D594" s="1017"/>
      <c r="E594" s="1009" t="s">
        <v>218</v>
      </c>
      <c r="F594" s="1017">
        <v>3</v>
      </c>
      <c r="G594" s="1017">
        <v>2</v>
      </c>
      <c r="H594" s="1184">
        <v>781.2</v>
      </c>
      <c r="I594" s="1184">
        <v>709.4</v>
      </c>
      <c r="J594" s="1184">
        <v>436.3</v>
      </c>
      <c r="K594" s="1189">
        <v>42</v>
      </c>
      <c r="L594" s="1184">
        <v>405378</v>
      </c>
      <c r="M594" s="1184">
        <v>0</v>
      </c>
      <c r="N594" s="1184">
        <v>0</v>
      </c>
      <c r="O594" s="1184">
        <f>L594</f>
        <v>405378</v>
      </c>
      <c r="P594" s="1184">
        <v>0</v>
      </c>
      <c r="Q594" s="1184">
        <v>0</v>
      </c>
      <c r="R594" s="987">
        <v>2019</v>
      </c>
      <c r="S594" s="1158" t="s">
        <v>1486</v>
      </c>
    </row>
    <row r="595" spans="1:19" s="1002" customFormat="1" ht="41.25" customHeight="1">
      <c r="A595" s="1319">
        <v>92</v>
      </c>
      <c r="B595" s="1139" t="s">
        <v>1895</v>
      </c>
      <c r="C595" s="1017">
        <v>1853</v>
      </c>
      <c r="D595" s="1017"/>
      <c r="E595" s="1009" t="s">
        <v>221</v>
      </c>
      <c r="F595" s="1017">
        <v>2</v>
      </c>
      <c r="G595" s="1017">
        <v>2</v>
      </c>
      <c r="H595" s="1184">
        <v>203.4</v>
      </c>
      <c r="I595" s="1184">
        <v>483.2</v>
      </c>
      <c r="J595" s="1184">
        <v>454.1</v>
      </c>
      <c r="K595" s="1189">
        <v>26</v>
      </c>
      <c r="L595" s="1184">
        <v>278635</v>
      </c>
      <c r="M595" s="1184">
        <v>0</v>
      </c>
      <c r="N595" s="1184">
        <v>0</v>
      </c>
      <c r="O595" s="1184">
        <f>L595</f>
        <v>278635</v>
      </c>
      <c r="P595" s="1184">
        <v>0</v>
      </c>
      <c r="Q595" s="1184">
        <v>0</v>
      </c>
      <c r="R595" s="987">
        <v>2019</v>
      </c>
      <c r="S595" s="1158" t="s">
        <v>1486</v>
      </c>
    </row>
    <row r="596" spans="1:19" s="1002" customFormat="1" ht="41.25" customHeight="1">
      <c r="A596" s="1319">
        <v>93</v>
      </c>
      <c r="B596" s="1139" t="s">
        <v>1896</v>
      </c>
      <c r="C596" s="1017">
        <v>1853</v>
      </c>
      <c r="D596" s="1017"/>
      <c r="E596" s="1009" t="s">
        <v>221</v>
      </c>
      <c r="F596" s="1017">
        <v>2</v>
      </c>
      <c r="G596" s="1017">
        <v>2</v>
      </c>
      <c r="H596" s="1184">
        <v>516.70000000000005</v>
      </c>
      <c r="I596" s="1184">
        <v>492.3</v>
      </c>
      <c r="J596" s="1184">
        <v>462.3</v>
      </c>
      <c r="K596" s="1189">
        <v>24</v>
      </c>
      <c r="L596" s="1184">
        <v>283306</v>
      </c>
      <c r="M596" s="1184">
        <v>0</v>
      </c>
      <c r="N596" s="1184">
        <v>0</v>
      </c>
      <c r="O596" s="1184">
        <f>L596</f>
        <v>283306</v>
      </c>
      <c r="P596" s="1184">
        <v>0</v>
      </c>
      <c r="Q596" s="1184">
        <v>0</v>
      </c>
      <c r="R596" s="987">
        <v>2019</v>
      </c>
      <c r="S596" s="1158" t="s">
        <v>1486</v>
      </c>
    </row>
    <row r="597" spans="1:19" s="1002" customFormat="1" ht="41.25" customHeight="1">
      <c r="A597" s="1319">
        <v>94</v>
      </c>
      <c r="B597" s="1139" t="s">
        <v>1897</v>
      </c>
      <c r="C597" s="1017">
        <v>1884</v>
      </c>
      <c r="D597" s="1017"/>
      <c r="E597" s="1009" t="s">
        <v>218</v>
      </c>
      <c r="F597" s="1017">
        <v>2</v>
      </c>
      <c r="G597" s="1017">
        <v>2</v>
      </c>
      <c r="H597" s="1184">
        <v>975.5</v>
      </c>
      <c r="I597" s="1184">
        <v>886.1</v>
      </c>
      <c r="J597" s="1184">
        <v>658.7</v>
      </c>
      <c r="K597" s="1189">
        <v>52</v>
      </c>
      <c r="L597" s="1184">
        <v>569891</v>
      </c>
      <c r="M597" s="1184">
        <v>0</v>
      </c>
      <c r="N597" s="1184">
        <v>0</v>
      </c>
      <c r="O597" s="1184">
        <f>L597</f>
        <v>569891</v>
      </c>
      <c r="P597" s="1184">
        <v>0</v>
      </c>
      <c r="Q597" s="1184">
        <v>0</v>
      </c>
      <c r="R597" s="987">
        <v>2019</v>
      </c>
      <c r="S597" s="1158" t="s">
        <v>1486</v>
      </c>
    </row>
    <row r="598" spans="1:19" s="1002" customFormat="1" ht="41.25" customHeight="1">
      <c r="A598" s="1319">
        <v>95</v>
      </c>
      <c r="B598" s="1139" t="s">
        <v>1898</v>
      </c>
      <c r="C598" s="1017">
        <v>1964</v>
      </c>
      <c r="D598" s="1017"/>
      <c r="E598" s="1009" t="s">
        <v>219</v>
      </c>
      <c r="F598" s="1017">
        <v>5</v>
      </c>
      <c r="G598" s="1017">
        <v>4</v>
      </c>
      <c r="H598" s="1184">
        <v>3687.9</v>
      </c>
      <c r="I598" s="1184">
        <v>3542</v>
      </c>
      <c r="J598" s="1184">
        <v>3311.8</v>
      </c>
      <c r="K598" s="1189">
        <v>160</v>
      </c>
      <c r="L598" s="1184">
        <v>1376298</v>
      </c>
      <c r="M598" s="1184">
        <v>0</v>
      </c>
      <c r="N598" s="1184">
        <v>0</v>
      </c>
      <c r="O598" s="1184">
        <v>1376298</v>
      </c>
      <c r="P598" s="1184">
        <v>0</v>
      </c>
      <c r="Q598" s="1184">
        <v>0</v>
      </c>
      <c r="R598" s="987">
        <v>2019</v>
      </c>
      <c r="S598" s="1158" t="s">
        <v>1486</v>
      </c>
    </row>
    <row r="599" spans="1:19" s="1002" customFormat="1" ht="41.25" customHeight="1">
      <c r="A599" s="1319">
        <v>96</v>
      </c>
      <c r="B599" s="1139" t="s">
        <v>1899</v>
      </c>
      <c r="C599" s="1017">
        <v>1914</v>
      </c>
      <c r="D599" s="1017"/>
      <c r="E599" s="1009" t="s">
        <v>218</v>
      </c>
      <c r="F599" s="1017">
        <v>4</v>
      </c>
      <c r="G599" s="1017">
        <v>5</v>
      </c>
      <c r="H599" s="1184">
        <v>2953.4</v>
      </c>
      <c r="I599" s="1184">
        <v>2592.5</v>
      </c>
      <c r="J599" s="1184">
        <v>2418.9</v>
      </c>
      <c r="K599" s="1189">
        <v>90</v>
      </c>
      <c r="L599" s="1184">
        <v>1890004</v>
      </c>
      <c r="M599" s="1184">
        <v>0</v>
      </c>
      <c r="N599" s="1184">
        <v>0</v>
      </c>
      <c r="O599" s="1184">
        <f>L599</f>
        <v>1890004</v>
      </c>
      <c r="P599" s="1184">
        <v>0</v>
      </c>
      <c r="Q599" s="1184">
        <v>0</v>
      </c>
      <c r="R599" s="987">
        <v>2019</v>
      </c>
      <c r="S599" s="1158" t="s">
        <v>1486</v>
      </c>
    </row>
    <row r="600" spans="1:19" s="1002" customFormat="1" ht="41.25" customHeight="1">
      <c r="A600" s="1319">
        <v>97</v>
      </c>
      <c r="B600" s="1139" t="s">
        <v>1900</v>
      </c>
      <c r="C600" s="1017">
        <v>1966</v>
      </c>
      <c r="D600" s="1017"/>
      <c r="E600" s="1009" t="s">
        <v>218</v>
      </c>
      <c r="F600" s="1017">
        <v>9</v>
      </c>
      <c r="G600" s="1017">
        <v>1</v>
      </c>
      <c r="H600" s="1184">
        <v>3134.8</v>
      </c>
      <c r="I600" s="1184">
        <v>2851.7</v>
      </c>
      <c r="J600" s="1184">
        <v>1892.1</v>
      </c>
      <c r="K600" s="1189">
        <v>96</v>
      </c>
      <c r="L600" s="1184">
        <v>3793797</v>
      </c>
      <c r="M600" s="1184">
        <v>0</v>
      </c>
      <c r="N600" s="1184">
        <v>0</v>
      </c>
      <c r="O600" s="1184">
        <f>L600</f>
        <v>3793797</v>
      </c>
      <c r="P600" s="1184">
        <v>0</v>
      </c>
      <c r="Q600" s="1184">
        <v>0</v>
      </c>
      <c r="R600" s="987">
        <v>2019</v>
      </c>
      <c r="S600" s="1158" t="s">
        <v>1486</v>
      </c>
    </row>
    <row r="601" spans="1:19" s="1002" customFormat="1" ht="41.25" customHeight="1">
      <c r="A601" s="1319">
        <v>98</v>
      </c>
      <c r="B601" s="1139" t="s">
        <v>1901</v>
      </c>
      <c r="C601" s="1017">
        <v>1961</v>
      </c>
      <c r="D601" s="1017"/>
      <c r="E601" s="1009" t="s">
        <v>218</v>
      </c>
      <c r="F601" s="1017">
        <v>5</v>
      </c>
      <c r="G601" s="1017">
        <v>2</v>
      </c>
      <c r="H601" s="1184">
        <v>1734.2</v>
      </c>
      <c r="I601" s="1184">
        <v>1611.9</v>
      </c>
      <c r="J601" s="1184">
        <v>1579.7</v>
      </c>
      <c r="K601" s="1017">
        <v>43</v>
      </c>
      <c r="L601" s="1184">
        <v>1193601</v>
      </c>
      <c r="M601" s="1184">
        <v>0</v>
      </c>
      <c r="N601" s="1184">
        <v>0</v>
      </c>
      <c r="O601" s="1184">
        <v>1193601</v>
      </c>
      <c r="P601" s="1184">
        <v>0</v>
      </c>
      <c r="Q601" s="1184">
        <v>0</v>
      </c>
      <c r="R601" s="987">
        <v>2019</v>
      </c>
      <c r="S601" s="1158" t="s">
        <v>1486</v>
      </c>
    </row>
    <row r="602" spans="1:19" s="1002" customFormat="1" ht="41.25" customHeight="1">
      <c r="A602" s="1319">
        <v>99</v>
      </c>
      <c r="B602" s="1139" t="s">
        <v>1902</v>
      </c>
      <c r="C602" s="1017">
        <v>1859</v>
      </c>
      <c r="D602" s="1017"/>
      <c r="E602" s="1009" t="s">
        <v>218</v>
      </c>
      <c r="F602" s="1017" t="s">
        <v>1716</v>
      </c>
      <c r="G602" s="1017">
        <v>2</v>
      </c>
      <c r="H602" s="1184">
        <v>2133.6999999999998</v>
      </c>
      <c r="I602" s="1184">
        <v>1888.7</v>
      </c>
      <c r="J602" s="1184">
        <v>1325.3</v>
      </c>
      <c r="K602" s="1189">
        <v>47</v>
      </c>
      <c r="L602" s="1184">
        <v>5609542</v>
      </c>
      <c r="M602" s="1184">
        <v>0</v>
      </c>
      <c r="N602" s="1184">
        <v>0</v>
      </c>
      <c r="O602" s="1184">
        <f>L602</f>
        <v>5609542</v>
      </c>
      <c r="P602" s="1184">
        <v>0</v>
      </c>
      <c r="Q602" s="1184">
        <v>0</v>
      </c>
      <c r="R602" s="987">
        <v>2019</v>
      </c>
      <c r="S602" s="1158" t="s">
        <v>1486</v>
      </c>
    </row>
    <row r="603" spans="1:19" s="1002" customFormat="1" ht="41.25" customHeight="1">
      <c r="A603" s="1319">
        <v>100</v>
      </c>
      <c r="B603" s="1139" t="s">
        <v>1903</v>
      </c>
      <c r="C603" s="1017">
        <v>1988</v>
      </c>
      <c r="D603" s="1017"/>
      <c r="E603" s="1009" t="s">
        <v>219</v>
      </c>
      <c r="F603" s="1017">
        <v>9</v>
      </c>
      <c r="G603" s="1017">
        <v>3</v>
      </c>
      <c r="H603" s="1184">
        <v>6516.4</v>
      </c>
      <c r="I603" s="1184">
        <v>5802.1</v>
      </c>
      <c r="J603" s="1184">
        <v>5701</v>
      </c>
      <c r="K603" s="1189">
        <v>252</v>
      </c>
      <c r="L603" s="1184">
        <v>3159503</v>
      </c>
      <c r="M603" s="1184">
        <v>0</v>
      </c>
      <c r="N603" s="1184">
        <v>0</v>
      </c>
      <c r="O603" s="1184">
        <v>3159503</v>
      </c>
      <c r="P603" s="1184">
        <v>0</v>
      </c>
      <c r="Q603" s="1184">
        <v>0</v>
      </c>
      <c r="R603" s="987">
        <v>2019</v>
      </c>
      <c r="S603" s="1158" t="s">
        <v>1486</v>
      </c>
    </row>
    <row r="604" spans="1:19" s="1039" customFormat="1" ht="41.25" customHeight="1">
      <c r="A604" s="1319">
        <v>101</v>
      </c>
      <c r="B604" s="1139" t="s">
        <v>1904</v>
      </c>
      <c r="C604" s="1017">
        <v>1979</v>
      </c>
      <c r="D604" s="1017"/>
      <c r="E604" s="1009" t="s">
        <v>218</v>
      </c>
      <c r="F604" s="1017">
        <v>9</v>
      </c>
      <c r="G604" s="1017">
        <v>1</v>
      </c>
      <c r="H604" s="1184">
        <v>2675.2</v>
      </c>
      <c r="I604" s="1184">
        <v>2382.6</v>
      </c>
      <c r="J604" s="1184">
        <v>2314.3000000000002</v>
      </c>
      <c r="K604" s="1189">
        <v>88</v>
      </c>
      <c r="L604" s="1184">
        <v>1527891</v>
      </c>
      <c r="M604" s="1184">
        <v>0</v>
      </c>
      <c r="N604" s="1184">
        <v>0</v>
      </c>
      <c r="O604" s="1184">
        <v>1527891</v>
      </c>
      <c r="P604" s="1184">
        <v>0</v>
      </c>
      <c r="Q604" s="1184">
        <v>0</v>
      </c>
      <c r="R604" s="987">
        <v>2019</v>
      </c>
      <c r="S604" s="1158" t="s">
        <v>1486</v>
      </c>
    </row>
    <row r="605" spans="1:19" s="1002" customFormat="1" ht="41.25" customHeight="1">
      <c r="A605" s="1319">
        <v>102</v>
      </c>
      <c r="B605" s="1139" t="s">
        <v>1905</v>
      </c>
      <c r="C605" s="1017">
        <v>1939</v>
      </c>
      <c r="D605" s="1017"/>
      <c r="E605" s="1009" t="s">
        <v>218</v>
      </c>
      <c r="F605" s="1017">
        <v>5</v>
      </c>
      <c r="G605" s="1017">
        <v>12</v>
      </c>
      <c r="H605" s="1184">
        <v>9744.2999999999993</v>
      </c>
      <c r="I605" s="1184">
        <v>8657.4</v>
      </c>
      <c r="J605" s="1184">
        <v>8470.7999999999993</v>
      </c>
      <c r="K605" s="1189">
        <v>164</v>
      </c>
      <c r="L605" s="1184">
        <v>5568593</v>
      </c>
      <c r="M605" s="1184">
        <v>0</v>
      </c>
      <c r="N605" s="1184">
        <v>0</v>
      </c>
      <c r="O605" s="1184">
        <v>5568593</v>
      </c>
      <c r="P605" s="1184">
        <v>0</v>
      </c>
      <c r="Q605" s="1184">
        <v>0</v>
      </c>
      <c r="R605" s="987">
        <v>2019</v>
      </c>
      <c r="S605" s="1158" t="s">
        <v>1486</v>
      </c>
    </row>
    <row r="606" spans="1:19" s="1002" customFormat="1" ht="41.25" customHeight="1">
      <c r="A606" s="1319">
        <v>103</v>
      </c>
      <c r="B606" s="1139" t="s">
        <v>1906</v>
      </c>
      <c r="C606" s="1017">
        <v>1980</v>
      </c>
      <c r="D606" s="1017"/>
      <c r="E606" s="1009" t="s">
        <v>218</v>
      </c>
      <c r="F606" s="1017">
        <v>9</v>
      </c>
      <c r="G606" s="1017">
        <v>1</v>
      </c>
      <c r="H606" s="1184">
        <v>2599.8000000000002</v>
      </c>
      <c r="I606" s="1184">
        <v>2307</v>
      </c>
      <c r="J606" s="1184">
        <v>2307</v>
      </c>
      <c r="K606" s="1189">
        <v>109</v>
      </c>
      <c r="L606" s="1184">
        <v>1527891</v>
      </c>
      <c r="M606" s="1184">
        <v>0</v>
      </c>
      <c r="N606" s="1184">
        <v>0</v>
      </c>
      <c r="O606" s="1184">
        <v>1527891</v>
      </c>
      <c r="P606" s="1184">
        <v>0</v>
      </c>
      <c r="Q606" s="1184">
        <v>0</v>
      </c>
      <c r="R606" s="987">
        <v>2019</v>
      </c>
      <c r="S606" s="1158" t="s">
        <v>1486</v>
      </c>
    </row>
    <row r="607" spans="1:19" s="994" customFormat="1" ht="41.25" customHeight="1">
      <c r="A607" s="1319">
        <v>104</v>
      </c>
      <c r="B607" s="1139" t="s">
        <v>1907</v>
      </c>
      <c r="C607" s="1017">
        <v>1927</v>
      </c>
      <c r="D607" s="1017"/>
      <c r="E607" s="1009" t="s">
        <v>221</v>
      </c>
      <c r="F607" s="1017">
        <v>2</v>
      </c>
      <c r="G607" s="1017">
        <v>1</v>
      </c>
      <c r="H607" s="1184">
        <v>351.1</v>
      </c>
      <c r="I607" s="1184">
        <v>322.89999999999998</v>
      </c>
      <c r="J607" s="1184">
        <v>322.89999999999998</v>
      </c>
      <c r="K607" s="1189">
        <v>16</v>
      </c>
      <c r="L607" s="1184">
        <v>207695</v>
      </c>
      <c r="M607" s="1184">
        <v>0</v>
      </c>
      <c r="N607" s="1184">
        <v>0</v>
      </c>
      <c r="O607" s="1184">
        <v>207695</v>
      </c>
      <c r="P607" s="1184">
        <v>0</v>
      </c>
      <c r="Q607" s="1184">
        <v>0</v>
      </c>
      <c r="R607" s="987">
        <v>2019</v>
      </c>
      <c r="S607" s="1158" t="s">
        <v>1486</v>
      </c>
    </row>
    <row r="608" spans="1:19" s="994" customFormat="1" ht="41.25" customHeight="1">
      <c r="A608" s="1319">
        <v>105</v>
      </c>
      <c r="B608" s="1127" t="s">
        <v>1908</v>
      </c>
      <c r="C608" s="1017">
        <v>1960</v>
      </c>
      <c r="D608" s="1017"/>
      <c r="E608" s="1009" t="s">
        <v>218</v>
      </c>
      <c r="F608" s="1017">
        <v>4</v>
      </c>
      <c r="G608" s="1017">
        <v>4</v>
      </c>
      <c r="H608" s="1128">
        <v>3219.9</v>
      </c>
      <c r="I608" s="1128">
        <v>2423.1999999999998</v>
      </c>
      <c r="J608" s="1128">
        <v>1885.5</v>
      </c>
      <c r="K608" s="1017">
        <v>67</v>
      </c>
      <c r="L608" s="1191">
        <v>143558</v>
      </c>
      <c r="M608" s="1192">
        <v>0</v>
      </c>
      <c r="N608" s="1192">
        <v>0</v>
      </c>
      <c r="O608" s="1191">
        <v>143558</v>
      </c>
      <c r="P608" s="1192">
        <v>0</v>
      </c>
      <c r="Q608" s="1192">
        <v>0</v>
      </c>
      <c r="R608" s="987">
        <v>2020</v>
      </c>
      <c r="S608" s="1158" t="s">
        <v>1486</v>
      </c>
    </row>
    <row r="609" spans="1:19" s="994" customFormat="1" ht="41.25" customHeight="1">
      <c r="A609" s="1319">
        <v>106</v>
      </c>
      <c r="B609" s="1127" t="s">
        <v>1909</v>
      </c>
      <c r="C609" s="1017">
        <v>1974</v>
      </c>
      <c r="D609" s="1017"/>
      <c r="E609" s="1009" t="s">
        <v>220</v>
      </c>
      <c r="F609" s="1017">
        <v>12</v>
      </c>
      <c r="G609" s="1017">
        <v>1</v>
      </c>
      <c r="H609" s="1128">
        <v>3833.3</v>
      </c>
      <c r="I609" s="1128">
        <v>3632.2</v>
      </c>
      <c r="J609" s="1128">
        <v>3350</v>
      </c>
      <c r="K609" s="1017">
        <v>178</v>
      </c>
      <c r="L609" s="1191">
        <v>1223262</v>
      </c>
      <c r="M609" s="1192">
        <v>0</v>
      </c>
      <c r="N609" s="1192">
        <v>0</v>
      </c>
      <c r="O609" s="1191">
        <v>1223262</v>
      </c>
      <c r="P609" s="1192">
        <v>0</v>
      </c>
      <c r="Q609" s="1192">
        <v>0</v>
      </c>
      <c r="R609" s="987">
        <v>2020</v>
      </c>
      <c r="S609" s="1158" t="s">
        <v>1486</v>
      </c>
    </row>
    <row r="610" spans="1:19" s="994" customFormat="1" ht="41.25" customHeight="1">
      <c r="A610" s="1319">
        <v>107</v>
      </c>
      <c r="B610" s="1127" t="s">
        <v>1910</v>
      </c>
      <c r="C610" s="1017">
        <v>1947</v>
      </c>
      <c r="D610" s="1017"/>
      <c r="E610" s="1009" t="s">
        <v>218</v>
      </c>
      <c r="F610" s="1017">
        <v>4</v>
      </c>
      <c r="G610" s="1017">
        <v>2</v>
      </c>
      <c r="H610" s="1128">
        <v>1384.7</v>
      </c>
      <c r="I610" s="1128">
        <v>1205.9000000000001</v>
      </c>
      <c r="J610" s="1128">
        <f>I610-276.8-45.4</f>
        <v>883.70000000000016</v>
      </c>
      <c r="K610" s="1017">
        <v>54</v>
      </c>
      <c r="L610" s="1193">
        <v>4010101</v>
      </c>
      <c r="M610" s="1192">
        <v>0</v>
      </c>
      <c r="N610" s="1192">
        <v>0</v>
      </c>
      <c r="O610" s="1193">
        <f>L610</f>
        <v>4010101</v>
      </c>
      <c r="P610" s="1192">
        <v>0</v>
      </c>
      <c r="Q610" s="1192">
        <v>0</v>
      </c>
      <c r="R610" s="987">
        <v>2020</v>
      </c>
      <c r="S610" s="1158" t="s">
        <v>1486</v>
      </c>
    </row>
    <row r="611" spans="1:19" s="1002" customFormat="1" ht="41.25" customHeight="1">
      <c r="A611" s="1319">
        <v>108</v>
      </c>
      <c r="B611" s="1127" t="s">
        <v>1911</v>
      </c>
      <c r="C611" s="1017">
        <v>1962</v>
      </c>
      <c r="D611" s="1017"/>
      <c r="E611" s="1009" t="s">
        <v>218</v>
      </c>
      <c r="F611" s="1017">
        <v>4</v>
      </c>
      <c r="G611" s="1017">
        <v>3</v>
      </c>
      <c r="H611" s="1128">
        <v>2152.1</v>
      </c>
      <c r="I611" s="1128">
        <v>1979.1</v>
      </c>
      <c r="J611" s="1128">
        <v>1865.9</v>
      </c>
      <c r="K611" s="1017">
        <v>79</v>
      </c>
      <c r="L611" s="1193">
        <v>1272992</v>
      </c>
      <c r="M611" s="1192">
        <v>0</v>
      </c>
      <c r="N611" s="1192">
        <v>0</v>
      </c>
      <c r="O611" s="1193">
        <v>1272992</v>
      </c>
      <c r="P611" s="1192">
        <v>0</v>
      </c>
      <c r="Q611" s="1192">
        <v>0</v>
      </c>
      <c r="R611" s="987">
        <v>2020</v>
      </c>
      <c r="S611" s="1158" t="s">
        <v>1486</v>
      </c>
    </row>
    <row r="612" spans="1:19" s="1002" customFormat="1" ht="41.25" customHeight="1">
      <c r="A612" s="1319">
        <v>109</v>
      </c>
      <c r="B612" s="1127" t="s">
        <v>1912</v>
      </c>
      <c r="C612" s="1017">
        <v>1956</v>
      </c>
      <c r="D612" s="1017"/>
      <c r="E612" s="1009" t="s">
        <v>218</v>
      </c>
      <c r="F612" s="1017">
        <v>2</v>
      </c>
      <c r="G612" s="1017">
        <v>2</v>
      </c>
      <c r="H612" s="1128">
        <v>424.9</v>
      </c>
      <c r="I612" s="1128">
        <v>383.9</v>
      </c>
      <c r="J612" s="1128">
        <v>383.9</v>
      </c>
      <c r="K612" s="1017">
        <v>44</v>
      </c>
      <c r="L612" s="1191">
        <v>223253</v>
      </c>
      <c r="M612" s="1192">
        <v>0</v>
      </c>
      <c r="N612" s="1192">
        <v>0</v>
      </c>
      <c r="O612" s="1191">
        <f>L612</f>
        <v>223253</v>
      </c>
      <c r="P612" s="1192">
        <v>0</v>
      </c>
      <c r="Q612" s="1192">
        <v>0</v>
      </c>
      <c r="R612" s="987">
        <v>2020</v>
      </c>
      <c r="S612" s="1158" t="s">
        <v>1486</v>
      </c>
    </row>
    <row r="613" spans="1:19" s="1002" customFormat="1" ht="41.25" customHeight="1">
      <c r="A613" s="1319">
        <v>110</v>
      </c>
      <c r="B613" s="1127" t="s">
        <v>1913</v>
      </c>
      <c r="C613" s="1017">
        <v>1982</v>
      </c>
      <c r="D613" s="1017"/>
      <c r="E613" s="1009" t="s">
        <v>219</v>
      </c>
      <c r="F613" s="1017">
        <v>5</v>
      </c>
      <c r="G613" s="1017">
        <v>14</v>
      </c>
      <c r="H613" s="1128">
        <v>11814.2</v>
      </c>
      <c r="I613" s="1128">
        <v>10844.5</v>
      </c>
      <c r="J613" s="1128">
        <v>9827.7999999999993</v>
      </c>
      <c r="K613" s="1017">
        <v>484</v>
      </c>
      <c r="L613" s="1191">
        <v>9902493.3900000006</v>
      </c>
      <c r="M613" s="1192">
        <v>0</v>
      </c>
      <c r="N613" s="1192">
        <v>0</v>
      </c>
      <c r="O613" s="1191">
        <f>L613</f>
        <v>9902493.3900000006</v>
      </c>
      <c r="P613" s="1192">
        <v>0</v>
      </c>
      <c r="Q613" s="1192">
        <v>0</v>
      </c>
      <c r="R613" s="987">
        <v>2020</v>
      </c>
      <c r="S613" s="1158" t="s">
        <v>1486</v>
      </c>
    </row>
    <row r="614" spans="1:19" s="1002" customFormat="1" ht="41.25" customHeight="1">
      <c r="A614" s="1319">
        <v>111</v>
      </c>
      <c r="B614" s="1127" t="s">
        <v>1955</v>
      </c>
      <c r="C614" s="1017">
        <v>1972</v>
      </c>
      <c r="D614" s="1017"/>
      <c r="E614" s="1009" t="s">
        <v>219</v>
      </c>
      <c r="F614" s="1017">
        <v>5</v>
      </c>
      <c r="G614" s="1017">
        <v>4</v>
      </c>
      <c r="H614" s="1128">
        <v>3679.4</v>
      </c>
      <c r="I614" s="1128">
        <v>3408.6</v>
      </c>
      <c r="J614" s="1128">
        <v>2985.2</v>
      </c>
      <c r="K614" s="1017">
        <v>70</v>
      </c>
      <c r="L614" s="1191">
        <v>3642204</v>
      </c>
      <c r="M614" s="1192">
        <v>0</v>
      </c>
      <c r="N614" s="1192">
        <v>0</v>
      </c>
      <c r="O614" s="1191">
        <v>3642204</v>
      </c>
      <c r="P614" s="1192">
        <v>0</v>
      </c>
      <c r="Q614" s="1192">
        <v>0</v>
      </c>
      <c r="R614" s="987">
        <v>2020</v>
      </c>
      <c r="S614" s="1158" t="s">
        <v>1486</v>
      </c>
    </row>
    <row r="615" spans="1:19" s="1002" customFormat="1" ht="41.25" customHeight="1">
      <c r="A615" s="1319">
        <v>112</v>
      </c>
      <c r="B615" s="1127" t="s">
        <v>1915</v>
      </c>
      <c r="C615" s="1017">
        <v>1925</v>
      </c>
      <c r="D615" s="1017"/>
      <c r="E615" s="1009" t="s">
        <v>221</v>
      </c>
      <c r="F615" s="1017">
        <v>2</v>
      </c>
      <c r="G615" s="1017">
        <v>2</v>
      </c>
      <c r="H615" s="1128">
        <v>458.9</v>
      </c>
      <c r="I615" s="1128">
        <v>417.8</v>
      </c>
      <c r="J615" s="1128">
        <f>I615-53.2</f>
        <v>364.6</v>
      </c>
      <c r="K615" s="1017">
        <v>28</v>
      </c>
      <c r="L615" s="1191">
        <v>1661291</v>
      </c>
      <c r="M615" s="1192">
        <v>0</v>
      </c>
      <c r="N615" s="1192">
        <v>0</v>
      </c>
      <c r="O615" s="1191">
        <v>1661291</v>
      </c>
      <c r="P615" s="1192">
        <v>0</v>
      </c>
      <c r="Q615" s="1192">
        <v>0</v>
      </c>
      <c r="R615" s="987">
        <v>2020</v>
      </c>
      <c r="S615" s="1158" t="s">
        <v>1486</v>
      </c>
    </row>
    <row r="616" spans="1:19" s="1002" customFormat="1" ht="41.25" customHeight="1">
      <c r="A616" s="1319">
        <v>113</v>
      </c>
      <c r="B616" s="1127" t="s">
        <v>1916</v>
      </c>
      <c r="C616" s="1017">
        <v>1962</v>
      </c>
      <c r="D616" s="1017"/>
      <c r="E616" s="1009" t="s">
        <v>218</v>
      </c>
      <c r="F616" s="1017">
        <v>2</v>
      </c>
      <c r="G616" s="1017">
        <v>1</v>
      </c>
      <c r="H616" s="1128">
        <v>362.4</v>
      </c>
      <c r="I616" s="1128">
        <v>331.3</v>
      </c>
      <c r="J616" s="1128">
        <v>297.39999999999998</v>
      </c>
      <c r="K616" s="1017">
        <v>17</v>
      </c>
      <c r="L616" s="1191">
        <v>495540</v>
      </c>
      <c r="M616" s="1192">
        <v>0</v>
      </c>
      <c r="N616" s="1192">
        <v>0</v>
      </c>
      <c r="O616" s="1191">
        <v>495540</v>
      </c>
      <c r="P616" s="1192">
        <v>0</v>
      </c>
      <c r="Q616" s="1192">
        <v>0</v>
      </c>
      <c r="R616" s="987">
        <v>2020</v>
      </c>
      <c r="S616" s="1158" t="s">
        <v>1486</v>
      </c>
    </row>
    <row r="617" spans="1:19" s="1002" customFormat="1" ht="41.25" customHeight="1">
      <c r="A617" s="1319">
        <v>114</v>
      </c>
      <c r="B617" s="1127" t="s">
        <v>1917</v>
      </c>
      <c r="C617" s="1017">
        <v>1960</v>
      </c>
      <c r="D617" s="1017"/>
      <c r="E617" s="1009" t="s">
        <v>218</v>
      </c>
      <c r="F617" s="1017">
        <v>4</v>
      </c>
      <c r="G617" s="1017">
        <v>2</v>
      </c>
      <c r="H617" s="1128">
        <v>1367.9</v>
      </c>
      <c r="I617" s="1128">
        <v>1271.3</v>
      </c>
      <c r="J617" s="1128">
        <v>1258.5999999999999</v>
      </c>
      <c r="K617" s="1017">
        <v>47</v>
      </c>
      <c r="L617" s="1191">
        <v>2869710</v>
      </c>
      <c r="M617" s="1192">
        <v>0</v>
      </c>
      <c r="N617" s="1192">
        <v>0</v>
      </c>
      <c r="O617" s="1191">
        <v>2869710</v>
      </c>
      <c r="P617" s="1192">
        <v>0</v>
      </c>
      <c r="Q617" s="1192">
        <v>0</v>
      </c>
      <c r="R617" s="987">
        <v>2020</v>
      </c>
      <c r="S617" s="1158" t="s">
        <v>1486</v>
      </c>
    </row>
    <row r="618" spans="1:19" ht="44.45" customHeight="1">
      <c r="A618" s="1319">
        <v>115</v>
      </c>
      <c r="B618" s="1127" t="s">
        <v>1918</v>
      </c>
      <c r="C618" s="1017">
        <v>1971</v>
      </c>
      <c r="D618" s="1017"/>
      <c r="E618" s="1009" t="s">
        <v>218</v>
      </c>
      <c r="F618" s="1017">
        <v>5</v>
      </c>
      <c r="G618" s="1017">
        <v>4</v>
      </c>
      <c r="H618" s="1128">
        <v>3545.9</v>
      </c>
      <c r="I618" s="1128">
        <v>3358.9</v>
      </c>
      <c r="J618" s="1128">
        <f>I618-151.8</f>
        <v>3207.1</v>
      </c>
      <c r="K618" s="1017">
        <v>134</v>
      </c>
      <c r="L618" s="1191">
        <v>197678</v>
      </c>
      <c r="M618" s="1192">
        <v>0</v>
      </c>
      <c r="N618" s="1192">
        <v>0</v>
      </c>
      <c r="O618" s="1191">
        <f>L618</f>
        <v>197678</v>
      </c>
      <c r="P618" s="1192">
        <v>0</v>
      </c>
      <c r="Q618" s="1192">
        <v>0</v>
      </c>
      <c r="R618" s="987">
        <v>2020</v>
      </c>
      <c r="S618" s="1158" t="s">
        <v>1486</v>
      </c>
    </row>
    <row r="619" spans="1:19" ht="40.15" customHeight="1">
      <c r="A619" s="1319">
        <v>116</v>
      </c>
      <c r="B619" s="1127" t="s">
        <v>1919</v>
      </c>
      <c r="C619" s="1017">
        <v>1959</v>
      </c>
      <c r="D619" s="1017"/>
      <c r="E619" s="1009" t="s">
        <v>218</v>
      </c>
      <c r="F619" s="1017">
        <v>2</v>
      </c>
      <c r="G619" s="1017">
        <v>2</v>
      </c>
      <c r="H619" s="1128">
        <v>681.5</v>
      </c>
      <c r="I619" s="1128">
        <v>632.1</v>
      </c>
      <c r="J619" s="1128">
        <v>589.6</v>
      </c>
      <c r="K619" s="1017">
        <v>28</v>
      </c>
      <c r="L619" s="1191">
        <v>1532993</v>
      </c>
      <c r="M619" s="1192">
        <v>0</v>
      </c>
      <c r="N619" s="1192">
        <v>0</v>
      </c>
      <c r="O619" s="1191">
        <v>1532993</v>
      </c>
      <c r="P619" s="1192">
        <v>0</v>
      </c>
      <c r="Q619" s="1192">
        <v>0</v>
      </c>
      <c r="R619" s="987">
        <v>2020</v>
      </c>
      <c r="S619" s="1158" t="s">
        <v>1486</v>
      </c>
    </row>
    <row r="620" spans="1:19" ht="42" customHeight="1">
      <c r="A620" s="1319">
        <v>117</v>
      </c>
      <c r="B620" s="1127" t="s">
        <v>1920</v>
      </c>
      <c r="C620" s="1017">
        <v>1953</v>
      </c>
      <c r="D620" s="1017"/>
      <c r="E620" s="1009" t="s">
        <v>218</v>
      </c>
      <c r="F620" s="1017">
        <v>3</v>
      </c>
      <c r="G620" s="1017">
        <v>3</v>
      </c>
      <c r="H620" s="1128">
        <v>2201.1999999999998</v>
      </c>
      <c r="I620" s="1128">
        <v>1827.5</v>
      </c>
      <c r="J620" s="1128">
        <v>1827.5</v>
      </c>
      <c r="K620" s="1017">
        <v>50</v>
      </c>
      <c r="L620" s="1191">
        <v>1996706.0319999999</v>
      </c>
      <c r="M620" s="1192">
        <v>0</v>
      </c>
      <c r="N620" s="1192">
        <v>0</v>
      </c>
      <c r="O620" s="1191">
        <f>L620</f>
        <v>1996706.0319999999</v>
      </c>
      <c r="P620" s="1192">
        <v>0</v>
      </c>
      <c r="Q620" s="1192">
        <v>0</v>
      </c>
      <c r="R620" s="987">
        <v>2020</v>
      </c>
      <c r="S620" s="1158" t="s">
        <v>1486</v>
      </c>
    </row>
    <row r="621" spans="1:19" ht="42.6" customHeight="1">
      <c r="A621" s="1319">
        <v>118</v>
      </c>
      <c r="B621" s="1127" t="s">
        <v>1921</v>
      </c>
      <c r="C621" s="1017">
        <v>1959</v>
      </c>
      <c r="D621" s="1017"/>
      <c r="E621" s="1009" t="s">
        <v>218</v>
      </c>
      <c r="F621" s="1017">
        <v>3</v>
      </c>
      <c r="G621" s="1017">
        <v>2</v>
      </c>
      <c r="H621" s="1128">
        <v>1012.8</v>
      </c>
      <c r="I621" s="1128">
        <v>983.7</v>
      </c>
      <c r="J621" s="1128">
        <v>947.3</v>
      </c>
      <c r="K621" s="1017">
        <v>22</v>
      </c>
      <c r="L621" s="1191">
        <v>2589668</v>
      </c>
      <c r="M621" s="1192">
        <v>0</v>
      </c>
      <c r="N621" s="1192">
        <v>0</v>
      </c>
      <c r="O621" s="1191">
        <v>2589668</v>
      </c>
      <c r="P621" s="1192">
        <v>0</v>
      </c>
      <c r="Q621" s="1192">
        <v>0</v>
      </c>
      <c r="R621" s="987">
        <v>2020</v>
      </c>
      <c r="S621" s="1158" t="s">
        <v>1486</v>
      </c>
    </row>
    <row r="622" spans="1:19" ht="42" customHeight="1">
      <c r="A622" s="1319">
        <v>119</v>
      </c>
      <c r="B622" s="1127" t="s">
        <v>1922</v>
      </c>
      <c r="C622" s="1017">
        <v>1989</v>
      </c>
      <c r="D622" s="1017"/>
      <c r="E622" s="1009" t="s">
        <v>219</v>
      </c>
      <c r="F622" s="1017">
        <v>5</v>
      </c>
      <c r="G622" s="1017">
        <v>5</v>
      </c>
      <c r="H622" s="1128">
        <v>4177.7</v>
      </c>
      <c r="I622" s="1128">
        <v>3828.8</v>
      </c>
      <c r="J622" s="1128">
        <v>3674.3</v>
      </c>
      <c r="K622" s="1017">
        <v>153</v>
      </c>
      <c r="L622" s="1191">
        <v>2672049</v>
      </c>
      <c r="M622" s="1192">
        <v>0</v>
      </c>
      <c r="N622" s="1192">
        <v>0</v>
      </c>
      <c r="O622" s="1191">
        <v>2672049</v>
      </c>
      <c r="P622" s="1192">
        <v>0</v>
      </c>
      <c r="Q622" s="1192">
        <v>0</v>
      </c>
      <c r="R622" s="987">
        <v>2020</v>
      </c>
      <c r="S622" s="1158" t="s">
        <v>1486</v>
      </c>
    </row>
    <row r="623" spans="1:19" ht="42" customHeight="1">
      <c r="A623" s="1319">
        <v>120</v>
      </c>
      <c r="B623" s="1127" t="s">
        <v>1923</v>
      </c>
      <c r="C623" s="1017">
        <v>1959</v>
      </c>
      <c r="D623" s="1017"/>
      <c r="E623" s="1009" t="s">
        <v>218</v>
      </c>
      <c r="F623" s="1017">
        <v>4</v>
      </c>
      <c r="G623" s="1017">
        <v>2</v>
      </c>
      <c r="H623" s="1128">
        <v>1976.8</v>
      </c>
      <c r="I623" s="1128">
        <v>1759.7</v>
      </c>
      <c r="J623" s="1128">
        <v>1669.7</v>
      </c>
      <c r="K623" s="1017">
        <v>70</v>
      </c>
      <c r="L623" s="1191">
        <v>2635861</v>
      </c>
      <c r="M623" s="1192">
        <v>0</v>
      </c>
      <c r="N623" s="1192">
        <v>0</v>
      </c>
      <c r="O623" s="1191">
        <f>L623</f>
        <v>2635861</v>
      </c>
      <c r="P623" s="1192">
        <v>0</v>
      </c>
      <c r="Q623" s="1192">
        <v>0</v>
      </c>
      <c r="R623" s="987">
        <v>2020</v>
      </c>
      <c r="S623" s="1158" t="s">
        <v>1486</v>
      </c>
    </row>
    <row r="624" spans="1:19" ht="42" customHeight="1">
      <c r="A624" s="1319">
        <v>121</v>
      </c>
      <c r="B624" s="1127" t="s">
        <v>1849</v>
      </c>
      <c r="C624" s="1017">
        <v>1955</v>
      </c>
      <c r="D624" s="1017"/>
      <c r="E624" s="1009" t="s">
        <v>218</v>
      </c>
      <c r="F624" s="1017">
        <v>2</v>
      </c>
      <c r="G624" s="1017">
        <v>2</v>
      </c>
      <c r="H624" s="1128">
        <v>512</v>
      </c>
      <c r="I624" s="1128">
        <v>468.9</v>
      </c>
      <c r="J624" s="1128">
        <v>413.7</v>
      </c>
      <c r="K624" s="1017">
        <v>29</v>
      </c>
      <c r="L624" s="1191">
        <v>272683</v>
      </c>
      <c r="M624" s="1192">
        <v>0</v>
      </c>
      <c r="N624" s="1192">
        <v>0</v>
      </c>
      <c r="O624" s="1191">
        <v>272683</v>
      </c>
      <c r="P624" s="1192">
        <v>0</v>
      </c>
      <c r="Q624" s="1192">
        <v>0</v>
      </c>
      <c r="R624" s="987">
        <v>2021</v>
      </c>
      <c r="S624" s="1158" t="s">
        <v>1486</v>
      </c>
    </row>
    <row r="625" spans="1:19" ht="42" customHeight="1">
      <c r="A625" s="1319">
        <v>122</v>
      </c>
      <c r="B625" s="1127" t="s">
        <v>1924</v>
      </c>
      <c r="C625" s="1017">
        <v>1959</v>
      </c>
      <c r="D625" s="1017"/>
      <c r="E625" s="1009" t="s">
        <v>218</v>
      </c>
      <c r="F625" s="1017">
        <v>2</v>
      </c>
      <c r="G625" s="1017">
        <v>2</v>
      </c>
      <c r="H625" s="1128">
        <v>675.3</v>
      </c>
      <c r="I625" s="1128">
        <v>628.20000000000005</v>
      </c>
      <c r="J625" s="1128">
        <v>585.79999999999995</v>
      </c>
      <c r="K625" s="1017">
        <v>32</v>
      </c>
      <c r="L625" s="1191">
        <v>1275755</v>
      </c>
      <c r="M625" s="1192">
        <v>0</v>
      </c>
      <c r="N625" s="1192">
        <v>0</v>
      </c>
      <c r="O625" s="1191">
        <v>1275755</v>
      </c>
      <c r="P625" s="1192">
        <v>0</v>
      </c>
      <c r="Q625" s="1192">
        <v>0</v>
      </c>
      <c r="R625" s="987">
        <v>2021</v>
      </c>
      <c r="S625" s="1158" t="s">
        <v>1486</v>
      </c>
    </row>
    <row r="626" spans="1:19" ht="42.6" customHeight="1">
      <c r="A626" s="1319">
        <v>123</v>
      </c>
      <c r="B626" s="1127" t="s">
        <v>1925</v>
      </c>
      <c r="C626" s="1017">
        <v>1961</v>
      </c>
      <c r="D626" s="1017"/>
      <c r="E626" s="1009" t="s">
        <v>218</v>
      </c>
      <c r="F626" s="1017">
        <v>4</v>
      </c>
      <c r="G626" s="1017">
        <v>2</v>
      </c>
      <c r="H626" s="1128">
        <v>1379.1</v>
      </c>
      <c r="I626" s="1128">
        <v>1277.7</v>
      </c>
      <c r="J626" s="1128">
        <v>1245.2</v>
      </c>
      <c r="K626" s="1017">
        <v>54</v>
      </c>
      <c r="L626" s="1191">
        <v>2658432.25</v>
      </c>
      <c r="M626" s="1192">
        <v>0</v>
      </c>
      <c r="N626" s="1192">
        <v>0</v>
      </c>
      <c r="O626" s="1191">
        <f>L626</f>
        <v>2658432.25</v>
      </c>
      <c r="P626" s="1192">
        <v>0</v>
      </c>
      <c r="Q626" s="1192">
        <v>0</v>
      </c>
      <c r="R626" s="987">
        <v>2021</v>
      </c>
      <c r="S626" s="1158" t="s">
        <v>1486</v>
      </c>
    </row>
    <row r="627" spans="1:19" ht="43.15" customHeight="1">
      <c r="A627" s="1319">
        <v>124</v>
      </c>
      <c r="B627" s="1127" t="s">
        <v>1926</v>
      </c>
      <c r="C627" s="1017">
        <v>1960</v>
      </c>
      <c r="D627" s="1017"/>
      <c r="E627" s="1009" t="s">
        <v>218</v>
      </c>
      <c r="F627" s="1017">
        <v>4</v>
      </c>
      <c r="G627" s="1017">
        <v>2</v>
      </c>
      <c r="H627" s="1128">
        <v>1376.7</v>
      </c>
      <c r="I627" s="1128">
        <v>1289.2</v>
      </c>
      <c r="J627" s="1128">
        <v>1213.8</v>
      </c>
      <c r="K627" s="1017">
        <v>53</v>
      </c>
      <c r="L627" s="1191">
        <v>6099267</v>
      </c>
      <c r="M627" s="1192">
        <v>0</v>
      </c>
      <c r="N627" s="1192">
        <v>0</v>
      </c>
      <c r="O627" s="1191">
        <v>6099267</v>
      </c>
      <c r="P627" s="1192">
        <v>0</v>
      </c>
      <c r="Q627" s="1192">
        <v>0</v>
      </c>
      <c r="R627" s="987">
        <v>2021</v>
      </c>
      <c r="S627" s="1158" t="s">
        <v>1486</v>
      </c>
    </row>
    <row r="628" spans="1:19" ht="42.6" customHeight="1">
      <c r="A628" s="1319">
        <v>125</v>
      </c>
      <c r="B628" s="1127" t="s">
        <v>1927</v>
      </c>
      <c r="C628" s="1017">
        <v>1968</v>
      </c>
      <c r="D628" s="1017"/>
      <c r="E628" s="1009" t="s">
        <v>219</v>
      </c>
      <c r="F628" s="1017">
        <v>5</v>
      </c>
      <c r="G628" s="1017">
        <v>5</v>
      </c>
      <c r="H628" s="1128">
        <v>3421.8</v>
      </c>
      <c r="I628" s="1128">
        <v>3086.4</v>
      </c>
      <c r="J628" s="1128">
        <v>3045</v>
      </c>
      <c r="K628" s="1017">
        <v>144</v>
      </c>
      <c r="L628" s="1191">
        <v>13068971</v>
      </c>
      <c r="M628" s="1192">
        <v>0</v>
      </c>
      <c r="N628" s="1192">
        <v>0</v>
      </c>
      <c r="O628" s="1191">
        <v>13068971</v>
      </c>
      <c r="P628" s="1192">
        <v>0</v>
      </c>
      <c r="Q628" s="1192">
        <v>0</v>
      </c>
      <c r="R628" s="987">
        <v>2021</v>
      </c>
      <c r="S628" s="1158" t="s">
        <v>1486</v>
      </c>
    </row>
    <row r="629" spans="1:19" ht="44.45" customHeight="1">
      <c r="A629" s="1319">
        <v>126</v>
      </c>
      <c r="B629" s="1127" t="s">
        <v>1928</v>
      </c>
      <c r="C629" s="1017">
        <v>1960</v>
      </c>
      <c r="D629" s="1017"/>
      <c r="E629" s="1009" t="s">
        <v>220</v>
      </c>
      <c r="F629" s="1017">
        <v>3</v>
      </c>
      <c r="G629" s="1017">
        <v>2</v>
      </c>
      <c r="H629" s="1128">
        <v>830.8</v>
      </c>
      <c r="I629" s="1128">
        <v>756.5</v>
      </c>
      <c r="J629" s="1128">
        <v>714.7</v>
      </c>
      <c r="K629" s="1017">
        <v>26</v>
      </c>
      <c r="L629" s="1191">
        <v>486594</v>
      </c>
      <c r="M629" s="1192">
        <v>0</v>
      </c>
      <c r="N629" s="1192">
        <v>0</v>
      </c>
      <c r="O629" s="1191">
        <f>L629</f>
        <v>486594</v>
      </c>
      <c r="P629" s="1192">
        <v>0</v>
      </c>
      <c r="Q629" s="1192">
        <v>0</v>
      </c>
      <c r="R629" s="987">
        <v>2021</v>
      </c>
      <c r="S629" s="1158" t="s">
        <v>1486</v>
      </c>
    </row>
    <row r="630" spans="1:19" ht="40.9" customHeight="1">
      <c r="A630" s="1319">
        <v>127</v>
      </c>
      <c r="B630" s="1127" t="s">
        <v>1929</v>
      </c>
      <c r="C630" s="1017">
        <v>1982</v>
      </c>
      <c r="D630" s="1017"/>
      <c r="E630" s="1009" t="s">
        <v>219</v>
      </c>
      <c r="F630" s="1017">
        <v>9</v>
      </c>
      <c r="G630" s="1017">
        <v>2</v>
      </c>
      <c r="H630" s="1128">
        <v>7009.1</v>
      </c>
      <c r="I630" s="1128">
        <v>6649.6</v>
      </c>
      <c r="J630" s="1128">
        <v>6247</v>
      </c>
      <c r="K630" s="1017">
        <v>240</v>
      </c>
      <c r="L630" s="1191">
        <v>5258538</v>
      </c>
      <c r="M630" s="1192">
        <v>0</v>
      </c>
      <c r="N630" s="1192">
        <v>0</v>
      </c>
      <c r="O630" s="1191">
        <f>L630</f>
        <v>5258538</v>
      </c>
      <c r="P630" s="1192">
        <v>0</v>
      </c>
      <c r="Q630" s="1192">
        <v>0</v>
      </c>
      <c r="R630" s="987">
        <v>2021</v>
      </c>
      <c r="S630" s="1158" t="s">
        <v>1486</v>
      </c>
    </row>
    <row r="631" spans="1:19" ht="40.9" customHeight="1">
      <c r="A631" s="1319">
        <v>128</v>
      </c>
      <c r="B631" s="1127" t="s">
        <v>1930</v>
      </c>
      <c r="C631" s="1017">
        <v>1960</v>
      </c>
      <c r="D631" s="1017"/>
      <c r="E631" s="1009" t="s">
        <v>218</v>
      </c>
      <c r="F631" s="1017">
        <v>2</v>
      </c>
      <c r="G631" s="1017">
        <v>1</v>
      </c>
      <c r="H631" s="1128">
        <v>296.10000000000002</v>
      </c>
      <c r="I631" s="1128">
        <v>285.10000000000002</v>
      </c>
      <c r="J631" s="1128">
        <v>246.3</v>
      </c>
      <c r="K631" s="1017">
        <v>16</v>
      </c>
      <c r="L631" s="1191">
        <v>2423166</v>
      </c>
      <c r="M631" s="1192">
        <v>0</v>
      </c>
      <c r="N631" s="1192">
        <v>0</v>
      </c>
      <c r="O631" s="1191">
        <v>2423166</v>
      </c>
      <c r="P631" s="1192">
        <v>0</v>
      </c>
      <c r="Q631" s="1192">
        <v>0</v>
      </c>
      <c r="R631" s="987">
        <v>2021</v>
      </c>
      <c r="S631" s="1158" t="s">
        <v>1486</v>
      </c>
    </row>
    <row r="632" spans="1:19" ht="41.45" customHeight="1">
      <c r="A632" s="1319">
        <v>129</v>
      </c>
      <c r="B632" s="1127" t="s">
        <v>1931</v>
      </c>
      <c r="C632" s="1017">
        <v>1948</v>
      </c>
      <c r="D632" s="1017"/>
      <c r="E632" s="1009" t="s">
        <v>220</v>
      </c>
      <c r="F632" s="1017">
        <v>2</v>
      </c>
      <c r="G632" s="1017">
        <v>3</v>
      </c>
      <c r="H632" s="1128">
        <v>1324.2</v>
      </c>
      <c r="I632" s="1128">
        <v>1206</v>
      </c>
      <c r="J632" s="1128">
        <v>1093.4000000000001</v>
      </c>
      <c r="K632" s="1017">
        <v>60</v>
      </c>
      <c r="L632" s="1191">
        <v>701336</v>
      </c>
      <c r="M632" s="1192">
        <v>0</v>
      </c>
      <c r="N632" s="1192">
        <v>0</v>
      </c>
      <c r="O632" s="1191">
        <v>701336</v>
      </c>
      <c r="P632" s="1192">
        <v>0</v>
      </c>
      <c r="Q632" s="1192">
        <v>0</v>
      </c>
      <c r="R632" s="987">
        <v>2021</v>
      </c>
      <c r="S632" s="1158" t="s">
        <v>1486</v>
      </c>
    </row>
    <row r="633" spans="1:19" ht="40.9" customHeight="1">
      <c r="A633" s="1319">
        <v>130</v>
      </c>
      <c r="B633" s="1127" t="s">
        <v>1932</v>
      </c>
      <c r="C633" s="1017">
        <v>1962</v>
      </c>
      <c r="D633" s="1017"/>
      <c r="E633" s="1009" t="s">
        <v>218</v>
      </c>
      <c r="F633" s="1017">
        <v>5</v>
      </c>
      <c r="G633" s="1017">
        <v>2</v>
      </c>
      <c r="H633" s="1128">
        <v>1870.7</v>
      </c>
      <c r="I633" s="1128">
        <v>1754.3</v>
      </c>
      <c r="J633" s="1128">
        <v>1410.6</v>
      </c>
      <c r="K633" s="1017">
        <v>62</v>
      </c>
      <c r="L633" s="1191">
        <v>13772351</v>
      </c>
      <c r="M633" s="1192">
        <v>0</v>
      </c>
      <c r="N633" s="1192">
        <v>0</v>
      </c>
      <c r="O633" s="1191">
        <v>13772351</v>
      </c>
      <c r="P633" s="1192">
        <v>0</v>
      </c>
      <c r="Q633" s="1192">
        <v>0</v>
      </c>
      <c r="R633" s="987">
        <v>2021</v>
      </c>
      <c r="S633" s="1158" t="s">
        <v>1486</v>
      </c>
    </row>
    <row r="634" spans="1:19" ht="43.9" customHeight="1">
      <c r="A634" s="1319">
        <v>131</v>
      </c>
      <c r="B634" s="1127" t="s">
        <v>1933</v>
      </c>
      <c r="C634" s="1017">
        <v>1960</v>
      </c>
      <c r="D634" s="1017"/>
      <c r="E634" s="1009" t="s">
        <v>218</v>
      </c>
      <c r="F634" s="1017">
        <v>5</v>
      </c>
      <c r="G634" s="1017">
        <v>2</v>
      </c>
      <c r="H634" s="1128">
        <v>1762.6</v>
      </c>
      <c r="I634" s="1128">
        <v>1627.2</v>
      </c>
      <c r="J634" s="1128">
        <v>1212.5999999999999</v>
      </c>
      <c r="K634" s="1017">
        <v>49</v>
      </c>
      <c r="L634" s="1191">
        <v>3753928</v>
      </c>
      <c r="M634" s="1192">
        <v>0</v>
      </c>
      <c r="N634" s="1192">
        <v>0</v>
      </c>
      <c r="O634" s="1191">
        <v>3753928</v>
      </c>
      <c r="P634" s="1192">
        <v>0</v>
      </c>
      <c r="Q634" s="1192">
        <v>0</v>
      </c>
      <c r="R634" s="987">
        <v>2021</v>
      </c>
      <c r="S634" s="1158" t="s">
        <v>1486</v>
      </c>
    </row>
    <row r="635" spans="1:19" ht="40.15" customHeight="1">
      <c r="A635" s="1319">
        <v>132</v>
      </c>
      <c r="B635" s="1127" t="s">
        <v>1934</v>
      </c>
      <c r="C635" s="1017">
        <v>1961</v>
      </c>
      <c r="D635" s="1017"/>
      <c r="E635" s="1009" t="s">
        <v>218</v>
      </c>
      <c r="F635" s="1017">
        <v>4</v>
      </c>
      <c r="G635" s="1017">
        <v>3</v>
      </c>
      <c r="H635" s="1128">
        <v>2325.4</v>
      </c>
      <c r="I635" s="1128">
        <v>2168.1999999999998</v>
      </c>
      <c r="J635" s="1128">
        <v>1412.5</v>
      </c>
      <c r="K635" s="1017">
        <v>68</v>
      </c>
      <c r="L635" s="1191">
        <v>7862988</v>
      </c>
      <c r="M635" s="1192">
        <v>0</v>
      </c>
      <c r="N635" s="1192">
        <v>0</v>
      </c>
      <c r="O635" s="1191">
        <v>7862988</v>
      </c>
      <c r="P635" s="1192">
        <v>0</v>
      </c>
      <c r="Q635" s="1192">
        <v>0</v>
      </c>
      <c r="R635" s="987">
        <v>2021</v>
      </c>
      <c r="S635" s="1158" t="s">
        <v>1486</v>
      </c>
    </row>
    <row r="636" spans="1:19" ht="42" customHeight="1">
      <c r="A636" s="1319">
        <v>133</v>
      </c>
      <c r="B636" s="1127" t="s">
        <v>1935</v>
      </c>
      <c r="C636" s="1017">
        <v>1989</v>
      </c>
      <c r="D636" s="1017"/>
      <c r="E636" s="1009" t="s">
        <v>219</v>
      </c>
      <c r="F636" s="1017">
        <v>9</v>
      </c>
      <c r="G636" s="1017">
        <v>5</v>
      </c>
      <c r="H636" s="1128">
        <v>11828.8</v>
      </c>
      <c r="I636" s="1128">
        <v>10514.3</v>
      </c>
      <c r="J636" s="1128">
        <f>I636-740</f>
        <v>9774.2999999999993</v>
      </c>
      <c r="K636" s="1017">
        <v>515</v>
      </c>
      <c r="L636" s="1191">
        <v>13748049.279999999</v>
      </c>
      <c r="M636" s="1192">
        <v>0</v>
      </c>
      <c r="N636" s="1192">
        <v>0</v>
      </c>
      <c r="O636" s="1191">
        <f>L636</f>
        <v>13748049.279999999</v>
      </c>
      <c r="P636" s="1192">
        <v>0</v>
      </c>
      <c r="Q636" s="1192">
        <v>0</v>
      </c>
      <c r="R636" s="987">
        <v>2021</v>
      </c>
      <c r="S636" s="1158" t="s">
        <v>1486</v>
      </c>
    </row>
    <row r="637" spans="1:19" ht="43.9" customHeight="1">
      <c r="A637" s="1319">
        <v>134</v>
      </c>
      <c r="B637" s="1127" t="s">
        <v>1936</v>
      </c>
      <c r="C637" s="1017">
        <v>1982</v>
      </c>
      <c r="D637" s="1017"/>
      <c r="E637" s="1009" t="s">
        <v>219</v>
      </c>
      <c r="F637" s="1017">
        <v>9</v>
      </c>
      <c r="G637" s="1017">
        <v>2</v>
      </c>
      <c r="H637" s="1128">
        <v>4292.1000000000004</v>
      </c>
      <c r="I637" s="1128">
        <v>3860.4</v>
      </c>
      <c r="J637" s="1128">
        <v>3054.3</v>
      </c>
      <c r="K637" s="1017">
        <v>148</v>
      </c>
      <c r="L637" s="1191">
        <v>5499219.71</v>
      </c>
      <c r="M637" s="1192">
        <v>0</v>
      </c>
      <c r="N637" s="1192">
        <v>0</v>
      </c>
      <c r="O637" s="1191">
        <f t="shared" ref="O637:O646" si="154">L637</f>
        <v>5499219.71</v>
      </c>
      <c r="P637" s="1192">
        <v>0</v>
      </c>
      <c r="Q637" s="1192">
        <v>0</v>
      </c>
      <c r="R637" s="987">
        <v>2021</v>
      </c>
      <c r="S637" s="1158" t="s">
        <v>1486</v>
      </c>
    </row>
    <row r="638" spans="1:19" ht="43.9" customHeight="1">
      <c r="A638" s="1319">
        <v>135</v>
      </c>
      <c r="B638" s="1127" t="s">
        <v>1937</v>
      </c>
      <c r="C638" s="1017">
        <v>1986</v>
      </c>
      <c r="D638" s="1017"/>
      <c r="E638" s="1009" t="s">
        <v>219</v>
      </c>
      <c r="F638" s="1017">
        <v>9</v>
      </c>
      <c r="G638" s="1017">
        <v>5</v>
      </c>
      <c r="H638" s="1128">
        <v>9814.7999999999993</v>
      </c>
      <c r="I638" s="1128">
        <v>9759.2999999999993</v>
      </c>
      <c r="J638" s="1128">
        <f>I638-245.8</f>
        <v>9513.5</v>
      </c>
      <c r="K638" s="1017">
        <v>427</v>
      </c>
      <c r="L638" s="1191">
        <v>13748049.279999999</v>
      </c>
      <c r="M638" s="1192">
        <v>0</v>
      </c>
      <c r="N638" s="1192">
        <v>0</v>
      </c>
      <c r="O638" s="1191">
        <f t="shared" si="154"/>
        <v>13748049.279999999</v>
      </c>
      <c r="P638" s="1192">
        <v>0</v>
      </c>
      <c r="Q638" s="1192">
        <v>0</v>
      </c>
      <c r="R638" s="987">
        <v>2021</v>
      </c>
      <c r="S638" s="1158" t="s">
        <v>1486</v>
      </c>
    </row>
    <row r="639" spans="1:19" ht="37.9" customHeight="1">
      <c r="A639" s="1319">
        <v>136</v>
      </c>
      <c r="B639" s="1127" t="s">
        <v>1938</v>
      </c>
      <c r="C639" s="1017">
        <v>1984</v>
      </c>
      <c r="D639" s="1017"/>
      <c r="E639" s="1009" t="s">
        <v>219</v>
      </c>
      <c r="F639" s="1017">
        <v>9</v>
      </c>
      <c r="G639" s="1017">
        <v>1</v>
      </c>
      <c r="H639" s="1128">
        <v>1942.7</v>
      </c>
      <c r="I639" s="1128">
        <v>1931.6</v>
      </c>
      <c r="J639" s="1128">
        <v>1762</v>
      </c>
      <c r="K639" s="1017">
        <v>87</v>
      </c>
      <c r="L639" s="1191">
        <v>2749609.86</v>
      </c>
      <c r="M639" s="1192">
        <v>0</v>
      </c>
      <c r="N639" s="1192">
        <v>0</v>
      </c>
      <c r="O639" s="1191">
        <f t="shared" si="154"/>
        <v>2749609.86</v>
      </c>
      <c r="P639" s="1192">
        <v>0</v>
      </c>
      <c r="Q639" s="1192">
        <v>0</v>
      </c>
      <c r="R639" s="987">
        <v>2021</v>
      </c>
      <c r="S639" s="1158" t="s">
        <v>1486</v>
      </c>
    </row>
    <row r="640" spans="1:19" ht="40.15" customHeight="1">
      <c r="A640" s="1319">
        <v>137</v>
      </c>
      <c r="B640" s="1127" t="s">
        <v>2115</v>
      </c>
      <c r="C640" s="1017">
        <v>1978</v>
      </c>
      <c r="D640" s="1017"/>
      <c r="E640" s="1009" t="s">
        <v>219</v>
      </c>
      <c r="F640" s="1017">
        <v>9</v>
      </c>
      <c r="G640" s="1017">
        <v>3</v>
      </c>
      <c r="H640" s="1128">
        <v>5576.3</v>
      </c>
      <c r="I640" s="1128">
        <v>5559.8</v>
      </c>
      <c r="J640" s="1128">
        <v>4987.3</v>
      </c>
      <c r="K640" s="1017">
        <v>219</v>
      </c>
      <c r="L640" s="1191">
        <v>8248829.5700000003</v>
      </c>
      <c r="M640" s="1192">
        <v>0</v>
      </c>
      <c r="N640" s="1192">
        <v>0</v>
      </c>
      <c r="O640" s="1191">
        <f t="shared" si="154"/>
        <v>8248829.5700000003</v>
      </c>
      <c r="P640" s="1192">
        <v>0</v>
      </c>
      <c r="Q640" s="1192">
        <v>0</v>
      </c>
      <c r="R640" s="987">
        <v>2021</v>
      </c>
      <c r="S640" s="1158" t="s">
        <v>1486</v>
      </c>
    </row>
    <row r="641" spans="1:19" ht="39" customHeight="1">
      <c r="A641" s="1319">
        <v>138</v>
      </c>
      <c r="B641" s="1127" t="s">
        <v>2116</v>
      </c>
      <c r="C641" s="1017">
        <v>1979</v>
      </c>
      <c r="D641" s="1017"/>
      <c r="E641" s="1009" t="s">
        <v>219</v>
      </c>
      <c r="F641" s="1017">
        <v>9</v>
      </c>
      <c r="G641" s="1017">
        <v>1</v>
      </c>
      <c r="H641" s="1128">
        <v>2227.3000000000002</v>
      </c>
      <c r="I641" s="1128">
        <v>1983.8</v>
      </c>
      <c r="J641" s="1128">
        <v>1544.2</v>
      </c>
      <c r="K641" s="1017">
        <v>82</v>
      </c>
      <c r="L641" s="1191">
        <v>2749609.86</v>
      </c>
      <c r="M641" s="1192">
        <v>0</v>
      </c>
      <c r="N641" s="1192">
        <v>0</v>
      </c>
      <c r="O641" s="1191">
        <f t="shared" si="154"/>
        <v>2749609.86</v>
      </c>
      <c r="P641" s="1192">
        <v>0</v>
      </c>
      <c r="Q641" s="1192">
        <v>0</v>
      </c>
      <c r="R641" s="987">
        <v>2021</v>
      </c>
      <c r="S641" s="1158" t="s">
        <v>1486</v>
      </c>
    </row>
    <row r="642" spans="1:19" ht="42" customHeight="1">
      <c r="A642" s="1319">
        <v>139</v>
      </c>
      <c r="B642" s="1127" t="s">
        <v>1939</v>
      </c>
      <c r="C642" s="1017">
        <v>1989</v>
      </c>
      <c r="D642" s="1017"/>
      <c r="E642" s="1009" t="s">
        <v>219</v>
      </c>
      <c r="F642" s="1017">
        <v>9</v>
      </c>
      <c r="G642" s="1017">
        <v>4</v>
      </c>
      <c r="H642" s="1128">
        <v>9037.2999999999993</v>
      </c>
      <c r="I642" s="1128">
        <v>8132.8</v>
      </c>
      <c r="J642" s="1128">
        <v>7598.3</v>
      </c>
      <c r="K642" s="1017">
        <v>277</v>
      </c>
      <c r="L642" s="1191">
        <v>10998439.42</v>
      </c>
      <c r="M642" s="1192">
        <v>0</v>
      </c>
      <c r="N642" s="1192">
        <v>0</v>
      </c>
      <c r="O642" s="1191">
        <f t="shared" si="154"/>
        <v>10998439.42</v>
      </c>
      <c r="P642" s="1192">
        <v>0</v>
      </c>
      <c r="Q642" s="1192">
        <v>0</v>
      </c>
      <c r="R642" s="987">
        <v>2021</v>
      </c>
      <c r="S642" s="1158" t="s">
        <v>1486</v>
      </c>
    </row>
    <row r="643" spans="1:19" ht="34.9" customHeight="1">
      <c r="A643" s="1319">
        <v>140</v>
      </c>
      <c r="B643" s="1127" t="s">
        <v>1940</v>
      </c>
      <c r="C643" s="1017">
        <v>1987</v>
      </c>
      <c r="D643" s="1017"/>
      <c r="E643" s="1009" t="s">
        <v>219</v>
      </c>
      <c r="F643" s="1190" t="s">
        <v>1717</v>
      </c>
      <c r="G643" s="1017">
        <v>10</v>
      </c>
      <c r="H643" s="1128">
        <v>11346.8</v>
      </c>
      <c r="I643" s="1128">
        <v>10316.6</v>
      </c>
      <c r="J643" s="1128">
        <v>8569.4</v>
      </c>
      <c r="K643" s="1017">
        <v>322</v>
      </c>
      <c r="L643" s="1191">
        <v>5499219.71</v>
      </c>
      <c r="M643" s="1192">
        <v>0</v>
      </c>
      <c r="N643" s="1192">
        <v>0</v>
      </c>
      <c r="O643" s="1191">
        <f t="shared" si="154"/>
        <v>5499219.71</v>
      </c>
      <c r="P643" s="1192">
        <v>0</v>
      </c>
      <c r="Q643" s="1192">
        <v>0</v>
      </c>
      <c r="R643" s="987">
        <v>2021</v>
      </c>
      <c r="S643" s="1158" t="s">
        <v>1486</v>
      </c>
    </row>
    <row r="644" spans="1:19" ht="42.6" customHeight="1">
      <c r="A644" s="1319">
        <v>141</v>
      </c>
      <c r="B644" s="1127" t="s">
        <v>1941</v>
      </c>
      <c r="C644" s="1017">
        <v>1993</v>
      </c>
      <c r="D644" s="1017"/>
      <c r="E644" s="1009" t="s">
        <v>219</v>
      </c>
      <c r="F644" s="1017">
        <v>9</v>
      </c>
      <c r="G644" s="1017">
        <v>1</v>
      </c>
      <c r="H644" s="1128">
        <v>4580</v>
      </c>
      <c r="I644" s="1128">
        <v>3822.5</v>
      </c>
      <c r="J644" s="1128">
        <v>3798.9</v>
      </c>
      <c r="K644" s="1017">
        <v>123</v>
      </c>
      <c r="L644" s="1191">
        <v>2749609.86</v>
      </c>
      <c r="M644" s="1192">
        <v>0</v>
      </c>
      <c r="N644" s="1192">
        <v>0</v>
      </c>
      <c r="O644" s="1191">
        <f t="shared" si="154"/>
        <v>2749609.86</v>
      </c>
      <c r="P644" s="1192">
        <v>0</v>
      </c>
      <c r="Q644" s="1192">
        <v>0</v>
      </c>
      <c r="R644" s="987">
        <v>2021</v>
      </c>
      <c r="S644" s="1158" t="s">
        <v>1486</v>
      </c>
    </row>
    <row r="645" spans="1:19" ht="40.9" customHeight="1">
      <c r="A645" s="1319">
        <v>142</v>
      </c>
      <c r="B645" s="1127" t="s">
        <v>1942</v>
      </c>
      <c r="C645" s="1017">
        <v>1990</v>
      </c>
      <c r="D645" s="1017"/>
      <c r="E645" s="1009" t="s">
        <v>219</v>
      </c>
      <c r="F645" s="1017">
        <v>9</v>
      </c>
      <c r="G645" s="1017">
        <v>4</v>
      </c>
      <c r="H645" s="1128">
        <v>9004.5</v>
      </c>
      <c r="I645" s="1128">
        <v>8096.1</v>
      </c>
      <c r="J645" s="1128">
        <v>7544.2</v>
      </c>
      <c r="K645" s="1017">
        <v>311</v>
      </c>
      <c r="L645" s="1191">
        <v>10998439.42</v>
      </c>
      <c r="M645" s="1192">
        <v>0</v>
      </c>
      <c r="N645" s="1192">
        <v>0</v>
      </c>
      <c r="O645" s="1191">
        <f t="shared" si="154"/>
        <v>10998439.42</v>
      </c>
      <c r="P645" s="1192">
        <v>0</v>
      </c>
      <c r="Q645" s="1192">
        <v>0</v>
      </c>
      <c r="R645" s="987">
        <v>2021</v>
      </c>
      <c r="S645" s="1158" t="s">
        <v>1486</v>
      </c>
    </row>
    <row r="646" spans="1:19" ht="40.9" customHeight="1">
      <c r="A646" s="1319">
        <v>143</v>
      </c>
      <c r="B646" s="1127" t="s">
        <v>1943</v>
      </c>
      <c r="C646" s="1017">
        <v>1992</v>
      </c>
      <c r="D646" s="1017"/>
      <c r="E646" s="1009" t="s">
        <v>219</v>
      </c>
      <c r="F646" s="1017">
        <v>9</v>
      </c>
      <c r="G646" s="1017">
        <v>1</v>
      </c>
      <c r="H646" s="1128">
        <v>4783.5</v>
      </c>
      <c r="I646" s="1128">
        <v>3816</v>
      </c>
      <c r="J646" s="1128">
        <v>3745.3</v>
      </c>
      <c r="K646" s="1017">
        <v>109</v>
      </c>
      <c r="L646" s="1191">
        <v>2749609.86</v>
      </c>
      <c r="M646" s="1192">
        <v>0</v>
      </c>
      <c r="N646" s="1192">
        <v>0</v>
      </c>
      <c r="O646" s="1191">
        <f t="shared" si="154"/>
        <v>2749609.86</v>
      </c>
      <c r="P646" s="1192">
        <v>0</v>
      </c>
      <c r="Q646" s="1192">
        <v>0</v>
      </c>
      <c r="R646" s="987">
        <v>2021</v>
      </c>
      <c r="S646" s="1158" t="s">
        <v>1486</v>
      </c>
    </row>
    <row r="647" spans="1:19" ht="38.450000000000003" customHeight="1">
      <c r="A647" s="1319">
        <v>144</v>
      </c>
      <c r="B647" s="1318" t="s">
        <v>1944</v>
      </c>
      <c r="C647" s="1017">
        <v>1977</v>
      </c>
      <c r="D647" s="1017"/>
      <c r="E647" s="1009" t="s">
        <v>218</v>
      </c>
      <c r="F647" s="1017">
        <v>5</v>
      </c>
      <c r="G647" s="1017">
        <v>6</v>
      </c>
      <c r="H647" s="1128">
        <v>5003.7</v>
      </c>
      <c r="I647" s="1128">
        <v>4552.5</v>
      </c>
      <c r="J647" s="1128">
        <v>4461.8</v>
      </c>
      <c r="K647" s="1017">
        <v>191</v>
      </c>
      <c r="L647" s="1194">
        <v>21208937</v>
      </c>
      <c r="M647" s="1192">
        <v>0</v>
      </c>
      <c r="N647" s="1192">
        <v>0</v>
      </c>
      <c r="O647" s="1194">
        <v>21208937</v>
      </c>
      <c r="P647" s="1192">
        <v>0</v>
      </c>
      <c r="Q647" s="1192">
        <v>0</v>
      </c>
      <c r="R647" s="987">
        <v>2022</v>
      </c>
      <c r="S647" s="1158" t="s">
        <v>1486</v>
      </c>
    </row>
    <row r="648" spans="1:19" ht="42.6" customHeight="1">
      <c r="A648" s="1319">
        <v>145</v>
      </c>
      <c r="B648" s="1127" t="s">
        <v>1869</v>
      </c>
      <c r="C648" s="1017">
        <v>1958</v>
      </c>
      <c r="D648" s="1017"/>
      <c r="E648" s="1009" t="s">
        <v>218</v>
      </c>
      <c r="F648" s="1017">
        <v>4</v>
      </c>
      <c r="G648" s="1017">
        <v>5</v>
      </c>
      <c r="H648" s="1128">
        <v>6247.5</v>
      </c>
      <c r="I648" s="1128">
        <v>5713.3</v>
      </c>
      <c r="J648" s="1128">
        <v>3999.9</v>
      </c>
      <c r="K648" s="1017">
        <v>117</v>
      </c>
      <c r="L648" s="1191">
        <v>3696801.08</v>
      </c>
      <c r="M648" s="1192">
        <v>0</v>
      </c>
      <c r="N648" s="1192">
        <v>0</v>
      </c>
      <c r="O648" s="1191">
        <v>3696801.08</v>
      </c>
      <c r="P648" s="1192">
        <v>0</v>
      </c>
      <c r="Q648" s="1192">
        <v>0</v>
      </c>
      <c r="R648" s="987">
        <v>2022</v>
      </c>
      <c r="S648" s="1158" t="s">
        <v>1486</v>
      </c>
    </row>
    <row r="649" spans="1:19" ht="40.15" customHeight="1">
      <c r="A649" s="1319">
        <v>146</v>
      </c>
      <c r="B649" s="1127" t="s">
        <v>1945</v>
      </c>
      <c r="C649" s="1017">
        <v>1960</v>
      </c>
      <c r="D649" s="1017"/>
      <c r="E649" s="1009" t="s">
        <v>218</v>
      </c>
      <c r="F649" s="1017">
        <v>4</v>
      </c>
      <c r="G649" s="1017">
        <v>4</v>
      </c>
      <c r="H649" s="1128">
        <v>2758.7</v>
      </c>
      <c r="I649" s="1128">
        <v>2563.4</v>
      </c>
      <c r="J649" s="1128">
        <v>2405.4</v>
      </c>
      <c r="K649" s="1017">
        <v>105</v>
      </c>
      <c r="L649" s="1191">
        <v>5106091.2699999996</v>
      </c>
      <c r="M649" s="1192">
        <v>0</v>
      </c>
      <c r="N649" s="1192">
        <v>0</v>
      </c>
      <c r="O649" s="1191">
        <f>L649</f>
        <v>5106091.2699999996</v>
      </c>
      <c r="P649" s="1192">
        <v>0</v>
      </c>
      <c r="Q649" s="1192">
        <v>0</v>
      </c>
      <c r="R649" s="987">
        <v>2022</v>
      </c>
      <c r="S649" s="1158" t="s">
        <v>1486</v>
      </c>
    </row>
    <row r="650" spans="1:19" ht="42.6" customHeight="1">
      <c r="A650" s="1319">
        <v>147</v>
      </c>
      <c r="B650" s="1127" t="s">
        <v>1946</v>
      </c>
      <c r="C650" s="1017">
        <v>1973</v>
      </c>
      <c r="D650" s="1017"/>
      <c r="E650" s="1009" t="s">
        <v>219</v>
      </c>
      <c r="F650" s="1017">
        <v>5</v>
      </c>
      <c r="G650" s="1017">
        <v>4</v>
      </c>
      <c r="H650" s="1128">
        <v>3984.3</v>
      </c>
      <c r="I650" s="1128">
        <v>3386.1</v>
      </c>
      <c r="J650" s="1128">
        <v>3270.6</v>
      </c>
      <c r="K650" s="1017">
        <v>68</v>
      </c>
      <c r="L650" s="1191">
        <v>10683407</v>
      </c>
      <c r="M650" s="1192">
        <v>0</v>
      </c>
      <c r="N650" s="1192">
        <v>0</v>
      </c>
      <c r="O650" s="1191">
        <v>10683407</v>
      </c>
      <c r="P650" s="1192">
        <v>0</v>
      </c>
      <c r="Q650" s="1192">
        <v>0</v>
      </c>
      <c r="R650" s="987">
        <v>2022</v>
      </c>
      <c r="S650" s="1158" t="s">
        <v>1486</v>
      </c>
    </row>
    <row r="651" spans="1:19" ht="43.9" customHeight="1">
      <c r="A651" s="1319">
        <v>148</v>
      </c>
      <c r="B651" s="1127" t="s">
        <v>1947</v>
      </c>
      <c r="C651" s="1017">
        <v>1950</v>
      </c>
      <c r="D651" s="1017"/>
      <c r="E651" s="1009" t="s">
        <v>220</v>
      </c>
      <c r="F651" s="1017">
        <v>2</v>
      </c>
      <c r="G651" s="1017">
        <v>2</v>
      </c>
      <c r="H651" s="1128">
        <v>769.5</v>
      </c>
      <c r="I651" s="1128">
        <v>696.6</v>
      </c>
      <c r="J651" s="1128">
        <v>620.29999999999995</v>
      </c>
      <c r="K651" s="1017">
        <v>45</v>
      </c>
      <c r="L651" s="1191">
        <v>1719275.94</v>
      </c>
      <c r="M651" s="1192">
        <v>0</v>
      </c>
      <c r="N651" s="1192">
        <v>0</v>
      </c>
      <c r="O651" s="1191">
        <f t="shared" ref="O651:O663" si="155">L651</f>
        <v>1719275.94</v>
      </c>
      <c r="P651" s="1192">
        <v>0</v>
      </c>
      <c r="Q651" s="1192">
        <v>0</v>
      </c>
      <c r="R651" s="987">
        <v>2022</v>
      </c>
      <c r="S651" s="1158" t="s">
        <v>1486</v>
      </c>
    </row>
    <row r="652" spans="1:19" ht="42" customHeight="1">
      <c r="A652" s="1319">
        <v>149</v>
      </c>
      <c r="B652" s="1318" t="s">
        <v>1948</v>
      </c>
      <c r="C652" s="1017">
        <v>1963</v>
      </c>
      <c r="D652" s="1017"/>
      <c r="E652" s="1009" t="s">
        <v>218</v>
      </c>
      <c r="F652" s="1017">
        <v>4</v>
      </c>
      <c r="G652" s="1017">
        <v>4</v>
      </c>
      <c r="H652" s="1128">
        <v>1911.1</v>
      </c>
      <c r="I652" s="1128">
        <v>1500.1</v>
      </c>
      <c r="J652" s="1128">
        <v>2256.6</v>
      </c>
      <c r="K652" s="1017">
        <v>95</v>
      </c>
      <c r="L652" s="1194">
        <v>11926908</v>
      </c>
      <c r="M652" s="1192">
        <v>0</v>
      </c>
      <c r="N652" s="1192">
        <v>0</v>
      </c>
      <c r="O652" s="1194">
        <f t="shared" si="155"/>
        <v>11926908</v>
      </c>
      <c r="P652" s="1192">
        <v>0</v>
      </c>
      <c r="Q652" s="1192">
        <v>0</v>
      </c>
      <c r="R652" s="987">
        <v>2022</v>
      </c>
      <c r="S652" s="1158" t="s">
        <v>1486</v>
      </c>
    </row>
    <row r="653" spans="1:19" ht="42" customHeight="1">
      <c r="A653" s="1319">
        <v>150</v>
      </c>
      <c r="B653" s="1127" t="s">
        <v>1949</v>
      </c>
      <c r="C653" s="1017">
        <v>1965</v>
      </c>
      <c r="D653" s="1017"/>
      <c r="E653" s="1009" t="s">
        <v>218</v>
      </c>
      <c r="F653" s="1017">
        <v>5</v>
      </c>
      <c r="G653" s="1017">
        <v>2</v>
      </c>
      <c r="H653" s="1128">
        <v>1746.3</v>
      </c>
      <c r="I653" s="1128">
        <v>1592.2</v>
      </c>
      <c r="J653" s="1128">
        <v>504.4</v>
      </c>
      <c r="K653" s="1017">
        <v>84</v>
      </c>
      <c r="L653" s="1191">
        <v>6562045</v>
      </c>
      <c r="M653" s="1192">
        <v>0</v>
      </c>
      <c r="N653" s="1192">
        <v>0</v>
      </c>
      <c r="O653" s="1191">
        <f t="shared" si="155"/>
        <v>6562045</v>
      </c>
      <c r="P653" s="1192">
        <v>0</v>
      </c>
      <c r="Q653" s="1192">
        <v>0</v>
      </c>
      <c r="R653" s="987">
        <v>2022</v>
      </c>
      <c r="S653" s="1158" t="s">
        <v>1486</v>
      </c>
    </row>
    <row r="654" spans="1:19" ht="42.6" customHeight="1">
      <c r="A654" s="1319">
        <v>151</v>
      </c>
      <c r="B654" s="1127" t="s">
        <v>1950</v>
      </c>
      <c r="C654" s="1017">
        <v>1950</v>
      </c>
      <c r="D654" s="1017"/>
      <c r="E654" s="1009" t="s">
        <v>220</v>
      </c>
      <c r="F654" s="1017">
        <v>2</v>
      </c>
      <c r="G654" s="1017">
        <v>2</v>
      </c>
      <c r="H654" s="1128">
        <v>799.3</v>
      </c>
      <c r="I654" s="1128">
        <v>722.8</v>
      </c>
      <c r="J654" s="1128">
        <v>543.20000000000005</v>
      </c>
      <c r="K654" s="1017">
        <v>39</v>
      </c>
      <c r="L654" s="1191">
        <v>499149.64</v>
      </c>
      <c r="M654" s="1192">
        <v>0</v>
      </c>
      <c r="N654" s="1192">
        <v>0</v>
      </c>
      <c r="O654" s="1191">
        <f t="shared" si="155"/>
        <v>499149.64</v>
      </c>
      <c r="P654" s="1192">
        <v>0</v>
      </c>
      <c r="Q654" s="1192">
        <v>0</v>
      </c>
      <c r="R654" s="987">
        <v>2022</v>
      </c>
      <c r="S654" s="1158" t="s">
        <v>1486</v>
      </c>
    </row>
    <row r="655" spans="1:19" ht="40.9" customHeight="1">
      <c r="A655" s="1319">
        <v>152</v>
      </c>
      <c r="B655" s="1139" t="s">
        <v>1951</v>
      </c>
      <c r="C655" s="1017">
        <v>1953</v>
      </c>
      <c r="D655" s="1017"/>
      <c r="E655" s="1009" t="s">
        <v>218</v>
      </c>
      <c r="F655" s="1017">
        <v>2</v>
      </c>
      <c r="G655" s="1017">
        <v>2</v>
      </c>
      <c r="H655" s="1128">
        <v>697.1</v>
      </c>
      <c r="I655" s="1128">
        <v>627</v>
      </c>
      <c r="J655" s="1128">
        <v>607.70000000000005</v>
      </c>
      <c r="K655" s="1017">
        <v>42</v>
      </c>
      <c r="L655" s="1195">
        <v>6693380.4100000001</v>
      </c>
      <c r="M655" s="1192">
        <v>0</v>
      </c>
      <c r="N655" s="1192">
        <v>0</v>
      </c>
      <c r="O655" s="1195">
        <f t="shared" si="155"/>
        <v>6693380.4100000001</v>
      </c>
      <c r="P655" s="1192">
        <v>0</v>
      </c>
      <c r="Q655" s="1192">
        <v>0</v>
      </c>
      <c r="R655" s="987">
        <v>2022</v>
      </c>
      <c r="S655" s="1158" t="s">
        <v>1486</v>
      </c>
    </row>
    <row r="656" spans="1:19" ht="40.15" customHeight="1">
      <c r="A656" s="1319">
        <v>153</v>
      </c>
      <c r="B656" s="1139" t="s">
        <v>1952</v>
      </c>
      <c r="C656" s="1017">
        <v>1957</v>
      </c>
      <c r="D656" s="1017"/>
      <c r="E656" s="1009" t="s">
        <v>218</v>
      </c>
      <c r="F656" s="1017">
        <v>4</v>
      </c>
      <c r="G656" s="1017">
        <v>4</v>
      </c>
      <c r="H656" s="1128">
        <v>3324.7</v>
      </c>
      <c r="I656" s="1128">
        <v>2981.4</v>
      </c>
      <c r="J656" s="1128">
        <v>2981.4</v>
      </c>
      <c r="K656" s="1017">
        <v>132</v>
      </c>
      <c r="L656" s="1195">
        <v>9116310.0199999996</v>
      </c>
      <c r="M656" s="1192">
        <v>0</v>
      </c>
      <c r="N656" s="1192">
        <v>0</v>
      </c>
      <c r="O656" s="1195">
        <f t="shared" si="155"/>
        <v>9116310.0199999996</v>
      </c>
      <c r="P656" s="1192">
        <v>0</v>
      </c>
      <c r="Q656" s="1192">
        <v>0</v>
      </c>
      <c r="R656" s="987">
        <v>2022</v>
      </c>
      <c r="S656" s="1158" t="s">
        <v>1486</v>
      </c>
    </row>
    <row r="657" spans="1:19" ht="43.9" customHeight="1">
      <c r="A657" s="1319">
        <v>154</v>
      </c>
      <c r="B657" s="1139" t="s">
        <v>1953</v>
      </c>
      <c r="C657" s="1017">
        <v>1951</v>
      </c>
      <c r="D657" s="1017"/>
      <c r="E657" s="1009" t="s">
        <v>218</v>
      </c>
      <c r="F657" s="1017">
        <v>2</v>
      </c>
      <c r="G657" s="1017">
        <v>3</v>
      </c>
      <c r="H657" s="1128">
        <v>1530.1</v>
      </c>
      <c r="I657" s="1128">
        <v>1366.3</v>
      </c>
      <c r="J657" s="1128">
        <v>1366.3</v>
      </c>
      <c r="K657" s="1017">
        <v>52</v>
      </c>
      <c r="L657" s="1195">
        <v>21522546.23</v>
      </c>
      <c r="M657" s="1192">
        <v>0</v>
      </c>
      <c r="N657" s="1192">
        <v>0</v>
      </c>
      <c r="O657" s="1195">
        <f t="shared" si="155"/>
        <v>21522546.23</v>
      </c>
      <c r="P657" s="1192">
        <v>0</v>
      </c>
      <c r="Q657" s="1192">
        <v>0</v>
      </c>
      <c r="R657" s="987">
        <v>2022</v>
      </c>
      <c r="S657" s="1158" t="s">
        <v>1486</v>
      </c>
    </row>
    <row r="658" spans="1:19" ht="42.6" customHeight="1">
      <c r="A658" s="1319">
        <v>155</v>
      </c>
      <c r="B658" s="1139" t="s">
        <v>1954</v>
      </c>
      <c r="C658" s="1017">
        <v>1956</v>
      </c>
      <c r="D658" s="1017"/>
      <c r="E658" s="1009" t="s">
        <v>218</v>
      </c>
      <c r="F658" s="1017">
        <v>2</v>
      </c>
      <c r="G658" s="1017">
        <v>2</v>
      </c>
      <c r="H658" s="1128">
        <v>430.6</v>
      </c>
      <c r="I658" s="1128">
        <v>385.8</v>
      </c>
      <c r="J658" s="1128">
        <v>365.4</v>
      </c>
      <c r="K658" s="1017">
        <v>36</v>
      </c>
      <c r="L658" s="1195">
        <v>2470545.9299999997</v>
      </c>
      <c r="M658" s="1192">
        <v>0</v>
      </c>
      <c r="N658" s="1192">
        <v>0</v>
      </c>
      <c r="O658" s="1195">
        <f t="shared" si="155"/>
        <v>2470545.9299999997</v>
      </c>
      <c r="P658" s="1192">
        <v>0</v>
      </c>
      <c r="Q658" s="1192">
        <v>0</v>
      </c>
      <c r="R658" s="987">
        <v>2022</v>
      </c>
      <c r="S658" s="1158" t="s">
        <v>1486</v>
      </c>
    </row>
    <row r="659" spans="1:19" ht="42.6" customHeight="1">
      <c r="A659" s="1319">
        <v>156</v>
      </c>
      <c r="B659" s="1139" t="s">
        <v>1955</v>
      </c>
      <c r="C659" s="1017">
        <v>1972</v>
      </c>
      <c r="D659" s="1017"/>
      <c r="E659" s="1009" t="s">
        <v>219</v>
      </c>
      <c r="F659" s="1017">
        <v>5</v>
      </c>
      <c r="G659" s="1017">
        <v>4</v>
      </c>
      <c r="H659" s="1128">
        <v>3679.4</v>
      </c>
      <c r="I659" s="1128">
        <v>3386.1</v>
      </c>
      <c r="J659" s="1128">
        <v>3022.9</v>
      </c>
      <c r="K659" s="1017">
        <v>70</v>
      </c>
      <c r="L659" s="1195">
        <v>24976164.309999999</v>
      </c>
      <c r="M659" s="1192">
        <v>0</v>
      </c>
      <c r="N659" s="1192">
        <v>0</v>
      </c>
      <c r="O659" s="1195">
        <f t="shared" si="155"/>
        <v>24976164.309999999</v>
      </c>
      <c r="P659" s="1192">
        <v>0</v>
      </c>
      <c r="Q659" s="1192">
        <v>0</v>
      </c>
      <c r="R659" s="987">
        <v>2022</v>
      </c>
      <c r="S659" s="1158" t="s">
        <v>1486</v>
      </c>
    </row>
    <row r="660" spans="1:19" ht="39" customHeight="1">
      <c r="A660" s="1319">
        <v>157</v>
      </c>
      <c r="B660" s="1139" t="s">
        <v>1924</v>
      </c>
      <c r="C660" s="1017">
        <v>1959</v>
      </c>
      <c r="D660" s="1017"/>
      <c r="E660" s="1009" t="s">
        <v>218</v>
      </c>
      <c r="F660" s="1017">
        <v>2</v>
      </c>
      <c r="G660" s="1017">
        <v>2</v>
      </c>
      <c r="H660" s="1128">
        <v>675.3</v>
      </c>
      <c r="I660" s="1128">
        <v>628.20000000000005</v>
      </c>
      <c r="J660" s="1128">
        <v>588.29999999999995</v>
      </c>
      <c r="K660" s="1017">
        <v>32</v>
      </c>
      <c r="L660" s="1195">
        <v>1024462.1399999999</v>
      </c>
      <c r="M660" s="1192">
        <v>0</v>
      </c>
      <c r="N660" s="1192">
        <v>0</v>
      </c>
      <c r="O660" s="1195">
        <f t="shared" si="155"/>
        <v>1024462.1399999999</v>
      </c>
      <c r="P660" s="1192">
        <v>0</v>
      </c>
      <c r="Q660" s="1192">
        <v>0</v>
      </c>
      <c r="R660" s="987">
        <v>2022</v>
      </c>
      <c r="S660" s="1158" t="s">
        <v>1486</v>
      </c>
    </row>
    <row r="661" spans="1:19" ht="44.45" customHeight="1">
      <c r="A661" s="1319">
        <v>158</v>
      </c>
      <c r="B661" s="1139" t="s">
        <v>1956</v>
      </c>
      <c r="C661" s="1017">
        <v>1973</v>
      </c>
      <c r="D661" s="1017"/>
      <c r="E661" s="1009" t="s">
        <v>218</v>
      </c>
      <c r="F661" s="1017">
        <v>5</v>
      </c>
      <c r="G661" s="1017">
        <v>1</v>
      </c>
      <c r="H661" s="1128">
        <v>2502.5</v>
      </c>
      <c r="I661" s="1128">
        <v>1954.5</v>
      </c>
      <c r="J661" s="1128">
        <v>1830.2</v>
      </c>
      <c r="K661" s="1017">
        <v>143</v>
      </c>
      <c r="L661" s="1195">
        <v>15068524.040000001</v>
      </c>
      <c r="M661" s="1192">
        <v>0</v>
      </c>
      <c r="N661" s="1192">
        <v>0</v>
      </c>
      <c r="O661" s="1195">
        <f t="shared" si="155"/>
        <v>15068524.040000001</v>
      </c>
      <c r="P661" s="1192">
        <v>0</v>
      </c>
      <c r="Q661" s="1192">
        <v>0</v>
      </c>
      <c r="R661" s="987">
        <v>2022</v>
      </c>
      <c r="S661" s="1158" t="s">
        <v>1486</v>
      </c>
    </row>
    <row r="662" spans="1:19" ht="40.15" customHeight="1">
      <c r="A662" s="1319">
        <v>159</v>
      </c>
      <c r="B662" s="1139" t="s">
        <v>1957</v>
      </c>
      <c r="C662" s="1017">
        <v>1969</v>
      </c>
      <c r="D662" s="1017"/>
      <c r="E662" s="1009" t="s">
        <v>218</v>
      </c>
      <c r="F662" s="1017">
        <v>4</v>
      </c>
      <c r="G662" s="1017">
        <v>2</v>
      </c>
      <c r="H662" s="1128">
        <v>1372.1</v>
      </c>
      <c r="I662" s="1128">
        <v>1275</v>
      </c>
      <c r="J662" s="1128">
        <v>1275</v>
      </c>
      <c r="K662" s="1017">
        <v>82</v>
      </c>
      <c r="L662" s="1195">
        <v>7601577.0300000003</v>
      </c>
      <c r="M662" s="1192">
        <v>0</v>
      </c>
      <c r="N662" s="1192">
        <v>0</v>
      </c>
      <c r="O662" s="1195">
        <f t="shared" si="155"/>
        <v>7601577.0300000003</v>
      </c>
      <c r="P662" s="1192">
        <v>0</v>
      </c>
      <c r="Q662" s="1192">
        <v>0</v>
      </c>
      <c r="R662" s="987">
        <v>2022</v>
      </c>
      <c r="S662" s="1158" t="s">
        <v>1486</v>
      </c>
    </row>
    <row r="663" spans="1:19" ht="42" customHeight="1">
      <c r="A663" s="1319">
        <v>160</v>
      </c>
      <c r="B663" s="1139" t="s">
        <v>1928</v>
      </c>
      <c r="C663" s="1017">
        <v>1960</v>
      </c>
      <c r="D663" s="1017"/>
      <c r="E663" s="1009" t="s">
        <v>220</v>
      </c>
      <c r="F663" s="1017">
        <v>3</v>
      </c>
      <c r="G663" s="1017">
        <v>2</v>
      </c>
      <c r="H663" s="1128">
        <v>830.8</v>
      </c>
      <c r="I663" s="1128">
        <v>756.5</v>
      </c>
      <c r="J663" s="1128">
        <v>714.7</v>
      </c>
      <c r="K663" s="1017">
        <v>26</v>
      </c>
      <c r="L663" s="1195">
        <v>2716601.3400000003</v>
      </c>
      <c r="M663" s="1192">
        <v>0</v>
      </c>
      <c r="N663" s="1192">
        <v>0</v>
      </c>
      <c r="O663" s="1195">
        <f t="shared" si="155"/>
        <v>2716601.3400000003</v>
      </c>
      <c r="P663" s="1192">
        <v>0</v>
      </c>
      <c r="Q663" s="1192">
        <v>0</v>
      </c>
      <c r="R663" s="987">
        <v>2022</v>
      </c>
      <c r="S663" s="1158" t="s">
        <v>1486</v>
      </c>
    </row>
    <row r="664" spans="1:19" ht="43.5" customHeight="1">
      <c r="A664" s="1319">
        <v>161</v>
      </c>
      <c r="B664" s="1139" t="s">
        <v>1958</v>
      </c>
      <c r="C664" s="1017">
        <v>1936</v>
      </c>
      <c r="D664" s="1017"/>
      <c r="E664" s="1009" t="s">
        <v>218</v>
      </c>
      <c r="F664" s="1017">
        <v>4</v>
      </c>
      <c r="G664" s="1017">
        <v>4</v>
      </c>
      <c r="H664" s="1128">
        <v>5021.7</v>
      </c>
      <c r="I664" s="1128">
        <v>4620.5</v>
      </c>
      <c r="J664" s="1128">
        <v>1855.7</v>
      </c>
      <c r="K664" s="1017">
        <v>150</v>
      </c>
      <c r="L664" s="1195">
        <v>158366868.72</v>
      </c>
      <c r="M664" s="1192">
        <v>0</v>
      </c>
      <c r="N664" s="1192">
        <v>0</v>
      </c>
      <c r="O664" s="1195">
        <v>158366868.72</v>
      </c>
      <c r="P664" s="1192">
        <v>0</v>
      </c>
      <c r="Q664" s="1192">
        <v>0</v>
      </c>
      <c r="R664" s="987">
        <v>2022</v>
      </c>
      <c r="S664" s="1158" t="s">
        <v>1486</v>
      </c>
    </row>
    <row r="665" spans="1:19" ht="44.45" customHeight="1">
      <c r="A665" s="1319"/>
      <c r="B665" s="1315" t="s">
        <v>1093</v>
      </c>
      <c r="C665" s="1321"/>
      <c r="D665" s="1096"/>
      <c r="E665" s="1319"/>
      <c r="F665" s="1321"/>
      <c r="G665" s="1321"/>
      <c r="H665" s="993">
        <f>SUM(H666:H707)</f>
        <v>44602.110000000015</v>
      </c>
      <c r="I665" s="993">
        <f t="shared" ref="I665:Q665" si="156">SUM(I666:I707)</f>
        <v>42130.080000000009</v>
      </c>
      <c r="J665" s="993">
        <f t="shared" si="156"/>
        <v>31264.979999999996</v>
      </c>
      <c r="K665" s="993">
        <f t="shared" si="156"/>
        <v>1637</v>
      </c>
      <c r="L665" s="993">
        <f t="shared" si="156"/>
        <v>65026596.580000013</v>
      </c>
      <c r="M665" s="993">
        <f t="shared" si="156"/>
        <v>0</v>
      </c>
      <c r="N665" s="993">
        <f t="shared" si="156"/>
        <v>0</v>
      </c>
      <c r="O665" s="993">
        <f t="shared" si="156"/>
        <v>65026596.580000013</v>
      </c>
      <c r="P665" s="993">
        <f t="shared" si="156"/>
        <v>0</v>
      </c>
      <c r="Q665" s="993">
        <f t="shared" si="156"/>
        <v>0</v>
      </c>
      <c r="R665" s="991" t="s">
        <v>40</v>
      </c>
      <c r="S665" s="991" t="s">
        <v>40</v>
      </c>
    </row>
    <row r="666" spans="1:19" ht="42.6" customHeight="1">
      <c r="A666" s="1319">
        <v>162</v>
      </c>
      <c r="B666" s="1315" t="s">
        <v>1739</v>
      </c>
      <c r="C666" s="1009">
        <v>1956</v>
      </c>
      <c r="D666" s="1009"/>
      <c r="E666" s="1009" t="s">
        <v>218</v>
      </c>
      <c r="F666" s="1009">
        <v>2</v>
      </c>
      <c r="G666" s="1009">
        <v>2</v>
      </c>
      <c r="H666" s="1023">
        <v>649.6</v>
      </c>
      <c r="I666" s="1023">
        <v>578.5</v>
      </c>
      <c r="J666" s="1023">
        <v>524.79999999999995</v>
      </c>
      <c r="K666" s="1009">
        <v>23</v>
      </c>
      <c r="L666" s="1023">
        <v>224043.26</v>
      </c>
      <c r="M666" s="1130">
        <v>0</v>
      </c>
      <c r="N666" s="1130">
        <v>0</v>
      </c>
      <c r="O666" s="1023">
        <f>L666</f>
        <v>224043.26</v>
      </c>
      <c r="P666" s="1130">
        <v>0</v>
      </c>
      <c r="Q666" s="1130">
        <v>0</v>
      </c>
      <c r="R666" s="1009">
        <v>2018</v>
      </c>
      <c r="S666" s="1009">
        <v>2023</v>
      </c>
    </row>
    <row r="667" spans="1:19" ht="40.9" customHeight="1">
      <c r="A667" s="1319">
        <v>163</v>
      </c>
      <c r="B667" s="1315" t="s">
        <v>1740</v>
      </c>
      <c r="C667" s="1009">
        <v>1961</v>
      </c>
      <c r="D667" s="1009"/>
      <c r="E667" s="1009" t="s">
        <v>218</v>
      </c>
      <c r="F667" s="1009">
        <v>2</v>
      </c>
      <c r="G667" s="1009">
        <v>2</v>
      </c>
      <c r="H667" s="1023">
        <v>850.8</v>
      </c>
      <c r="I667" s="1023">
        <v>850.8</v>
      </c>
      <c r="J667" s="1023">
        <v>614.4</v>
      </c>
      <c r="K667" s="1009">
        <v>19</v>
      </c>
      <c r="L667" s="1023">
        <v>1749322.01</v>
      </c>
      <c r="M667" s="1130">
        <v>0</v>
      </c>
      <c r="N667" s="1130">
        <v>0</v>
      </c>
      <c r="O667" s="1023">
        <v>1749322.01</v>
      </c>
      <c r="P667" s="1130">
        <v>0</v>
      </c>
      <c r="Q667" s="1130">
        <v>0</v>
      </c>
      <c r="R667" s="1009">
        <v>2018</v>
      </c>
      <c r="S667" s="1009">
        <v>2023</v>
      </c>
    </row>
    <row r="668" spans="1:19" ht="39" customHeight="1">
      <c r="A668" s="1319">
        <v>164</v>
      </c>
      <c r="B668" s="1315" t="s">
        <v>1741</v>
      </c>
      <c r="C668" s="1009">
        <v>1961</v>
      </c>
      <c r="D668" s="1009"/>
      <c r="E668" s="1009" t="s">
        <v>218</v>
      </c>
      <c r="F668" s="1009">
        <v>3</v>
      </c>
      <c r="G668" s="1009">
        <v>3</v>
      </c>
      <c r="H668" s="1023">
        <v>2371.6999999999998</v>
      </c>
      <c r="I668" s="1023">
        <v>1184</v>
      </c>
      <c r="J668" s="1023">
        <v>219.3</v>
      </c>
      <c r="K668" s="1009">
        <v>50</v>
      </c>
      <c r="L668" s="1023">
        <v>5408489.0199999996</v>
      </c>
      <c r="M668" s="1130">
        <v>0</v>
      </c>
      <c r="N668" s="1130">
        <v>0</v>
      </c>
      <c r="O668" s="1023">
        <v>5408489.0199999996</v>
      </c>
      <c r="P668" s="1130">
        <v>0</v>
      </c>
      <c r="Q668" s="1130">
        <v>0</v>
      </c>
      <c r="R668" s="1009">
        <v>2018</v>
      </c>
      <c r="S668" s="1009">
        <v>2023</v>
      </c>
    </row>
    <row r="669" spans="1:19" ht="40.9" customHeight="1">
      <c r="A669" s="1319">
        <v>165</v>
      </c>
      <c r="B669" s="1315" t="s">
        <v>1742</v>
      </c>
      <c r="C669" s="1009">
        <v>1928</v>
      </c>
      <c r="D669" s="1009"/>
      <c r="E669" s="1009" t="s">
        <v>218</v>
      </c>
      <c r="F669" s="1009">
        <v>3</v>
      </c>
      <c r="G669" s="1009">
        <v>2</v>
      </c>
      <c r="H669" s="1023">
        <v>1491.5</v>
      </c>
      <c r="I669" s="1023">
        <v>1274.9000000000001</v>
      </c>
      <c r="J669" s="1023">
        <v>1274.9000000000001</v>
      </c>
      <c r="K669" s="1009">
        <v>11</v>
      </c>
      <c r="L669" s="1023">
        <v>1160547.82</v>
      </c>
      <c r="M669" s="1130">
        <v>0</v>
      </c>
      <c r="N669" s="1130">
        <v>0</v>
      </c>
      <c r="O669" s="1023">
        <v>1160547.82</v>
      </c>
      <c r="P669" s="1130">
        <v>0</v>
      </c>
      <c r="Q669" s="1130">
        <v>0</v>
      </c>
      <c r="R669" s="1009">
        <v>2018</v>
      </c>
      <c r="S669" s="1009">
        <v>2023</v>
      </c>
    </row>
    <row r="670" spans="1:19" ht="52.5" customHeight="1">
      <c r="A670" s="1319">
        <v>166</v>
      </c>
      <c r="B670" s="1315" t="s">
        <v>2162</v>
      </c>
      <c r="C670" s="1009">
        <v>1960</v>
      </c>
      <c r="D670" s="1009"/>
      <c r="E670" s="1009" t="s">
        <v>218</v>
      </c>
      <c r="F670" s="1009">
        <v>2</v>
      </c>
      <c r="G670" s="1009">
        <v>3</v>
      </c>
      <c r="H670" s="1023">
        <v>489.41</v>
      </c>
      <c r="I670" s="1023">
        <v>489.41</v>
      </c>
      <c r="J670" s="1023">
        <v>317</v>
      </c>
      <c r="K670" s="1009">
        <v>19</v>
      </c>
      <c r="L670" s="1023">
        <v>1865650.45</v>
      </c>
      <c r="M670" s="1130">
        <v>0</v>
      </c>
      <c r="N670" s="1130">
        <v>0</v>
      </c>
      <c r="O670" s="1023">
        <v>1865650.45</v>
      </c>
      <c r="P670" s="1130">
        <v>0</v>
      </c>
      <c r="Q670" s="1130">
        <v>0</v>
      </c>
      <c r="R670" s="1009">
        <v>2018</v>
      </c>
      <c r="S670" s="1009">
        <v>2023</v>
      </c>
    </row>
    <row r="671" spans="1:19" ht="58.5" customHeight="1">
      <c r="A671" s="1319">
        <v>167</v>
      </c>
      <c r="B671" s="1315" t="s">
        <v>1744</v>
      </c>
      <c r="C671" s="1009">
        <v>1955</v>
      </c>
      <c r="D671" s="1009"/>
      <c r="E671" s="1009" t="s">
        <v>218</v>
      </c>
      <c r="F671" s="1009">
        <v>2</v>
      </c>
      <c r="G671" s="1009">
        <v>2</v>
      </c>
      <c r="H671" s="1023">
        <v>386.6</v>
      </c>
      <c r="I671" s="1023">
        <v>364.6</v>
      </c>
      <c r="J671" s="1023">
        <v>324.3</v>
      </c>
      <c r="K671" s="1009">
        <v>19</v>
      </c>
      <c r="L671" s="1023">
        <v>1738322.13</v>
      </c>
      <c r="M671" s="1130">
        <v>0</v>
      </c>
      <c r="N671" s="1130">
        <v>0</v>
      </c>
      <c r="O671" s="1023">
        <v>1738322.13</v>
      </c>
      <c r="P671" s="1130">
        <v>0</v>
      </c>
      <c r="Q671" s="1130">
        <v>0</v>
      </c>
      <c r="R671" s="1009">
        <v>2018</v>
      </c>
      <c r="S671" s="1009">
        <v>2023</v>
      </c>
    </row>
    <row r="672" spans="1:19" ht="40.9" customHeight="1">
      <c r="A672" s="1319">
        <v>168</v>
      </c>
      <c r="B672" s="1148" t="s">
        <v>2117</v>
      </c>
      <c r="C672" s="1009">
        <v>1959</v>
      </c>
      <c r="D672" s="1009"/>
      <c r="E672" s="1009" t="s">
        <v>218</v>
      </c>
      <c r="F672" s="1009">
        <v>2</v>
      </c>
      <c r="G672" s="1009">
        <v>1</v>
      </c>
      <c r="H672" s="1023">
        <v>280</v>
      </c>
      <c r="I672" s="1023">
        <v>263.10000000000002</v>
      </c>
      <c r="J672" s="1023">
        <v>205.14</v>
      </c>
      <c r="K672" s="1009">
        <v>17</v>
      </c>
      <c r="L672" s="1023">
        <v>58288</v>
      </c>
      <c r="M672" s="1130">
        <v>0</v>
      </c>
      <c r="N672" s="1130">
        <v>0</v>
      </c>
      <c r="O672" s="1023">
        <v>58288</v>
      </c>
      <c r="P672" s="1130">
        <v>0</v>
      </c>
      <c r="Q672" s="1130">
        <v>0</v>
      </c>
      <c r="R672" s="1009">
        <v>2019</v>
      </c>
      <c r="S672" s="1009">
        <v>2023</v>
      </c>
    </row>
    <row r="673" spans="1:19" ht="59.25" customHeight="1">
      <c r="A673" s="1319">
        <v>169</v>
      </c>
      <c r="B673" s="1148" t="s">
        <v>1745</v>
      </c>
      <c r="C673" s="1009">
        <v>1949</v>
      </c>
      <c r="D673" s="1009"/>
      <c r="E673" s="1009" t="s">
        <v>222</v>
      </c>
      <c r="F673" s="1009">
        <v>2</v>
      </c>
      <c r="G673" s="1009">
        <v>2</v>
      </c>
      <c r="H673" s="1023">
        <v>408.3</v>
      </c>
      <c r="I673" s="1023">
        <v>408.3</v>
      </c>
      <c r="J673" s="1023">
        <v>408.3</v>
      </c>
      <c r="K673" s="1009">
        <v>20</v>
      </c>
      <c r="L673" s="1023">
        <v>64243</v>
      </c>
      <c r="M673" s="1130">
        <v>0</v>
      </c>
      <c r="N673" s="1130">
        <v>0</v>
      </c>
      <c r="O673" s="1023">
        <v>64243</v>
      </c>
      <c r="P673" s="1130">
        <v>0</v>
      </c>
      <c r="Q673" s="1130">
        <v>0</v>
      </c>
      <c r="R673" s="1009">
        <v>2019</v>
      </c>
      <c r="S673" s="1009">
        <v>2023</v>
      </c>
    </row>
    <row r="674" spans="1:19" ht="68.25" customHeight="1">
      <c r="A674" s="1319">
        <v>170</v>
      </c>
      <c r="B674" s="1315" t="s">
        <v>2118</v>
      </c>
      <c r="C674" s="1009">
        <v>1966</v>
      </c>
      <c r="D674" s="1009"/>
      <c r="E674" s="1009" t="s">
        <v>218</v>
      </c>
      <c r="F674" s="1009">
        <v>2</v>
      </c>
      <c r="G674" s="1009">
        <v>2</v>
      </c>
      <c r="H674" s="1196">
        <v>462.9</v>
      </c>
      <c r="I674" s="1196">
        <v>455.9</v>
      </c>
      <c r="J674" s="1196">
        <v>455.9</v>
      </c>
      <c r="K674" s="1009">
        <v>30</v>
      </c>
      <c r="L674" s="1023">
        <v>1803468.71</v>
      </c>
      <c r="M674" s="1130">
        <v>0</v>
      </c>
      <c r="N674" s="1130">
        <v>0</v>
      </c>
      <c r="O674" s="1023">
        <v>1803468.71</v>
      </c>
      <c r="P674" s="1130">
        <v>0</v>
      </c>
      <c r="Q674" s="1130">
        <v>0</v>
      </c>
      <c r="R674" s="1009">
        <v>2020</v>
      </c>
      <c r="S674" s="1009">
        <v>2023</v>
      </c>
    </row>
    <row r="675" spans="1:19" ht="53.25" customHeight="1">
      <c r="A675" s="1319">
        <v>171</v>
      </c>
      <c r="B675" s="1315" t="s">
        <v>1746</v>
      </c>
      <c r="C675" s="1009">
        <v>1962</v>
      </c>
      <c r="D675" s="1009"/>
      <c r="E675" s="1009" t="s">
        <v>218</v>
      </c>
      <c r="F675" s="1009">
        <v>2</v>
      </c>
      <c r="G675" s="1009">
        <v>2</v>
      </c>
      <c r="H675" s="1196">
        <v>499.3</v>
      </c>
      <c r="I675" s="1196">
        <v>468.5</v>
      </c>
      <c r="J675" s="1196">
        <v>468.5</v>
      </c>
      <c r="K675" s="1009">
        <v>16</v>
      </c>
      <c r="L675" s="1023">
        <v>1111073.1599999999</v>
      </c>
      <c r="M675" s="1130">
        <v>0</v>
      </c>
      <c r="N675" s="1130">
        <v>0</v>
      </c>
      <c r="O675" s="1023">
        <v>1111073.1599999999</v>
      </c>
      <c r="P675" s="1130">
        <v>0</v>
      </c>
      <c r="Q675" s="1130">
        <v>0</v>
      </c>
      <c r="R675" s="1009">
        <v>2020</v>
      </c>
      <c r="S675" s="1009">
        <v>2023</v>
      </c>
    </row>
    <row r="676" spans="1:19" ht="53.25" customHeight="1">
      <c r="A676" s="1319">
        <v>172</v>
      </c>
      <c r="B676" s="1197" t="s">
        <v>1747</v>
      </c>
      <c r="C676" s="1009">
        <v>1976</v>
      </c>
      <c r="D676" s="1009"/>
      <c r="E676" s="1009" t="s">
        <v>218</v>
      </c>
      <c r="F676" s="1009">
        <v>3</v>
      </c>
      <c r="G676" s="1009">
        <v>2</v>
      </c>
      <c r="H676" s="1196">
        <v>1155</v>
      </c>
      <c r="I676" s="1196">
        <v>1081.8</v>
      </c>
      <c r="J676" s="1196">
        <v>1081.8</v>
      </c>
      <c r="K676" s="1009">
        <v>27</v>
      </c>
      <c r="L676" s="1023">
        <v>1391271.96</v>
      </c>
      <c r="M676" s="1130">
        <v>0</v>
      </c>
      <c r="N676" s="1130">
        <v>0</v>
      </c>
      <c r="O676" s="1023">
        <v>1391271.96</v>
      </c>
      <c r="P676" s="1130">
        <v>0</v>
      </c>
      <c r="Q676" s="1130">
        <v>0</v>
      </c>
      <c r="R676" s="1009">
        <v>2020</v>
      </c>
      <c r="S676" s="1009">
        <v>2023</v>
      </c>
    </row>
    <row r="677" spans="1:19" ht="53.25" customHeight="1">
      <c r="A677" s="1319">
        <v>173</v>
      </c>
      <c r="B677" s="1315" t="s">
        <v>1748</v>
      </c>
      <c r="C677" s="1009">
        <v>1972</v>
      </c>
      <c r="D677" s="1009"/>
      <c r="E677" s="1009" t="s">
        <v>218</v>
      </c>
      <c r="F677" s="1009">
        <v>2</v>
      </c>
      <c r="G677" s="1009">
        <v>2</v>
      </c>
      <c r="H677" s="1196">
        <v>547</v>
      </c>
      <c r="I677" s="1196">
        <v>522</v>
      </c>
      <c r="J677" s="1196">
        <v>522</v>
      </c>
      <c r="K677" s="1009">
        <v>22</v>
      </c>
      <c r="L677" s="1023">
        <v>210350</v>
      </c>
      <c r="M677" s="1130">
        <v>0</v>
      </c>
      <c r="N677" s="1130">
        <v>0</v>
      </c>
      <c r="O677" s="1023">
        <v>210350</v>
      </c>
      <c r="P677" s="1130">
        <v>0</v>
      </c>
      <c r="Q677" s="1130">
        <v>0</v>
      </c>
      <c r="R677" s="1009">
        <v>2020</v>
      </c>
      <c r="S677" s="1009">
        <v>2023</v>
      </c>
    </row>
    <row r="678" spans="1:19" ht="53.25" customHeight="1">
      <c r="A678" s="1319">
        <v>174</v>
      </c>
      <c r="B678" s="1315" t="s">
        <v>1749</v>
      </c>
      <c r="C678" s="1009">
        <v>1993</v>
      </c>
      <c r="D678" s="1009"/>
      <c r="E678" s="1009" t="s">
        <v>218</v>
      </c>
      <c r="F678" s="1009">
        <v>2</v>
      </c>
      <c r="G678" s="1009">
        <v>3</v>
      </c>
      <c r="H678" s="1196">
        <v>849.5</v>
      </c>
      <c r="I678" s="1196">
        <v>849.5</v>
      </c>
      <c r="J678" s="1196">
        <v>849.5</v>
      </c>
      <c r="K678" s="1009">
        <v>41</v>
      </c>
      <c r="L678" s="1023">
        <v>1517751.23</v>
      </c>
      <c r="M678" s="1130">
        <v>0</v>
      </c>
      <c r="N678" s="1130">
        <v>0</v>
      </c>
      <c r="O678" s="1023">
        <v>1517751.23</v>
      </c>
      <c r="P678" s="1130">
        <v>0</v>
      </c>
      <c r="Q678" s="1130">
        <v>0</v>
      </c>
      <c r="R678" s="1009">
        <v>2020</v>
      </c>
      <c r="S678" s="1009">
        <v>2020</v>
      </c>
    </row>
    <row r="679" spans="1:19" ht="53.25" customHeight="1">
      <c r="A679" s="1319">
        <v>175</v>
      </c>
      <c r="B679" s="1315" t="s">
        <v>1750</v>
      </c>
      <c r="C679" s="1009">
        <v>1981</v>
      </c>
      <c r="D679" s="1009"/>
      <c r="E679" s="1009" t="s">
        <v>218</v>
      </c>
      <c r="F679" s="1009">
        <v>2</v>
      </c>
      <c r="G679" s="1009">
        <v>3</v>
      </c>
      <c r="H679" s="1188">
        <v>987.2</v>
      </c>
      <c r="I679" s="1188">
        <v>900.2</v>
      </c>
      <c r="J679" s="1188">
        <v>587.6</v>
      </c>
      <c r="K679" s="1009">
        <v>44</v>
      </c>
      <c r="L679" s="1023">
        <v>836011.03</v>
      </c>
      <c r="M679" s="1130">
        <v>0</v>
      </c>
      <c r="N679" s="1130">
        <v>0</v>
      </c>
      <c r="O679" s="1023">
        <v>836011.03</v>
      </c>
      <c r="P679" s="1130">
        <v>0</v>
      </c>
      <c r="Q679" s="1130">
        <v>0</v>
      </c>
      <c r="R679" s="1009">
        <v>2020</v>
      </c>
      <c r="S679" s="1009">
        <v>2023</v>
      </c>
    </row>
    <row r="680" spans="1:19" ht="53.25" customHeight="1">
      <c r="A680" s="1319">
        <v>176</v>
      </c>
      <c r="B680" s="1315" t="s">
        <v>1751</v>
      </c>
      <c r="C680" s="1009">
        <v>1931</v>
      </c>
      <c r="D680" s="1009"/>
      <c r="E680" s="1009" t="s">
        <v>221</v>
      </c>
      <c r="F680" s="1009">
        <v>1</v>
      </c>
      <c r="G680" s="1009">
        <v>3</v>
      </c>
      <c r="H680" s="1188">
        <v>265.10000000000002</v>
      </c>
      <c r="I680" s="1188">
        <v>265.10000000000002</v>
      </c>
      <c r="J680" s="1188">
        <v>226.7</v>
      </c>
      <c r="K680" s="1009">
        <v>13</v>
      </c>
      <c r="L680" s="1023">
        <v>1534866.98</v>
      </c>
      <c r="M680" s="1130">
        <v>0</v>
      </c>
      <c r="N680" s="1130">
        <v>0</v>
      </c>
      <c r="O680" s="1023">
        <v>1534866.98</v>
      </c>
      <c r="P680" s="1130">
        <v>0</v>
      </c>
      <c r="Q680" s="1130">
        <v>0</v>
      </c>
      <c r="R680" s="1009">
        <v>2020</v>
      </c>
      <c r="S680" s="1009">
        <v>2023</v>
      </c>
    </row>
    <row r="681" spans="1:19" ht="53.25" customHeight="1">
      <c r="A681" s="1319">
        <v>177</v>
      </c>
      <c r="B681" s="1315" t="s">
        <v>1752</v>
      </c>
      <c r="C681" s="1009">
        <v>1972</v>
      </c>
      <c r="D681" s="1009"/>
      <c r="E681" s="1009" t="s">
        <v>218</v>
      </c>
      <c r="F681" s="1009">
        <v>5</v>
      </c>
      <c r="G681" s="1009">
        <v>4</v>
      </c>
      <c r="H681" s="1188">
        <v>3463.7</v>
      </c>
      <c r="I681" s="1188">
        <v>3463.7</v>
      </c>
      <c r="J681" s="1188">
        <v>3242.1</v>
      </c>
      <c r="K681" s="1009">
        <v>108</v>
      </c>
      <c r="L681" s="1023">
        <v>4303305.09</v>
      </c>
      <c r="M681" s="1130">
        <v>0</v>
      </c>
      <c r="N681" s="1130">
        <v>0</v>
      </c>
      <c r="O681" s="1023">
        <v>4303305.09</v>
      </c>
      <c r="P681" s="1130">
        <v>0</v>
      </c>
      <c r="Q681" s="1130">
        <v>0</v>
      </c>
      <c r="R681" s="1009">
        <v>2020</v>
      </c>
      <c r="S681" s="1009">
        <v>2023</v>
      </c>
    </row>
    <row r="682" spans="1:19" ht="53.25" customHeight="1">
      <c r="A682" s="1319">
        <v>178</v>
      </c>
      <c r="B682" s="1315" t="s">
        <v>1123</v>
      </c>
      <c r="C682" s="1009">
        <v>1967</v>
      </c>
      <c r="D682" s="1009"/>
      <c r="E682" s="1009" t="s">
        <v>221</v>
      </c>
      <c r="F682" s="1009">
        <v>1</v>
      </c>
      <c r="G682" s="1009">
        <v>2</v>
      </c>
      <c r="H682" s="1188">
        <v>199.8</v>
      </c>
      <c r="I682" s="1188">
        <v>199.8</v>
      </c>
      <c r="J682" s="1188">
        <v>193</v>
      </c>
      <c r="K682" s="1009">
        <v>16</v>
      </c>
      <c r="L682" s="1023">
        <v>796854.09</v>
      </c>
      <c r="M682" s="1130">
        <v>0</v>
      </c>
      <c r="N682" s="1130">
        <v>0</v>
      </c>
      <c r="O682" s="1023">
        <v>796854.09</v>
      </c>
      <c r="P682" s="1130">
        <v>0</v>
      </c>
      <c r="Q682" s="1130">
        <v>0</v>
      </c>
      <c r="R682" s="1009">
        <v>2020</v>
      </c>
      <c r="S682" s="1009">
        <v>2023</v>
      </c>
    </row>
    <row r="683" spans="1:19" ht="53.25" customHeight="1">
      <c r="A683" s="1319">
        <v>179</v>
      </c>
      <c r="B683" s="1315" t="s">
        <v>1753</v>
      </c>
      <c r="C683" s="1009" t="s">
        <v>190</v>
      </c>
      <c r="D683" s="1009"/>
      <c r="E683" s="1009" t="s">
        <v>218</v>
      </c>
      <c r="F683" s="1009">
        <v>3</v>
      </c>
      <c r="G683" s="1009">
        <v>2</v>
      </c>
      <c r="H683" s="1188">
        <v>626.29999999999995</v>
      </c>
      <c r="I683" s="1188">
        <v>626.29999999999995</v>
      </c>
      <c r="J683" s="1188">
        <v>444.8</v>
      </c>
      <c r="K683" s="1009">
        <v>18</v>
      </c>
      <c r="L683" s="1023">
        <v>1591955.51</v>
      </c>
      <c r="M683" s="1130">
        <v>0</v>
      </c>
      <c r="N683" s="1130">
        <v>0</v>
      </c>
      <c r="O683" s="1023">
        <v>1591955.51</v>
      </c>
      <c r="P683" s="1130">
        <v>0</v>
      </c>
      <c r="Q683" s="1130">
        <v>0</v>
      </c>
      <c r="R683" s="1009">
        <v>2020</v>
      </c>
      <c r="S683" s="1009">
        <v>2023</v>
      </c>
    </row>
    <row r="684" spans="1:19" ht="53.25" customHeight="1">
      <c r="A684" s="1319">
        <v>180</v>
      </c>
      <c r="B684" s="1315" t="s">
        <v>1124</v>
      </c>
      <c r="C684" s="1009">
        <v>1958</v>
      </c>
      <c r="D684" s="1009"/>
      <c r="E684" s="1009" t="s">
        <v>221</v>
      </c>
      <c r="F684" s="1009">
        <v>2</v>
      </c>
      <c r="G684" s="1009">
        <v>3</v>
      </c>
      <c r="H684" s="1188">
        <v>445</v>
      </c>
      <c r="I684" s="1188">
        <v>445</v>
      </c>
      <c r="J684" s="1188">
        <v>393.8</v>
      </c>
      <c r="K684" s="1009">
        <v>23</v>
      </c>
      <c r="L684" s="1023">
        <v>60901</v>
      </c>
      <c r="M684" s="1130">
        <v>0</v>
      </c>
      <c r="N684" s="1130">
        <v>0</v>
      </c>
      <c r="O684" s="1023">
        <v>60901</v>
      </c>
      <c r="P684" s="1130">
        <v>0</v>
      </c>
      <c r="Q684" s="1130">
        <v>0</v>
      </c>
      <c r="R684" s="1009">
        <v>2020</v>
      </c>
      <c r="S684" s="1009">
        <v>2023</v>
      </c>
    </row>
    <row r="685" spans="1:19" ht="53.25" customHeight="1">
      <c r="A685" s="1319">
        <v>181</v>
      </c>
      <c r="B685" s="1315" t="s">
        <v>1754</v>
      </c>
      <c r="C685" s="1009" t="s">
        <v>190</v>
      </c>
      <c r="D685" s="1009"/>
      <c r="E685" s="1009" t="s">
        <v>218</v>
      </c>
      <c r="F685" s="1009">
        <v>3</v>
      </c>
      <c r="G685" s="1009">
        <v>3</v>
      </c>
      <c r="H685" s="1188">
        <v>2020.3</v>
      </c>
      <c r="I685" s="1188">
        <v>2020.3</v>
      </c>
      <c r="J685" s="1188">
        <v>1435</v>
      </c>
      <c r="K685" s="1009">
        <v>49</v>
      </c>
      <c r="L685" s="1023">
        <v>117262</v>
      </c>
      <c r="M685" s="1130">
        <v>0</v>
      </c>
      <c r="N685" s="1130">
        <v>0</v>
      </c>
      <c r="O685" s="1023">
        <v>117262</v>
      </c>
      <c r="P685" s="1130">
        <v>0</v>
      </c>
      <c r="Q685" s="1130">
        <v>0</v>
      </c>
      <c r="R685" s="1009">
        <v>2020</v>
      </c>
      <c r="S685" s="1009">
        <v>2023</v>
      </c>
    </row>
    <row r="686" spans="1:19" ht="42" customHeight="1">
      <c r="A686" s="1319">
        <v>182</v>
      </c>
      <c r="B686" s="1139" t="s">
        <v>1755</v>
      </c>
      <c r="C686" s="1009">
        <v>1979</v>
      </c>
      <c r="D686" s="1009"/>
      <c r="E686" s="1009" t="s">
        <v>218</v>
      </c>
      <c r="F686" s="1009">
        <v>2</v>
      </c>
      <c r="G686" s="1009">
        <v>1</v>
      </c>
      <c r="H686" s="1023">
        <v>396.9</v>
      </c>
      <c r="I686" s="1023">
        <v>396.9</v>
      </c>
      <c r="J686" s="1023">
        <v>396.9</v>
      </c>
      <c r="K686" s="1009">
        <v>27</v>
      </c>
      <c r="L686" s="1023">
        <v>1074098.0900000001</v>
      </c>
      <c r="M686" s="1130">
        <v>0</v>
      </c>
      <c r="N686" s="1130">
        <v>0</v>
      </c>
      <c r="O686" s="1023">
        <v>1074098.0900000001</v>
      </c>
      <c r="P686" s="1130">
        <v>0</v>
      </c>
      <c r="Q686" s="1130">
        <v>0</v>
      </c>
      <c r="R686" s="1009">
        <v>2021</v>
      </c>
      <c r="S686" s="1009">
        <v>2023</v>
      </c>
    </row>
    <row r="687" spans="1:19" ht="49.5" customHeight="1">
      <c r="A687" s="1319">
        <v>183</v>
      </c>
      <c r="B687" s="1198" t="s">
        <v>2119</v>
      </c>
      <c r="C687" s="1009">
        <v>1936</v>
      </c>
      <c r="D687" s="1009"/>
      <c r="E687" s="1009" t="s">
        <v>218</v>
      </c>
      <c r="F687" s="1009">
        <v>3</v>
      </c>
      <c r="G687" s="1009">
        <v>3</v>
      </c>
      <c r="H687" s="1023">
        <v>1183.2</v>
      </c>
      <c r="I687" s="1023">
        <v>1183.2</v>
      </c>
      <c r="J687" s="1023">
        <v>1183.2</v>
      </c>
      <c r="K687" s="1009">
        <v>63</v>
      </c>
      <c r="L687" s="1023">
        <v>100468</v>
      </c>
      <c r="M687" s="1130">
        <v>0</v>
      </c>
      <c r="N687" s="1130">
        <v>0</v>
      </c>
      <c r="O687" s="1023">
        <v>100468</v>
      </c>
      <c r="P687" s="1130">
        <v>0</v>
      </c>
      <c r="Q687" s="1130">
        <v>0</v>
      </c>
      <c r="R687" s="1009">
        <v>2021</v>
      </c>
      <c r="S687" s="1009">
        <v>2023</v>
      </c>
    </row>
    <row r="688" spans="1:19" ht="51" customHeight="1">
      <c r="A688" s="1319">
        <v>184</v>
      </c>
      <c r="B688" s="1198" t="s">
        <v>1130</v>
      </c>
      <c r="C688" s="1009">
        <v>1926</v>
      </c>
      <c r="D688" s="1009"/>
      <c r="E688" s="1009" t="s">
        <v>221</v>
      </c>
      <c r="F688" s="1009">
        <v>2</v>
      </c>
      <c r="G688" s="1009">
        <v>2</v>
      </c>
      <c r="H688" s="1023">
        <v>535</v>
      </c>
      <c r="I688" s="1023">
        <v>535</v>
      </c>
      <c r="J688" s="1023">
        <v>535</v>
      </c>
      <c r="K688" s="1009">
        <v>18</v>
      </c>
      <c r="L688" s="1023">
        <v>767433.49</v>
      </c>
      <c r="M688" s="1130">
        <v>0</v>
      </c>
      <c r="N688" s="1130">
        <v>0</v>
      </c>
      <c r="O688" s="1023">
        <v>767433.49</v>
      </c>
      <c r="P688" s="1130">
        <v>0</v>
      </c>
      <c r="Q688" s="1130">
        <v>0</v>
      </c>
      <c r="R688" s="1009">
        <v>2021</v>
      </c>
      <c r="S688" s="1009">
        <v>2023</v>
      </c>
    </row>
    <row r="689" spans="1:19" ht="47.25" customHeight="1">
      <c r="A689" s="1319">
        <v>185</v>
      </c>
      <c r="B689" s="1139" t="s">
        <v>1267</v>
      </c>
      <c r="C689" s="1009">
        <v>1951</v>
      </c>
      <c r="D689" s="1009"/>
      <c r="E689" s="1009" t="s">
        <v>221</v>
      </c>
      <c r="F689" s="1009">
        <v>2</v>
      </c>
      <c r="G689" s="1009">
        <v>2</v>
      </c>
      <c r="H689" s="1023">
        <v>307.60000000000002</v>
      </c>
      <c r="I689" s="1023">
        <v>307.60000000000002</v>
      </c>
      <c r="J689" s="1023">
        <v>222.88</v>
      </c>
      <c r="K689" s="1009">
        <v>15</v>
      </c>
      <c r="L689" s="1023">
        <v>804526.11</v>
      </c>
      <c r="M689" s="1130">
        <v>0</v>
      </c>
      <c r="N689" s="1130">
        <v>0</v>
      </c>
      <c r="O689" s="1023">
        <v>804526.11</v>
      </c>
      <c r="P689" s="1130">
        <v>0</v>
      </c>
      <c r="Q689" s="1130">
        <v>0</v>
      </c>
      <c r="R689" s="1009">
        <v>2021</v>
      </c>
      <c r="S689" s="1009">
        <v>2023</v>
      </c>
    </row>
    <row r="690" spans="1:19" ht="45.75" customHeight="1">
      <c r="A690" s="1319">
        <v>186</v>
      </c>
      <c r="B690" s="1139" t="s">
        <v>1266</v>
      </c>
      <c r="C690" s="1009">
        <v>1937</v>
      </c>
      <c r="D690" s="1009"/>
      <c r="E690" s="1009" t="s">
        <v>221</v>
      </c>
      <c r="F690" s="1009">
        <v>2</v>
      </c>
      <c r="G690" s="1009">
        <v>1</v>
      </c>
      <c r="H690" s="1023">
        <v>299.39999999999998</v>
      </c>
      <c r="I690" s="1023">
        <v>299.39999999999998</v>
      </c>
      <c r="J690" s="1023">
        <v>236.37</v>
      </c>
      <c r="K690" s="1009">
        <v>18</v>
      </c>
      <c r="L690" s="1023">
        <v>536947.63</v>
      </c>
      <c r="M690" s="1130">
        <v>0</v>
      </c>
      <c r="N690" s="1130">
        <v>0</v>
      </c>
      <c r="O690" s="1023">
        <v>536947.63</v>
      </c>
      <c r="P690" s="1130">
        <v>0</v>
      </c>
      <c r="Q690" s="1130">
        <v>0</v>
      </c>
      <c r="R690" s="1009">
        <v>2021</v>
      </c>
      <c r="S690" s="1009">
        <v>2023</v>
      </c>
    </row>
    <row r="691" spans="1:19" ht="48" customHeight="1">
      <c r="A691" s="1319">
        <v>187</v>
      </c>
      <c r="B691" s="1315" t="s">
        <v>1757</v>
      </c>
      <c r="C691" s="1009">
        <v>1970</v>
      </c>
      <c r="D691" s="1009"/>
      <c r="E691" s="1009" t="s">
        <v>218</v>
      </c>
      <c r="F691" s="1009">
        <v>2</v>
      </c>
      <c r="G691" s="1009">
        <v>1</v>
      </c>
      <c r="H691" s="1023">
        <v>389.4</v>
      </c>
      <c r="I691" s="1023">
        <v>355</v>
      </c>
      <c r="J691" s="1023">
        <v>312.3</v>
      </c>
      <c r="K691" s="1009">
        <v>25</v>
      </c>
      <c r="L691" s="1023">
        <v>245155.12</v>
      </c>
      <c r="M691" s="1130">
        <v>0</v>
      </c>
      <c r="N691" s="1130">
        <v>0</v>
      </c>
      <c r="O691" s="1023">
        <v>245155.12</v>
      </c>
      <c r="P691" s="1130">
        <v>0</v>
      </c>
      <c r="Q691" s="1130">
        <v>0</v>
      </c>
      <c r="R691" s="1009">
        <v>2021</v>
      </c>
      <c r="S691" s="1009">
        <v>2023</v>
      </c>
    </row>
    <row r="692" spans="1:19" ht="51" customHeight="1">
      <c r="A692" s="1319">
        <v>188</v>
      </c>
      <c r="B692" s="1315" t="s">
        <v>1758</v>
      </c>
      <c r="C692" s="1009">
        <v>1970</v>
      </c>
      <c r="D692" s="1009"/>
      <c r="E692" s="1009" t="s">
        <v>218</v>
      </c>
      <c r="F692" s="1009">
        <v>2</v>
      </c>
      <c r="G692" s="1009">
        <v>2</v>
      </c>
      <c r="H692" s="1023">
        <v>554.9</v>
      </c>
      <c r="I692" s="1023">
        <v>506.5</v>
      </c>
      <c r="J692" s="1023">
        <v>506.5</v>
      </c>
      <c r="K692" s="1009">
        <v>24</v>
      </c>
      <c r="L692" s="1023">
        <v>349777.66</v>
      </c>
      <c r="M692" s="1130">
        <v>0</v>
      </c>
      <c r="N692" s="1130">
        <v>0</v>
      </c>
      <c r="O692" s="1023">
        <v>349777.66</v>
      </c>
      <c r="P692" s="1130">
        <v>0</v>
      </c>
      <c r="Q692" s="1130">
        <v>0</v>
      </c>
      <c r="R692" s="1009">
        <v>2021</v>
      </c>
      <c r="S692" s="1009">
        <v>2023</v>
      </c>
    </row>
    <row r="693" spans="1:19" ht="42" customHeight="1">
      <c r="A693" s="1319">
        <v>189</v>
      </c>
      <c r="B693" s="1139" t="s">
        <v>1268</v>
      </c>
      <c r="C693" s="1009">
        <v>1964</v>
      </c>
      <c r="D693" s="1009"/>
      <c r="E693" s="1009" t="s">
        <v>218</v>
      </c>
      <c r="F693" s="1009">
        <v>5</v>
      </c>
      <c r="G693" s="1009">
        <v>4</v>
      </c>
      <c r="H693" s="1023">
        <v>3839.6</v>
      </c>
      <c r="I693" s="1023">
        <v>3839.6</v>
      </c>
      <c r="J693" s="1023">
        <v>2615.9</v>
      </c>
      <c r="K693" s="1009">
        <v>118</v>
      </c>
      <c r="L693" s="1023">
        <v>3225221.36</v>
      </c>
      <c r="M693" s="1130">
        <v>0</v>
      </c>
      <c r="N693" s="1130">
        <v>0</v>
      </c>
      <c r="O693" s="1023">
        <v>3225221.36</v>
      </c>
      <c r="P693" s="1130">
        <v>0</v>
      </c>
      <c r="Q693" s="1130">
        <v>0</v>
      </c>
      <c r="R693" s="1009">
        <v>2021</v>
      </c>
      <c r="S693" s="1009">
        <v>2023</v>
      </c>
    </row>
    <row r="694" spans="1:19" ht="48" customHeight="1">
      <c r="A694" s="1319">
        <v>190</v>
      </c>
      <c r="B694" s="1139" t="s">
        <v>1759</v>
      </c>
      <c r="C694" s="1009">
        <v>1967</v>
      </c>
      <c r="D694" s="1009"/>
      <c r="E694" s="1009" t="s">
        <v>218</v>
      </c>
      <c r="F694" s="1009">
        <v>2</v>
      </c>
      <c r="G694" s="1009">
        <v>2</v>
      </c>
      <c r="H694" s="1023">
        <v>505.8</v>
      </c>
      <c r="I694" s="1023">
        <v>475</v>
      </c>
      <c r="J694" s="1023">
        <v>432.2</v>
      </c>
      <c r="K694" s="1009">
        <v>26</v>
      </c>
      <c r="L694" s="1023">
        <v>1123863.72</v>
      </c>
      <c r="M694" s="1130">
        <v>0</v>
      </c>
      <c r="N694" s="1130">
        <v>0</v>
      </c>
      <c r="O694" s="1023">
        <v>1123863.72</v>
      </c>
      <c r="P694" s="1130">
        <v>0</v>
      </c>
      <c r="Q694" s="1130">
        <v>0</v>
      </c>
      <c r="R694" s="1009">
        <v>2021</v>
      </c>
      <c r="S694" s="1009">
        <v>2023</v>
      </c>
    </row>
    <row r="695" spans="1:19" ht="40.9" customHeight="1">
      <c r="A695" s="1319">
        <v>191</v>
      </c>
      <c r="B695" s="1139" t="s">
        <v>1269</v>
      </c>
      <c r="C695" s="1009">
        <v>1965</v>
      </c>
      <c r="D695" s="1009"/>
      <c r="E695" s="1009" t="s">
        <v>218</v>
      </c>
      <c r="F695" s="1009">
        <v>5</v>
      </c>
      <c r="G695" s="1009">
        <v>4</v>
      </c>
      <c r="H695" s="1023">
        <v>2207</v>
      </c>
      <c r="I695" s="1023">
        <v>2207</v>
      </c>
      <c r="J695" s="1023">
        <v>2207</v>
      </c>
      <c r="K695" s="1009">
        <v>109</v>
      </c>
      <c r="L695" s="1023">
        <v>3391089.88</v>
      </c>
      <c r="M695" s="1130">
        <v>0</v>
      </c>
      <c r="N695" s="1130">
        <v>0</v>
      </c>
      <c r="O695" s="1023">
        <v>3391089.88</v>
      </c>
      <c r="P695" s="1130">
        <v>0</v>
      </c>
      <c r="Q695" s="1130">
        <v>0</v>
      </c>
      <c r="R695" s="1009">
        <v>2021</v>
      </c>
      <c r="S695" s="1009">
        <v>2023</v>
      </c>
    </row>
    <row r="696" spans="1:19" ht="40.15" customHeight="1">
      <c r="A696" s="1319">
        <v>192</v>
      </c>
      <c r="B696" s="1139" t="s">
        <v>1760</v>
      </c>
      <c r="C696" s="1009">
        <v>1990</v>
      </c>
      <c r="D696" s="1009"/>
      <c r="E696" s="1009" t="s">
        <v>218</v>
      </c>
      <c r="F696" s="1009">
        <v>2</v>
      </c>
      <c r="G696" s="1009">
        <v>2</v>
      </c>
      <c r="H696" s="1023">
        <v>966.6</v>
      </c>
      <c r="I696" s="1023">
        <v>866.8</v>
      </c>
      <c r="J696" s="1023">
        <v>866.8</v>
      </c>
      <c r="K696" s="1009">
        <v>34</v>
      </c>
      <c r="L696" s="1023">
        <v>4001070.65</v>
      </c>
      <c r="M696" s="1130">
        <v>0</v>
      </c>
      <c r="N696" s="1130">
        <v>0</v>
      </c>
      <c r="O696" s="1023">
        <v>4001070.65</v>
      </c>
      <c r="P696" s="1130">
        <v>0</v>
      </c>
      <c r="Q696" s="1130">
        <v>0</v>
      </c>
      <c r="R696" s="1009">
        <v>2021</v>
      </c>
      <c r="S696" s="1009">
        <v>2023</v>
      </c>
    </row>
    <row r="697" spans="1:19" ht="40.15" customHeight="1">
      <c r="A697" s="1319">
        <v>193</v>
      </c>
      <c r="B697" s="1199" t="s">
        <v>1146</v>
      </c>
      <c r="C697" s="1009">
        <v>1961</v>
      </c>
      <c r="D697" s="1009"/>
      <c r="E697" s="1009" t="s">
        <v>218</v>
      </c>
      <c r="F697" s="1009">
        <v>3</v>
      </c>
      <c r="G697" s="1009">
        <v>3</v>
      </c>
      <c r="H697" s="1023">
        <v>1481.3</v>
      </c>
      <c r="I697" s="1023">
        <v>1481.3</v>
      </c>
      <c r="J697" s="1023">
        <v>1069.6400000000001</v>
      </c>
      <c r="K697" s="1009">
        <v>56</v>
      </c>
      <c r="L697" s="1023">
        <v>3498474.04</v>
      </c>
      <c r="M697" s="1130">
        <v>0</v>
      </c>
      <c r="N697" s="1130">
        <v>0</v>
      </c>
      <c r="O697" s="1023">
        <v>3498474.04</v>
      </c>
      <c r="P697" s="1130">
        <v>0</v>
      </c>
      <c r="Q697" s="1130">
        <v>0</v>
      </c>
      <c r="R697" s="1009">
        <v>2022</v>
      </c>
      <c r="S697" s="1009">
        <v>2023</v>
      </c>
    </row>
    <row r="698" spans="1:19" ht="40.15" customHeight="1">
      <c r="A698" s="1319">
        <v>194</v>
      </c>
      <c r="B698" s="1199" t="s">
        <v>1276</v>
      </c>
      <c r="C698" s="1009">
        <v>1966</v>
      </c>
      <c r="D698" s="1009"/>
      <c r="E698" s="1009" t="s">
        <v>218</v>
      </c>
      <c r="F698" s="1009">
        <v>5</v>
      </c>
      <c r="G698" s="1009">
        <v>4</v>
      </c>
      <c r="H698" s="1023">
        <v>3238.8</v>
      </c>
      <c r="I698" s="1023">
        <v>3238.8</v>
      </c>
      <c r="J698" s="1023">
        <v>2190.0700000000002</v>
      </c>
      <c r="K698" s="1009">
        <v>135</v>
      </c>
      <c r="L698" s="1023">
        <v>3480854.04</v>
      </c>
      <c r="M698" s="1130">
        <v>0</v>
      </c>
      <c r="N698" s="1130">
        <v>0</v>
      </c>
      <c r="O698" s="1023">
        <v>3480854.04</v>
      </c>
      <c r="P698" s="1130">
        <v>0</v>
      </c>
      <c r="Q698" s="1130">
        <v>0</v>
      </c>
      <c r="R698" s="1009">
        <v>2022</v>
      </c>
      <c r="S698" s="1009">
        <v>2023</v>
      </c>
    </row>
    <row r="699" spans="1:19" ht="40.15" customHeight="1">
      <c r="A699" s="1319">
        <v>195</v>
      </c>
      <c r="B699" s="1199" t="s">
        <v>1761</v>
      </c>
      <c r="C699" s="1009">
        <v>1931</v>
      </c>
      <c r="D699" s="1009"/>
      <c r="E699" s="1009" t="s">
        <v>218</v>
      </c>
      <c r="F699" s="1009">
        <v>4</v>
      </c>
      <c r="G699" s="1009">
        <v>6</v>
      </c>
      <c r="H699" s="1023">
        <v>3183.9</v>
      </c>
      <c r="I699" s="1023">
        <v>2757.87</v>
      </c>
      <c r="J699" s="1023">
        <v>453.3</v>
      </c>
      <c r="K699" s="1009">
        <v>110</v>
      </c>
      <c r="L699" s="1023">
        <v>519420.24</v>
      </c>
      <c r="M699" s="1130">
        <v>0</v>
      </c>
      <c r="N699" s="1130">
        <v>0</v>
      </c>
      <c r="O699" s="1023">
        <v>519420.24</v>
      </c>
      <c r="P699" s="1130">
        <v>0</v>
      </c>
      <c r="Q699" s="1130">
        <v>0</v>
      </c>
      <c r="R699" s="1009">
        <v>2022</v>
      </c>
      <c r="S699" s="1009">
        <v>2023</v>
      </c>
    </row>
    <row r="700" spans="1:19" ht="40.15" customHeight="1">
      <c r="A700" s="1319">
        <v>196</v>
      </c>
      <c r="B700" s="1199" t="s">
        <v>2164</v>
      </c>
      <c r="C700" s="1009">
        <v>1961</v>
      </c>
      <c r="D700" s="1009"/>
      <c r="E700" s="1009" t="s">
        <v>218</v>
      </c>
      <c r="F700" s="1009">
        <v>2</v>
      </c>
      <c r="G700" s="1009">
        <v>2</v>
      </c>
      <c r="H700" s="1023">
        <v>852</v>
      </c>
      <c r="I700" s="1023">
        <v>852</v>
      </c>
      <c r="J700" s="1023">
        <v>653.6</v>
      </c>
      <c r="K700" s="1009">
        <v>22</v>
      </c>
      <c r="L700" s="1023">
        <v>958754.61</v>
      </c>
      <c r="M700" s="1130">
        <v>0</v>
      </c>
      <c r="N700" s="1130">
        <v>0</v>
      </c>
      <c r="O700" s="1023">
        <v>958754.61</v>
      </c>
      <c r="P700" s="1130">
        <v>0</v>
      </c>
      <c r="Q700" s="1130">
        <v>0</v>
      </c>
      <c r="R700" s="1009">
        <v>2022</v>
      </c>
      <c r="S700" s="1009">
        <v>2023</v>
      </c>
    </row>
    <row r="701" spans="1:19" ht="40.15" customHeight="1">
      <c r="A701" s="1319">
        <v>197</v>
      </c>
      <c r="B701" s="1199" t="s">
        <v>1278</v>
      </c>
      <c r="C701" s="1009">
        <v>1963</v>
      </c>
      <c r="D701" s="1009"/>
      <c r="E701" s="1009" t="s">
        <v>218</v>
      </c>
      <c r="F701" s="1009">
        <v>4</v>
      </c>
      <c r="G701" s="1009">
        <v>4</v>
      </c>
      <c r="H701" s="1023">
        <v>2548</v>
      </c>
      <c r="I701" s="1023">
        <v>2548</v>
      </c>
      <c r="J701" s="1023">
        <v>405.7</v>
      </c>
      <c r="K701" s="1009">
        <v>98</v>
      </c>
      <c r="L701" s="1023">
        <v>3339052.7</v>
      </c>
      <c r="M701" s="1130">
        <v>0</v>
      </c>
      <c r="N701" s="1130">
        <v>0</v>
      </c>
      <c r="O701" s="1023">
        <v>3339052.7</v>
      </c>
      <c r="P701" s="1130">
        <v>0</v>
      </c>
      <c r="Q701" s="1130">
        <v>0</v>
      </c>
      <c r="R701" s="1009">
        <v>2022</v>
      </c>
      <c r="S701" s="1009">
        <v>2023</v>
      </c>
    </row>
    <row r="702" spans="1:19" ht="48.75" customHeight="1">
      <c r="A702" s="1319">
        <v>198</v>
      </c>
      <c r="B702" s="1199" t="s">
        <v>1147</v>
      </c>
      <c r="C702" s="1009">
        <v>1925</v>
      </c>
      <c r="D702" s="1009"/>
      <c r="E702" s="1009" t="s">
        <v>221</v>
      </c>
      <c r="F702" s="1009">
        <v>2</v>
      </c>
      <c r="G702" s="1009">
        <v>2</v>
      </c>
      <c r="H702" s="1023">
        <v>564.29999999999995</v>
      </c>
      <c r="I702" s="1023">
        <v>564.29999999999995</v>
      </c>
      <c r="J702" s="1023">
        <v>564.29999999999995</v>
      </c>
      <c r="K702" s="1009">
        <v>17</v>
      </c>
      <c r="L702" s="1023">
        <v>1416852.77</v>
      </c>
      <c r="M702" s="1130">
        <v>0</v>
      </c>
      <c r="N702" s="1130">
        <v>0</v>
      </c>
      <c r="O702" s="1023">
        <v>1416852.77</v>
      </c>
      <c r="P702" s="1130">
        <v>0</v>
      </c>
      <c r="Q702" s="1130">
        <v>0</v>
      </c>
      <c r="R702" s="1009">
        <v>2022</v>
      </c>
      <c r="S702" s="1009">
        <v>2023</v>
      </c>
    </row>
    <row r="703" spans="1:19" ht="40.15" customHeight="1">
      <c r="A703" s="1319">
        <v>199</v>
      </c>
      <c r="B703" s="1199" t="s">
        <v>1295</v>
      </c>
      <c r="C703" s="1009">
        <v>1918</v>
      </c>
      <c r="D703" s="1009"/>
      <c r="E703" s="1009" t="s">
        <v>218</v>
      </c>
      <c r="F703" s="1009">
        <v>3</v>
      </c>
      <c r="G703" s="1009">
        <v>3</v>
      </c>
      <c r="H703" s="1023">
        <v>918.8</v>
      </c>
      <c r="I703" s="1023">
        <v>918.8</v>
      </c>
      <c r="J703" s="1023">
        <v>634.98</v>
      </c>
      <c r="K703" s="1009">
        <v>45</v>
      </c>
      <c r="L703" s="1023">
        <v>1965482.44</v>
      </c>
      <c r="M703" s="1130">
        <v>0</v>
      </c>
      <c r="N703" s="1130">
        <v>0</v>
      </c>
      <c r="O703" s="1023">
        <v>1965482.44</v>
      </c>
      <c r="P703" s="1130">
        <v>0</v>
      </c>
      <c r="Q703" s="1130">
        <v>0</v>
      </c>
      <c r="R703" s="1009">
        <v>2022</v>
      </c>
      <c r="S703" s="1009">
        <v>2023</v>
      </c>
    </row>
    <row r="704" spans="1:19" ht="50.25" customHeight="1">
      <c r="A704" s="1319">
        <v>200</v>
      </c>
      <c r="B704" s="1199" t="s">
        <v>1763</v>
      </c>
      <c r="C704" s="1009">
        <v>1971</v>
      </c>
      <c r="D704" s="1009"/>
      <c r="E704" s="1009" t="s">
        <v>218</v>
      </c>
      <c r="F704" s="1009">
        <v>2</v>
      </c>
      <c r="G704" s="1009">
        <v>2</v>
      </c>
      <c r="H704" s="1023">
        <v>561.79999999999995</v>
      </c>
      <c r="I704" s="1023">
        <v>511.8</v>
      </c>
      <c r="J704" s="1023">
        <v>460.3</v>
      </c>
      <c r="K704" s="1009">
        <v>22</v>
      </c>
      <c r="L704" s="1023">
        <v>204411.03</v>
      </c>
      <c r="M704" s="1130">
        <v>0</v>
      </c>
      <c r="N704" s="1130">
        <v>0</v>
      </c>
      <c r="O704" s="1023">
        <v>204411.03</v>
      </c>
      <c r="P704" s="1130">
        <v>0</v>
      </c>
      <c r="Q704" s="1130">
        <v>0</v>
      </c>
      <c r="R704" s="1009">
        <v>2022</v>
      </c>
      <c r="S704" s="1009">
        <v>2023</v>
      </c>
    </row>
    <row r="705" spans="1:19" ht="47.25" customHeight="1">
      <c r="A705" s="1319">
        <v>201</v>
      </c>
      <c r="B705" s="1139" t="s">
        <v>1309</v>
      </c>
      <c r="C705" s="1009">
        <v>1891</v>
      </c>
      <c r="D705" s="1009"/>
      <c r="E705" s="1009" t="s">
        <v>221</v>
      </c>
      <c r="F705" s="1009">
        <v>1</v>
      </c>
      <c r="G705" s="1009">
        <v>7</v>
      </c>
      <c r="H705" s="1023">
        <v>247</v>
      </c>
      <c r="I705" s="1023">
        <v>247</v>
      </c>
      <c r="J705" s="1023">
        <v>247</v>
      </c>
      <c r="K705" s="1009">
        <v>16</v>
      </c>
      <c r="L705" s="1023">
        <v>4258574.92</v>
      </c>
      <c r="M705" s="1130">
        <v>0</v>
      </c>
      <c r="N705" s="1130">
        <v>0</v>
      </c>
      <c r="O705" s="1023">
        <v>4258574.92</v>
      </c>
      <c r="P705" s="1130">
        <v>0</v>
      </c>
      <c r="Q705" s="1130">
        <v>0</v>
      </c>
      <c r="R705" s="1009">
        <v>2022</v>
      </c>
      <c r="S705" s="1009">
        <v>2023</v>
      </c>
    </row>
    <row r="706" spans="1:19" ht="53.25" customHeight="1">
      <c r="A706" s="1319">
        <v>202</v>
      </c>
      <c r="B706" s="1199" t="s">
        <v>2163</v>
      </c>
      <c r="C706" s="1009">
        <v>1972</v>
      </c>
      <c r="D706" s="1009"/>
      <c r="E706" s="1009" t="s">
        <v>218</v>
      </c>
      <c r="F706" s="1009">
        <v>2</v>
      </c>
      <c r="G706" s="1009">
        <v>3</v>
      </c>
      <c r="H706" s="1023">
        <v>958.5</v>
      </c>
      <c r="I706" s="1023">
        <v>913.2</v>
      </c>
      <c r="J706" s="1023">
        <v>868.9</v>
      </c>
      <c r="K706" s="1009">
        <v>34</v>
      </c>
      <c r="L706" s="1023">
        <v>2160751.63</v>
      </c>
      <c r="M706" s="1130">
        <v>0</v>
      </c>
      <c r="N706" s="1130">
        <v>0</v>
      </c>
      <c r="O706" s="1023">
        <v>2160751.63</v>
      </c>
      <c r="P706" s="1130">
        <v>0</v>
      </c>
      <c r="Q706" s="1130">
        <v>0</v>
      </c>
      <c r="R706" s="1009">
        <v>2022</v>
      </c>
      <c r="S706" s="1009">
        <v>2023</v>
      </c>
    </row>
    <row r="707" spans="1:19" ht="40.15" customHeight="1">
      <c r="A707" s="1319">
        <v>203</v>
      </c>
      <c r="B707" s="1139" t="s">
        <v>1277</v>
      </c>
      <c r="C707" s="1009">
        <v>1923</v>
      </c>
      <c r="D707" s="1009"/>
      <c r="E707" s="1009" t="s">
        <v>221</v>
      </c>
      <c r="F707" s="1009">
        <v>2</v>
      </c>
      <c r="G707" s="1009">
        <v>2</v>
      </c>
      <c r="H707" s="1023">
        <v>413.3</v>
      </c>
      <c r="I707" s="1023">
        <v>413.3</v>
      </c>
      <c r="J707" s="1023">
        <v>413.3</v>
      </c>
      <c r="K707" s="1009">
        <v>20</v>
      </c>
      <c r="L707" s="1023">
        <v>60340</v>
      </c>
      <c r="M707" s="1130">
        <v>0</v>
      </c>
      <c r="N707" s="1130">
        <v>0</v>
      </c>
      <c r="O707" s="1023">
        <v>60340</v>
      </c>
      <c r="P707" s="1130">
        <v>0</v>
      </c>
      <c r="Q707" s="1130">
        <v>0</v>
      </c>
      <c r="R707" s="1009">
        <v>2022</v>
      </c>
      <c r="S707" s="1200">
        <v>2023</v>
      </c>
    </row>
    <row r="708" spans="1:19" ht="39" customHeight="1">
      <c r="A708" s="1319"/>
      <c r="B708" s="1315" t="s">
        <v>1244</v>
      </c>
      <c r="C708" s="1321"/>
      <c r="D708" s="1096"/>
      <c r="E708" s="1319"/>
      <c r="F708" s="1321"/>
      <c r="G708" s="1321"/>
      <c r="H708" s="993">
        <f t="shared" ref="H708:Q708" si="157">SUM(H709:H725)</f>
        <v>40938.6</v>
      </c>
      <c r="I708" s="993">
        <f t="shared" si="157"/>
        <v>32492.7</v>
      </c>
      <c r="J708" s="993">
        <f t="shared" si="157"/>
        <v>22829.09</v>
      </c>
      <c r="K708" s="987">
        <f t="shared" si="157"/>
        <v>1308</v>
      </c>
      <c r="L708" s="993">
        <f t="shared" si="157"/>
        <v>84597615.260344625</v>
      </c>
      <c r="M708" s="993">
        <f t="shared" si="157"/>
        <v>0</v>
      </c>
      <c r="N708" s="993">
        <f t="shared" si="157"/>
        <v>0</v>
      </c>
      <c r="O708" s="993">
        <f t="shared" si="157"/>
        <v>84597615.260344625</v>
      </c>
      <c r="P708" s="993">
        <f t="shared" si="157"/>
        <v>0</v>
      </c>
      <c r="Q708" s="1091">
        <f t="shared" si="157"/>
        <v>0</v>
      </c>
      <c r="R708" s="991" t="s">
        <v>40</v>
      </c>
      <c r="S708" s="991" t="s">
        <v>40</v>
      </c>
    </row>
    <row r="709" spans="1:19" ht="39.6" customHeight="1">
      <c r="A709" s="1319">
        <v>204</v>
      </c>
      <c r="B709" s="1201" t="s">
        <v>1246</v>
      </c>
      <c r="C709" s="1319">
        <v>1949</v>
      </c>
      <c r="D709" s="1319"/>
      <c r="E709" s="1320" t="s">
        <v>218</v>
      </c>
      <c r="F709" s="1319">
        <v>3</v>
      </c>
      <c r="G709" s="1319">
        <v>3</v>
      </c>
      <c r="H709" s="1202">
        <v>2081.1</v>
      </c>
      <c r="I709" s="1202">
        <v>1851.9</v>
      </c>
      <c r="J709" s="1202">
        <v>972.4</v>
      </c>
      <c r="K709" s="987">
        <v>21</v>
      </c>
      <c r="L709" s="993">
        <v>3525282.72</v>
      </c>
      <c r="M709" s="993">
        <v>0</v>
      </c>
      <c r="N709" s="993">
        <v>0</v>
      </c>
      <c r="O709" s="993">
        <f>L709</f>
        <v>3525282.72</v>
      </c>
      <c r="P709" s="1036">
        <v>0</v>
      </c>
      <c r="Q709" s="1202">
        <v>0</v>
      </c>
      <c r="R709" s="1008">
        <v>2016</v>
      </c>
      <c r="S709" s="1008">
        <v>2023</v>
      </c>
    </row>
    <row r="710" spans="1:19" ht="39.6" customHeight="1">
      <c r="A710" s="1319">
        <v>205</v>
      </c>
      <c r="B710" s="1316" t="s">
        <v>1247</v>
      </c>
      <c r="C710" s="1319">
        <v>1956</v>
      </c>
      <c r="D710" s="1319"/>
      <c r="E710" s="1320" t="s">
        <v>218</v>
      </c>
      <c r="F710" s="1319">
        <v>2</v>
      </c>
      <c r="G710" s="1319">
        <v>2</v>
      </c>
      <c r="H710" s="1202">
        <v>1147.5</v>
      </c>
      <c r="I710" s="1202">
        <v>1088.5999999999999</v>
      </c>
      <c r="J710" s="1202">
        <v>378.2</v>
      </c>
      <c r="K710" s="987">
        <v>28</v>
      </c>
      <c r="L710" s="993">
        <v>4196830.01</v>
      </c>
      <c r="M710" s="993">
        <v>0</v>
      </c>
      <c r="N710" s="993">
        <v>0</v>
      </c>
      <c r="O710" s="993">
        <f t="shared" ref="O710:O717" si="158">L710</f>
        <v>4196830.01</v>
      </c>
      <c r="P710" s="1036">
        <v>0</v>
      </c>
      <c r="Q710" s="1202">
        <v>0</v>
      </c>
      <c r="R710" s="1008">
        <v>2016</v>
      </c>
      <c r="S710" s="1008">
        <v>2023</v>
      </c>
    </row>
    <row r="711" spans="1:19" ht="40.9" customHeight="1">
      <c r="A711" s="1319">
        <v>206</v>
      </c>
      <c r="B711" s="1316" t="s">
        <v>1248</v>
      </c>
      <c r="C711" s="1319">
        <v>1963</v>
      </c>
      <c r="D711" s="1319"/>
      <c r="E711" s="1320" t="s">
        <v>218</v>
      </c>
      <c r="F711" s="1319">
        <v>4</v>
      </c>
      <c r="G711" s="1319">
        <v>3</v>
      </c>
      <c r="H711" s="1202">
        <v>2682.4</v>
      </c>
      <c r="I711" s="1202">
        <v>1997.5</v>
      </c>
      <c r="J711" s="1202">
        <v>1997.5</v>
      </c>
      <c r="K711" s="987">
        <v>97</v>
      </c>
      <c r="L711" s="993">
        <v>4615004.63</v>
      </c>
      <c r="M711" s="993">
        <v>0</v>
      </c>
      <c r="N711" s="993">
        <v>0</v>
      </c>
      <c r="O711" s="993">
        <f t="shared" si="158"/>
        <v>4615004.63</v>
      </c>
      <c r="P711" s="1036">
        <v>0</v>
      </c>
      <c r="Q711" s="1202">
        <v>0</v>
      </c>
      <c r="R711" s="1008">
        <v>2016</v>
      </c>
      <c r="S711" s="1008">
        <v>2023</v>
      </c>
    </row>
    <row r="712" spans="1:19" ht="40.15" customHeight="1">
      <c r="A712" s="1319">
        <v>207</v>
      </c>
      <c r="B712" s="1316" t="s">
        <v>1249</v>
      </c>
      <c r="C712" s="1319">
        <v>1959</v>
      </c>
      <c r="D712" s="1319"/>
      <c r="E712" s="1320" t="s">
        <v>218</v>
      </c>
      <c r="F712" s="1319">
        <v>4</v>
      </c>
      <c r="G712" s="1319">
        <v>4</v>
      </c>
      <c r="H712" s="1202">
        <v>3445</v>
      </c>
      <c r="I712" s="1202">
        <v>2645.4</v>
      </c>
      <c r="J712" s="1202">
        <v>1889.2</v>
      </c>
      <c r="K712" s="987">
        <v>86</v>
      </c>
      <c r="L712" s="993">
        <v>5661296.2300000004</v>
      </c>
      <c r="M712" s="993">
        <v>0</v>
      </c>
      <c r="N712" s="993">
        <v>0</v>
      </c>
      <c r="O712" s="993">
        <f t="shared" si="158"/>
        <v>5661296.2300000004</v>
      </c>
      <c r="P712" s="1036">
        <v>0</v>
      </c>
      <c r="Q712" s="1202">
        <v>0</v>
      </c>
      <c r="R712" s="1008">
        <v>2016</v>
      </c>
      <c r="S712" s="1008">
        <v>2023</v>
      </c>
    </row>
    <row r="713" spans="1:19" ht="40.15" customHeight="1">
      <c r="A713" s="1319">
        <v>208</v>
      </c>
      <c r="B713" s="1316" t="s">
        <v>1250</v>
      </c>
      <c r="C713" s="1319">
        <v>1966</v>
      </c>
      <c r="D713" s="1319"/>
      <c r="E713" s="1319" t="s">
        <v>220</v>
      </c>
      <c r="F713" s="1319">
        <v>5</v>
      </c>
      <c r="G713" s="1319">
        <v>3</v>
      </c>
      <c r="H713" s="1202">
        <v>3322.6</v>
      </c>
      <c r="I713" s="1202">
        <v>2607.1</v>
      </c>
      <c r="J713" s="1202">
        <v>2037.1</v>
      </c>
      <c r="K713" s="987">
        <v>97</v>
      </c>
      <c r="L713" s="993">
        <v>3919423.39</v>
      </c>
      <c r="M713" s="993">
        <v>0</v>
      </c>
      <c r="N713" s="993">
        <v>0</v>
      </c>
      <c r="O713" s="993">
        <f t="shared" si="158"/>
        <v>3919423.39</v>
      </c>
      <c r="P713" s="1036">
        <v>0</v>
      </c>
      <c r="Q713" s="1202">
        <v>0</v>
      </c>
      <c r="R713" s="1008">
        <v>2016</v>
      </c>
      <c r="S713" s="1008">
        <v>2023</v>
      </c>
    </row>
    <row r="714" spans="1:19" ht="40.15" customHeight="1">
      <c r="A714" s="1319">
        <v>209</v>
      </c>
      <c r="B714" s="1316" t="s">
        <v>1251</v>
      </c>
      <c r="C714" s="1319">
        <v>1962</v>
      </c>
      <c r="D714" s="1319"/>
      <c r="E714" s="1320" t="s">
        <v>218</v>
      </c>
      <c r="F714" s="1319">
        <v>2</v>
      </c>
      <c r="G714" s="1319">
        <v>1</v>
      </c>
      <c r="H714" s="1202">
        <v>326.3</v>
      </c>
      <c r="I714" s="1202">
        <v>294.89999999999998</v>
      </c>
      <c r="J714" s="1202">
        <v>294.89999999999998</v>
      </c>
      <c r="K714" s="987">
        <v>23</v>
      </c>
      <c r="L714" s="993">
        <v>1198875.73</v>
      </c>
      <c r="M714" s="993">
        <v>0</v>
      </c>
      <c r="N714" s="993">
        <v>0</v>
      </c>
      <c r="O714" s="993">
        <f t="shared" si="158"/>
        <v>1198875.73</v>
      </c>
      <c r="P714" s="1036">
        <v>0</v>
      </c>
      <c r="Q714" s="1202">
        <v>0</v>
      </c>
      <c r="R714" s="1008">
        <v>2018</v>
      </c>
      <c r="S714" s="1008">
        <v>2023</v>
      </c>
    </row>
    <row r="715" spans="1:19" ht="42.6" customHeight="1">
      <c r="A715" s="1319">
        <v>210</v>
      </c>
      <c r="B715" s="1316" t="s">
        <v>1315</v>
      </c>
      <c r="C715" s="1319">
        <v>1961</v>
      </c>
      <c r="D715" s="1319"/>
      <c r="E715" s="1320" t="s">
        <v>1023</v>
      </c>
      <c r="F715" s="1319">
        <v>1</v>
      </c>
      <c r="G715" s="1319">
        <v>1</v>
      </c>
      <c r="H715" s="1202">
        <v>145.4</v>
      </c>
      <c r="I715" s="1202">
        <v>145.4</v>
      </c>
      <c r="J715" s="1202">
        <v>145.4</v>
      </c>
      <c r="K715" s="987">
        <v>15</v>
      </c>
      <c r="L715" s="993">
        <v>791997</v>
      </c>
      <c r="M715" s="993">
        <v>0</v>
      </c>
      <c r="N715" s="993">
        <v>0</v>
      </c>
      <c r="O715" s="993">
        <f t="shared" si="158"/>
        <v>791997</v>
      </c>
      <c r="P715" s="1202">
        <v>0</v>
      </c>
      <c r="Q715" s="993">
        <v>0</v>
      </c>
      <c r="R715" s="1008">
        <v>2018</v>
      </c>
      <c r="S715" s="1008">
        <v>2023</v>
      </c>
    </row>
    <row r="716" spans="1:19" ht="42" customHeight="1">
      <c r="A716" s="1319">
        <v>211</v>
      </c>
      <c r="B716" s="1316" t="s">
        <v>1252</v>
      </c>
      <c r="C716" s="1319">
        <v>1966</v>
      </c>
      <c r="D716" s="1319"/>
      <c r="E716" s="1321" t="s">
        <v>1023</v>
      </c>
      <c r="F716" s="1319">
        <v>5</v>
      </c>
      <c r="G716" s="1319">
        <v>3</v>
      </c>
      <c r="H716" s="1202">
        <v>2671.1</v>
      </c>
      <c r="I716" s="1202">
        <v>2017.3</v>
      </c>
      <c r="J716" s="1202">
        <v>1311.11</v>
      </c>
      <c r="K716" s="987">
        <v>106</v>
      </c>
      <c r="L716" s="985">
        <v>4368894.3600000003</v>
      </c>
      <c r="M716" s="993">
        <v>0</v>
      </c>
      <c r="N716" s="993">
        <v>0</v>
      </c>
      <c r="O716" s="993">
        <f t="shared" si="158"/>
        <v>4368894.3600000003</v>
      </c>
      <c r="P716" s="993">
        <v>0</v>
      </c>
      <c r="Q716" s="993">
        <v>0</v>
      </c>
      <c r="R716" s="1008">
        <v>2018</v>
      </c>
      <c r="S716" s="1008">
        <v>2023</v>
      </c>
    </row>
    <row r="717" spans="1:19" ht="40.9" customHeight="1">
      <c r="A717" s="1319">
        <v>212</v>
      </c>
      <c r="B717" s="1316" t="s">
        <v>1253</v>
      </c>
      <c r="C717" s="1319">
        <v>1975</v>
      </c>
      <c r="D717" s="1319"/>
      <c r="E717" s="1319" t="s">
        <v>220</v>
      </c>
      <c r="F717" s="1319">
        <v>5</v>
      </c>
      <c r="G717" s="1319">
        <v>6</v>
      </c>
      <c r="H717" s="1202">
        <v>5023.3999999999996</v>
      </c>
      <c r="I717" s="1202">
        <v>4578.3999999999996</v>
      </c>
      <c r="J717" s="1202">
        <v>2958.48</v>
      </c>
      <c r="K717" s="987">
        <v>159</v>
      </c>
      <c r="L717" s="985">
        <v>7047781.0999999996</v>
      </c>
      <c r="M717" s="993">
        <v>0</v>
      </c>
      <c r="N717" s="993">
        <v>0</v>
      </c>
      <c r="O717" s="993">
        <f t="shared" si="158"/>
        <v>7047781.0999999996</v>
      </c>
      <c r="P717" s="993">
        <v>0</v>
      </c>
      <c r="Q717" s="993">
        <v>0</v>
      </c>
      <c r="R717" s="1008">
        <v>2018</v>
      </c>
      <c r="S717" s="1008">
        <v>2023</v>
      </c>
    </row>
    <row r="718" spans="1:19" ht="42.6" customHeight="1">
      <c r="A718" s="1319">
        <v>213</v>
      </c>
      <c r="B718" s="1146" t="s">
        <v>1314</v>
      </c>
      <c r="C718" s="1319">
        <v>1957</v>
      </c>
      <c r="D718" s="1319"/>
      <c r="E718" s="1319" t="s">
        <v>218</v>
      </c>
      <c r="F718" s="1319">
        <v>3</v>
      </c>
      <c r="G718" s="1319">
        <v>3</v>
      </c>
      <c r="H718" s="1152">
        <v>1373.3</v>
      </c>
      <c r="I718" s="1152">
        <v>1155.3</v>
      </c>
      <c r="J718" s="1152">
        <v>1155.3</v>
      </c>
      <c r="K718" s="1319">
        <v>40</v>
      </c>
      <c r="L718" s="1023">
        <v>6608643</v>
      </c>
      <c r="M718" s="985">
        <v>0</v>
      </c>
      <c r="N718" s="985">
        <v>0</v>
      </c>
      <c r="O718" s="1023">
        <v>6608643</v>
      </c>
      <c r="P718" s="985">
        <v>0</v>
      </c>
      <c r="Q718" s="985">
        <v>0</v>
      </c>
      <c r="R718" s="1321">
        <v>2022</v>
      </c>
      <c r="S718" s="1008">
        <v>2023</v>
      </c>
    </row>
    <row r="719" spans="1:19" ht="36.6" customHeight="1">
      <c r="A719" s="1319">
        <v>214</v>
      </c>
      <c r="B719" s="1127" t="s">
        <v>1313</v>
      </c>
      <c r="C719" s="1319">
        <v>1972</v>
      </c>
      <c r="D719" s="1319"/>
      <c r="E719" s="1319" t="s">
        <v>218</v>
      </c>
      <c r="F719" s="1319">
        <v>5</v>
      </c>
      <c r="G719" s="1319">
        <v>1</v>
      </c>
      <c r="H719" s="993">
        <v>3999.2</v>
      </c>
      <c r="I719" s="993">
        <v>2344.5</v>
      </c>
      <c r="J719" s="993">
        <v>1987.8</v>
      </c>
      <c r="K719" s="1319">
        <v>231</v>
      </c>
      <c r="L719" s="1018">
        <v>3346280.0901253182</v>
      </c>
      <c r="M719" s="993">
        <v>0</v>
      </c>
      <c r="N719" s="993">
        <v>0</v>
      </c>
      <c r="O719" s="1018">
        <v>3346280.0901253182</v>
      </c>
      <c r="P719" s="993">
        <v>0</v>
      </c>
      <c r="Q719" s="993">
        <v>0</v>
      </c>
      <c r="R719" s="1321">
        <v>2022</v>
      </c>
      <c r="S719" s="1008">
        <v>2023</v>
      </c>
    </row>
    <row r="720" spans="1:19" ht="40.9" customHeight="1">
      <c r="A720" s="1319">
        <v>215</v>
      </c>
      <c r="B720" s="1127" t="s">
        <v>1313</v>
      </c>
      <c r="C720" s="1319">
        <v>1972</v>
      </c>
      <c r="D720" s="1319"/>
      <c r="E720" s="1319" t="s">
        <v>218</v>
      </c>
      <c r="F720" s="1319">
        <v>5</v>
      </c>
      <c r="G720" s="1319">
        <v>1</v>
      </c>
      <c r="H720" s="993">
        <v>3999.2</v>
      </c>
      <c r="I720" s="993">
        <v>2344.5</v>
      </c>
      <c r="J720" s="993">
        <v>1987.8</v>
      </c>
      <c r="K720" s="1319">
        <v>231</v>
      </c>
      <c r="L720" s="1018">
        <v>8208861.9598120227</v>
      </c>
      <c r="M720" s="985">
        <v>0</v>
      </c>
      <c r="N720" s="985">
        <v>0</v>
      </c>
      <c r="O720" s="1018">
        <v>8208861.9598120227</v>
      </c>
      <c r="P720" s="985">
        <v>0</v>
      </c>
      <c r="Q720" s="985">
        <v>0</v>
      </c>
      <c r="R720" s="1321">
        <v>2022</v>
      </c>
      <c r="S720" s="1008">
        <v>2023</v>
      </c>
    </row>
    <row r="721" spans="1:19" ht="44.45" customHeight="1">
      <c r="A721" s="1319">
        <v>216</v>
      </c>
      <c r="B721" s="1127" t="s">
        <v>1982</v>
      </c>
      <c r="C721" s="1319">
        <v>1979</v>
      </c>
      <c r="D721" s="1319"/>
      <c r="E721" s="1319" t="s">
        <v>218</v>
      </c>
      <c r="F721" s="1319">
        <v>5</v>
      </c>
      <c r="G721" s="1319">
        <v>1</v>
      </c>
      <c r="H721" s="993">
        <v>3234.5</v>
      </c>
      <c r="I721" s="993">
        <v>2950.2</v>
      </c>
      <c r="J721" s="993">
        <v>1228.4000000000001</v>
      </c>
      <c r="K721" s="1319">
        <v>27</v>
      </c>
      <c r="L721" s="1018">
        <v>3183530.6203132956</v>
      </c>
      <c r="M721" s="993">
        <v>0</v>
      </c>
      <c r="N721" s="993">
        <v>0</v>
      </c>
      <c r="O721" s="1018">
        <v>3183530.6203132956</v>
      </c>
      <c r="P721" s="993">
        <v>0</v>
      </c>
      <c r="Q721" s="993">
        <v>0</v>
      </c>
      <c r="R721" s="1321">
        <v>2022</v>
      </c>
      <c r="S721" s="1008">
        <v>2023</v>
      </c>
    </row>
    <row r="722" spans="1:19" ht="40.9" customHeight="1">
      <c r="A722" s="1319">
        <v>217</v>
      </c>
      <c r="B722" s="1127" t="s">
        <v>1982</v>
      </c>
      <c r="C722" s="1319">
        <v>1979</v>
      </c>
      <c r="D722" s="1319"/>
      <c r="E722" s="1319" t="s">
        <v>218</v>
      </c>
      <c r="F722" s="1319">
        <v>5</v>
      </c>
      <c r="G722" s="1319">
        <v>1</v>
      </c>
      <c r="H722" s="993">
        <v>3234.5</v>
      </c>
      <c r="I722" s="993">
        <v>2950.2</v>
      </c>
      <c r="J722" s="993">
        <v>1228.4000000000001</v>
      </c>
      <c r="K722" s="1319">
        <v>27</v>
      </c>
      <c r="L722" s="1018">
        <v>5540033.1900939886</v>
      </c>
      <c r="M722" s="985">
        <v>0</v>
      </c>
      <c r="N722" s="985">
        <v>0</v>
      </c>
      <c r="O722" s="1018">
        <v>5540033.1900939886</v>
      </c>
      <c r="P722" s="985">
        <v>0</v>
      </c>
      <c r="Q722" s="985">
        <v>0</v>
      </c>
      <c r="R722" s="1321">
        <v>2022</v>
      </c>
      <c r="S722" s="1008">
        <v>2023</v>
      </c>
    </row>
    <row r="723" spans="1:19" ht="40.9" customHeight="1">
      <c r="A723" s="1319">
        <v>218</v>
      </c>
      <c r="B723" s="1127" t="s">
        <v>1983</v>
      </c>
      <c r="C723" s="1319">
        <v>1939</v>
      </c>
      <c r="D723" s="1319"/>
      <c r="E723" s="1319" t="s">
        <v>218</v>
      </c>
      <c r="F723" s="1319">
        <v>3</v>
      </c>
      <c r="G723" s="1319">
        <v>4</v>
      </c>
      <c r="H723" s="993">
        <v>2643.9</v>
      </c>
      <c r="I723" s="993">
        <v>2432.6999999999998</v>
      </c>
      <c r="J723" s="993">
        <v>2331.1</v>
      </c>
      <c r="K723" s="1319">
        <v>66</v>
      </c>
      <c r="L723" s="1018">
        <v>12909905.9</v>
      </c>
      <c r="M723" s="993">
        <v>0</v>
      </c>
      <c r="N723" s="993">
        <v>0</v>
      </c>
      <c r="O723" s="1018">
        <v>12909905.9</v>
      </c>
      <c r="P723" s="993">
        <v>0</v>
      </c>
      <c r="Q723" s="993">
        <v>0</v>
      </c>
      <c r="R723" s="1321">
        <v>2022</v>
      </c>
      <c r="S723" s="1008">
        <v>2023</v>
      </c>
    </row>
    <row r="724" spans="1:19" ht="42" customHeight="1">
      <c r="A724" s="1319">
        <v>219</v>
      </c>
      <c r="B724" s="1127" t="s">
        <v>1984</v>
      </c>
      <c r="C724" s="1319">
        <v>1960</v>
      </c>
      <c r="D724" s="1319"/>
      <c r="E724" s="1319" t="s">
        <v>218</v>
      </c>
      <c r="F724" s="1319">
        <v>2</v>
      </c>
      <c r="G724" s="1319">
        <v>2</v>
      </c>
      <c r="H724" s="993">
        <v>532.5</v>
      </c>
      <c r="I724" s="993">
        <v>472</v>
      </c>
      <c r="J724" s="993">
        <v>436.8</v>
      </c>
      <c r="K724" s="1319">
        <v>31</v>
      </c>
      <c r="L724" s="1018">
        <v>5511607.6899999995</v>
      </c>
      <c r="M724" s="985">
        <v>0</v>
      </c>
      <c r="N724" s="985">
        <v>0</v>
      </c>
      <c r="O724" s="1018">
        <v>5511607.6899999995</v>
      </c>
      <c r="P724" s="985">
        <v>0</v>
      </c>
      <c r="Q724" s="985">
        <v>0</v>
      </c>
      <c r="R724" s="1321">
        <v>2022</v>
      </c>
      <c r="S724" s="1008">
        <v>2023</v>
      </c>
    </row>
    <row r="725" spans="1:19" ht="37.15" customHeight="1">
      <c r="A725" s="1319">
        <v>220</v>
      </c>
      <c r="B725" s="1127" t="s">
        <v>1985</v>
      </c>
      <c r="C725" s="1319">
        <v>1953</v>
      </c>
      <c r="D725" s="1319"/>
      <c r="E725" s="1319" t="s">
        <v>218</v>
      </c>
      <c r="F725" s="1319">
        <v>2</v>
      </c>
      <c r="G725" s="1319">
        <v>2</v>
      </c>
      <c r="H725" s="993">
        <v>1076.7</v>
      </c>
      <c r="I725" s="993">
        <v>616.79999999999995</v>
      </c>
      <c r="J725" s="993">
        <v>489.2</v>
      </c>
      <c r="K725" s="1319">
        <v>23</v>
      </c>
      <c r="L725" s="1018">
        <v>3963367.64</v>
      </c>
      <c r="M725" s="993">
        <v>0</v>
      </c>
      <c r="N725" s="993">
        <v>0</v>
      </c>
      <c r="O725" s="1018">
        <v>3963367.64</v>
      </c>
      <c r="P725" s="993">
        <v>0</v>
      </c>
      <c r="Q725" s="993">
        <v>0</v>
      </c>
      <c r="R725" s="1321">
        <v>2022</v>
      </c>
      <c r="S725" s="1008">
        <v>2023</v>
      </c>
    </row>
    <row r="726" spans="1:19" ht="37.9" customHeight="1">
      <c r="A726" s="1319"/>
      <c r="B726" s="1313" t="s">
        <v>1024</v>
      </c>
      <c r="C726" s="1321"/>
      <c r="D726" s="1096"/>
      <c r="E726" s="1319"/>
      <c r="F726" s="1321"/>
      <c r="G726" s="1321"/>
      <c r="H726" s="985">
        <f t="shared" ref="H726:Q726" si="159">SUM(H727:H736)</f>
        <v>11617.199999999999</v>
      </c>
      <c r="I726" s="985">
        <f t="shared" si="159"/>
        <v>10307.700000000001</v>
      </c>
      <c r="J726" s="985">
        <f t="shared" si="159"/>
        <v>8789.7999999999993</v>
      </c>
      <c r="K726" s="1030">
        <f t="shared" si="159"/>
        <v>405</v>
      </c>
      <c r="L726" s="985">
        <f t="shared" si="159"/>
        <v>15081754.460000001</v>
      </c>
      <c r="M726" s="985">
        <f t="shared" si="159"/>
        <v>0</v>
      </c>
      <c r="N726" s="985">
        <f t="shared" si="159"/>
        <v>0</v>
      </c>
      <c r="O726" s="985">
        <f t="shared" si="159"/>
        <v>15081754.460000001</v>
      </c>
      <c r="P726" s="985">
        <f t="shared" si="159"/>
        <v>0</v>
      </c>
      <c r="Q726" s="985">
        <f t="shared" si="159"/>
        <v>0</v>
      </c>
      <c r="R726" s="991" t="s">
        <v>40</v>
      </c>
      <c r="S726" s="991" t="s">
        <v>40</v>
      </c>
    </row>
    <row r="727" spans="1:19" ht="40.9" customHeight="1">
      <c r="A727" s="1319">
        <v>221</v>
      </c>
      <c r="B727" s="1313" t="s">
        <v>1410</v>
      </c>
      <c r="C727" s="1319">
        <v>1969</v>
      </c>
      <c r="D727" s="1319"/>
      <c r="E727" s="1319" t="s">
        <v>218</v>
      </c>
      <c r="F727" s="1321">
        <v>3</v>
      </c>
      <c r="G727" s="1321">
        <v>3</v>
      </c>
      <c r="H727" s="985">
        <v>1516.6</v>
      </c>
      <c r="I727" s="985">
        <v>1516.6</v>
      </c>
      <c r="J727" s="985">
        <v>1448.5</v>
      </c>
      <c r="K727" s="987">
        <v>60</v>
      </c>
      <c r="L727" s="986">
        <v>2939370.25</v>
      </c>
      <c r="M727" s="986">
        <v>0</v>
      </c>
      <c r="N727" s="986">
        <v>0</v>
      </c>
      <c r="O727" s="986">
        <f t="shared" ref="O727:O736" si="160">L727</f>
        <v>2939370.25</v>
      </c>
      <c r="P727" s="1023">
        <v>0</v>
      </c>
      <c r="Q727" s="986">
        <v>0</v>
      </c>
      <c r="R727" s="987">
        <v>2016</v>
      </c>
      <c r="S727" s="987">
        <v>2023</v>
      </c>
    </row>
    <row r="728" spans="1:19" ht="42.6" customHeight="1">
      <c r="A728" s="1319">
        <v>222</v>
      </c>
      <c r="B728" s="1313" t="s">
        <v>1411</v>
      </c>
      <c r="C728" s="1319">
        <v>1969</v>
      </c>
      <c r="D728" s="1319"/>
      <c r="E728" s="1319" t="s">
        <v>218</v>
      </c>
      <c r="F728" s="1321">
        <v>5</v>
      </c>
      <c r="G728" s="1321">
        <v>4</v>
      </c>
      <c r="H728" s="985">
        <v>3440.1</v>
      </c>
      <c r="I728" s="985">
        <v>3182.2</v>
      </c>
      <c r="J728" s="985">
        <v>2326.6999999999998</v>
      </c>
      <c r="K728" s="987">
        <v>110</v>
      </c>
      <c r="L728" s="986">
        <v>2617852.0699999998</v>
      </c>
      <c r="M728" s="986">
        <v>0</v>
      </c>
      <c r="N728" s="986">
        <v>0</v>
      </c>
      <c r="O728" s="986">
        <f t="shared" si="160"/>
        <v>2617852.0699999998</v>
      </c>
      <c r="P728" s="1023">
        <v>0</v>
      </c>
      <c r="Q728" s="986">
        <v>0</v>
      </c>
      <c r="R728" s="987">
        <v>2016</v>
      </c>
      <c r="S728" s="987">
        <v>2023</v>
      </c>
    </row>
    <row r="729" spans="1:19" ht="42.6" customHeight="1">
      <c r="A729" s="1319">
        <v>223</v>
      </c>
      <c r="B729" s="1316" t="s">
        <v>1412</v>
      </c>
      <c r="C729" s="1319">
        <v>1956</v>
      </c>
      <c r="D729" s="1321"/>
      <c r="E729" s="1319" t="s">
        <v>218</v>
      </c>
      <c r="F729" s="1321">
        <v>2</v>
      </c>
      <c r="G729" s="1321">
        <v>1</v>
      </c>
      <c r="H729" s="985">
        <v>267.3</v>
      </c>
      <c r="I729" s="985">
        <v>221.1</v>
      </c>
      <c r="J729" s="985">
        <v>151.5</v>
      </c>
      <c r="K729" s="987">
        <v>12</v>
      </c>
      <c r="L729" s="985">
        <v>1249211.18</v>
      </c>
      <c r="M729" s="985">
        <v>0</v>
      </c>
      <c r="N729" s="985">
        <v>0</v>
      </c>
      <c r="O729" s="985">
        <f t="shared" si="160"/>
        <v>1249211.18</v>
      </c>
      <c r="P729" s="985">
        <v>0</v>
      </c>
      <c r="Q729" s="985">
        <v>0</v>
      </c>
      <c r="R729" s="987">
        <v>2019</v>
      </c>
      <c r="S729" s="987">
        <v>2023</v>
      </c>
    </row>
    <row r="730" spans="1:19" ht="39.6" customHeight="1">
      <c r="A730" s="1319">
        <v>224</v>
      </c>
      <c r="B730" s="1316" t="s">
        <v>1413</v>
      </c>
      <c r="C730" s="1319">
        <v>1956</v>
      </c>
      <c r="D730" s="1321"/>
      <c r="E730" s="1319" t="s">
        <v>218</v>
      </c>
      <c r="F730" s="1321">
        <v>2</v>
      </c>
      <c r="G730" s="1321">
        <v>2</v>
      </c>
      <c r="H730" s="985">
        <v>928.4</v>
      </c>
      <c r="I730" s="985">
        <v>798.1</v>
      </c>
      <c r="J730" s="985">
        <v>694.3</v>
      </c>
      <c r="K730" s="987">
        <v>25</v>
      </c>
      <c r="L730" s="985">
        <v>2547928</v>
      </c>
      <c r="M730" s="985">
        <v>0</v>
      </c>
      <c r="N730" s="985">
        <v>0</v>
      </c>
      <c r="O730" s="985">
        <f t="shared" si="160"/>
        <v>2547928</v>
      </c>
      <c r="P730" s="985">
        <v>0</v>
      </c>
      <c r="Q730" s="985">
        <v>0</v>
      </c>
      <c r="R730" s="987">
        <v>2021</v>
      </c>
      <c r="S730" s="987">
        <v>2023</v>
      </c>
    </row>
    <row r="731" spans="1:19" ht="44.45" customHeight="1">
      <c r="A731" s="1319">
        <v>225</v>
      </c>
      <c r="B731" s="1316" t="s">
        <v>1414</v>
      </c>
      <c r="C731" s="1319">
        <v>1917</v>
      </c>
      <c r="D731" s="1321"/>
      <c r="E731" s="1319" t="s">
        <v>218</v>
      </c>
      <c r="F731" s="1321">
        <v>2</v>
      </c>
      <c r="G731" s="1321">
        <v>2</v>
      </c>
      <c r="H731" s="985">
        <v>552.5</v>
      </c>
      <c r="I731" s="985">
        <v>289.2</v>
      </c>
      <c r="J731" s="985">
        <v>261</v>
      </c>
      <c r="K731" s="987">
        <v>24</v>
      </c>
      <c r="L731" s="985">
        <v>381544.23</v>
      </c>
      <c r="M731" s="985">
        <v>0</v>
      </c>
      <c r="N731" s="985">
        <v>0</v>
      </c>
      <c r="O731" s="985">
        <f t="shared" si="160"/>
        <v>381544.23</v>
      </c>
      <c r="P731" s="985">
        <v>0</v>
      </c>
      <c r="Q731" s="985">
        <v>0</v>
      </c>
      <c r="R731" s="987">
        <v>2021</v>
      </c>
      <c r="S731" s="987">
        <v>2023</v>
      </c>
    </row>
    <row r="732" spans="1:19" ht="33" customHeight="1">
      <c r="A732" s="1319">
        <v>226</v>
      </c>
      <c r="B732" s="1316" t="s">
        <v>1415</v>
      </c>
      <c r="C732" s="1319">
        <v>1960</v>
      </c>
      <c r="D732" s="1319"/>
      <c r="E732" s="1319" t="s">
        <v>218</v>
      </c>
      <c r="F732" s="1321">
        <v>3</v>
      </c>
      <c r="G732" s="1321">
        <v>3</v>
      </c>
      <c r="H732" s="985">
        <v>1944</v>
      </c>
      <c r="I732" s="985">
        <v>1776.8</v>
      </c>
      <c r="J732" s="985">
        <v>1514.2</v>
      </c>
      <c r="K732" s="987">
        <v>61</v>
      </c>
      <c r="L732" s="985">
        <v>129465</v>
      </c>
      <c r="M732" s="985">
        <v>0</v>
      </c>
      <c r="N732" s="985">
        <v>0</v>
      </c>
      <c r="O732" s="985">
        <f t="shared" si="160"/>
        <v>129465</v>
      </c>
      <c r="P732" s="985">
        <v>0</v>
      </c>
      <c r="Q732" s="985">
        <v>0</v>
      </c>
      <c r="R732" s="987">
        <v>2021</v>
      </c>
      <c r="S732" s="987">
        <v>2023</v>
      </c>
    </row>
    <row r="733" spans="1:19" ht="39.6" customHeight="1">
      <c r="A733" s="1319">
        <v>227</v>
      </c>
      <c r="B733" s="1316" t="s">
        <v>1416</v>
      </c>
      <c r="C733" s="1321">
        <v>1917</v>
      </c>
      <c r="D733" s="1321"/>
      <c r="E733" s="1319" t="s">
        <v>218</v>
      </c>
      <c r="F733" s="1321">
        <v>2</v>
      </c>
      <c r="G733" s="1321">
        <v>1</v>
      </c>
      <c r="H733" s="1203">
        <v>513.9</v>
      </c>
      <c r="I733" s="1203">
        <v>483.1</v>
      </c>
      <c r="J733" s="1203">
        <v>449.1</v>
      </c>
      <c r="K733" s="1030">
        <v>16</v>
      </c>
      <c r="L733" s="985">
        <v>2058000.82</v>
      </c>
      <c r="M733" s="985">
        <v>0</v>
      </c>
      <c r="N733" s="985">
        <v>0</v>
      </c>
      <c r="O733" s="985">
        <f t="shared" si="160"/>
        <v>2058000.82</v>
      </c>
      <c r="P733" s="985">
        <v>0</v>
      </c>
      <c r="Q733" s="985">
        <v>0</v>
      </c>
      <c r="R733" s="987">
        <v>2021</v>
      </c>
      <c r="S733" s="987">
        <v>2023</v>
      </c>
    </row>
    <row r="734" spans="1:19" ht="42.6" customHeight="1">
      <c r="A734" s="1319">
        <v>228</v>
      </c>
      <c r="B734" s="1313" t="s">
        <v>1410</v>
      </c>
      <c r="C734" s="1321">
        <v>1969</v>
      </c>
      <c r="D734" s="1319"/>
      <c r="E734" s="1319" t="s">
        <v>218</v>
      </c>
      <c r="F734" s="1321">
        <v>3</v>
      </c>
      <c r="G734" s="1321">
        <v>3</v>
      </c>
      <c r="H734" s="985">
        <v>1516.6</v>
      </c>
      <c r="I734" s="985">
        <v>1516.6</v>
      </c>
      <c r="J734" s="985">
        <v>1448.5</v>
      </c>
      <c r="K734" s="987">
        <v>60</v>
      </c>
      <c r="L734" s="986">
        <v>2494910</v>
      </c>
      <c r="M734" s="986">
        <v>0</v>
      </c>
      <c r="N734" s="986">
        <v>0</v>
      </c>
      <c r="O734" s="986">
        <v>2494910</v>
      </c>
      <c r="P734" s="993">
        <f t="shared" ref="P734" si="161">Q734</f>
        <v>0</v>
      </c>
      <c r="Q734" s="986">
        <v>0</v>
      </c>
      <c r="R734" s="987">
        <v>2021</v>
      </c>
      <c r="S734" s="987">
        <v>2023</v>
      </c>
    </row>
    <row r="735" spans="1:19" ht="40.15" customHeight="1">
      <c r="A735" s="1319">
        <v>229</v>
      </c>
      <c r="B735" s="1316" t="s">
        <v>1414</v>
      </c>
      <c r="C735" s="1321">
        <v>1917</v>
      </c>
      <c r="D735" s="1321"/>
      <c r="E735" s="1319" t="s">
        <v>218</v>
      </c>
      <c r="F735" s="1321">
        <v>2</v>
      </c>
      <c r="G735" s="1321">
        <v>2</v>
      </c>
      <c r="H735" s="1203">
        <v>552.5</v>
      </c>
      <c r="I735" s="1203">
        <v>289</v>
      </c>
      <c r="J735" s="1203">
        <v>261</v>
      </c>
      <c r="K735" s="1030">
        <v>24</v>
      </c>
      <c r="L735" s="985">
        <v>603654.91</v>
      </c>
      <c r="M735" s="985">
        <v>0</v>
      </c>
      <c r="N735" s="985">
        <v>0</v>
      </c>
      <c r="O735" s="985">
        <f t="shared" si="160"/>
        <v>603654.91</v>
      </c>
      <c r="P735" s="985">
        <v>0</v>
      </c>
      <c r="Q735" s="985">
        <v>0</v>
      </c>
      <c r="R735" s="987">
        <v>2022</v>
      </c>
      <c r="S735" s="987">
        <v>2023</v>
      </c>
    </row>
    <row r="736" spans="1:19" ht="42.6" customHeight="1">
      <c r="A736" s="1319">
        <v>230</v>
      </c>
      <c r="B736" s="1316" t="s">
        <v>1417</v>
      </c>
      <c r="C736" s="1321">
        <v>1959</v>
      </c>
      <c r="D736" s="1321"/>
      <c r="E736" s="1319" t="s">
        <v>218</v>
      </c>
      <c r="F736" s="1321">
        <v>2</v>
      </c>
      <c r="G736" s="1321">
        <v>1</v>
      </c>
      <c r="H736" s="1203">
        <v>385.3</v>
      </c>
      <c r="I736" s="1203">
        <v>235</v>
      </c>
      <c r="J736" s="1203">
        <v>235</v>
      </c>
      <c r="K736" s="1030">
        <v>13</v>
      </c>
      <c r="L736" s="985">
        <v>59818</v>
      </c>
      <c r="M736" s="985">
        <v>0</v>
      </c>
      <c r="N736" s="985">
        <v>0</v>
      </c>
      <c r="O736" s="985">
        <f t="shared" si="160"/>
        <v>59818</v>
      </c>
      <c r="P736" s="985">
        <v>0</v>
      </c>
      <c r="Q736" s="985">
        <v>0</v>
      </c>
      <c r="R736" s="987">
        <v>2022</v>
      </c>
      <c r="S736" s="987">
        <v>2023</v>
      </c>
    </row>
    <row r="737" spans="1:19" ht="37.9" customHeight="1">
      <c r="A737" s="1319"/>
      <c r="B737" s="1313" t="s">
        <v>1055</v>
      </c>
      <c r="C737" s="1321"/>
      <c r="D737" s="1096"/>
      <c r="E737" s="1319"/>
      <c r="F737" s="1321"/>
      <c r="G737" s="1321"/>
      <c r="H737" s="985">
        <f t="shared" ref="H737:Q737" si="162">SUM(H738:H751)</f>
        <v>64512.160000000003</v>
      </c>
      <c r="I737" s="985">
        <f t="shared" si="162"/>
        <v>44809.200000000004</v>
      </c>
      <c r="J737" s="985">
        <f t="shared" si="162"/>
        <v>25080.800000000003</v>
      </c>
      <c r="K737" s="1030">
        <f t="shared" si="162"/>
        <v>1987</v>
      </c>
      <c r="L737" s="985">
        <f t="shared" si="162"/>
        <v>60140240.480000004</v>
      </c>
      <c r="M737" s="985">
        <f t="shared" si="162"/>
        <v>0</v>
      </c>
      <c r="N737" s="985">
        <f t="shared" si="162"/>
        <v>0</v>
      </c>
      <c r="O737" s="985">
        <f t="shared" si="162"/>
        <v>60140240.480000004</v>
      </c>
      <c r="P737" s="985">
        <f t="shared" si="162"/>
        <v>0</v>
      </c>
      <c r="Q737" s="985">
        <f t="shared" si="162"/>
        <v>0</v>
      </c>
      <c r="R737" s="991" t="s">
        <v>40</v>
      </c>
      <c r="S737" s="991" t="s">
        <v>40</v>
      </c>
    </row>
    <row r="738" spans="1:19" ht="40.9" customHeight="1">
      <c r="A738" s="1319">
        <v>231</v>
      </c>
      <c r="B738" s="1204" t="s">
        <v>1570</v>
      </c>
      <c r="C738" s="1009">
        <v>1966</v>
      </c>
      <c r="D738" s="1017"/>
      <c r="E738" s="1319" t="s">
        <v>218</v>
      </c>
      <c r="F738" s="1017">
        <v>5</v>
      </c>
      <c r="G738" s="1017">
        <v>4</v>
      </c>
      <c r="H738" s="1018">
        <v>5298</v>
      </c>
      <c r="I738" s="1018">
        <v>3567.1</v>
      </c>
      <c r="J738" s="1018">
        <v>1608.76</v>
      </c>
      <c r="K738" s="1134">
        <v>96</v>
      </c>
      <c r="L738" s="986">
        <v>2463360.0699999998</v>
      </c>
      <c r="M738" s="986">
        <v>0</v>
      </c>
      <c r="N738" s="986">
        <v>0</v>
      </c>
      <c r="O738" s="986">
        <f>L738</f>
        <v>2463360.0699999998</v>
      </c>
      <c r="P738" s="1023">
        <v>0</v>
      </c>
      <c r="Q738" s="986">
        <v>0</v>
      </c>
      <c r="R738" s="987">
        <v>2017</v>
      </c>
      <c r="S738" s="987">
        <v>2023</v>
      </c>
    </row>
    <row r="739" spans="1:19" ht="40.9" customHeight="1">
      <c r="A739" s="1319">
        <v>232</v>
      </c>
      <c r="B739" s="1204" t="s">
        <v>1571</v>
      </c>
      <c r="C739" s="1009">
        <v>1964</v>
      </c>
      <c r="D739" s="1017"/>
      <c r="E739" s="1319" t="s">
        <v>218</v>
      </c>
      <c r="F739" s="1017">
        <v>5</v>
      </c>
      <c r="G739" s="1017">
        <v>4</v>
      </c>
      <c r="H739" s="1018">
        <v>5248.9</v>
      </c>
      <c r="I739" s="1018">
        <v>3367</v>
      </c>
      <c r="J739" s="1018">
        <v>2316.5</v>
      </c>
      <c r="K739" s="1134">
        <v>178</v>
      </c>
      <c r="L739" s="986">
        <v>1958042</v>
      </c>
      <c r="M739" s="986">
        <v>0</v>
      </c>
      <c r="N739" s="986">
        <v>0</v>
      </c>
      <c r="O739" s="986">
        <f t="shared" ref="O739:O741" si="163">L739</f>
        <v>1958042</v>
      </c>
      <c r="P739" s="1023">
        <v>0</v>
      </c>
      <c r="Q739" s="986">
        <v>0</v>
      </c>
      <c r="R739" s="987">
        <v>2017</v>
      </c>
      <c r="S739" s="987">
        <v>2023</v>
      </c>
    </row>
    <row r="740" spans="1:19" ht="40.9" customHeight="1">
      <c r="A740" s="1319">
        <v>233</v>
      </c>
      <c r="B740" s="1204" t="s">
        <v>1572</v>
      </c>
      <c r="C740" s="1009">
        <v>1968</v>
      </c>
      <c r="D740" s="1017"/>
      <c r="E740" s="1319" t="s">
        <v>219</v>
      </c>
      <c r="F740" s="1017">
        <v>5</v>
      </c>
      <c r="G740" s="1017">
        <v>6</v>
      </c>
      <c r="H740" s="1018">
        <v>5788.6</v>
      </c>
      <c r="I740" s="1018">
        <v>4355.8</v>
      </c>
      <c r="J740" s="1018">
        <v>2217.1</v>
      </c>
      <c r="K740" s="1134">
        <v>263</v>
      </c>
      <c r="L740" s="986">
        <v>6279770.8799999999</v>
      </c>
      <c r="M740" s="986">
        <v>0</v>
      </c>
      <c r="N740" s="986">
        <v>0</v>
      </c>
      <c r="O740" s="986">
        <f t="shared" si="163"/>
        <v>6279770.8799999999</v>
      </c>
      <c r="P740" s="1023">
        <v>0</v>
      </c>
      <c r="Q740" s="986">
        <v>0</v>
      </c>
      <c r="R740" s="987">
        <v>2018</v>
      </c>
      <c r="S740" s="987">
        <v>2023</v>
      </c>
    </row>
    <row r="741" spans="1:19" ht="40.9" customHeight="1">
      <c r="A741" s="1319">
        <v>234</v>
      </c>
      <c r="B741" s="1204" t="s">
        <v>1573</v>
      </c>
      <c r="C741" s="1009">
        <v>1967</v>
      </c>
      <c r="D741" s="1017"/>
      <c r="E741" s="1319" t="s">
        <v>219</v>
      </c>
      <c r="F741" s="1017">
        <v>5</v>
      </c>
      <c r="G741" s="1017">
        <v>6</v>
      </c>
      <c r="H741" s="1018">
        <v>5774.2</v>
      </c>
      <c r="I741" s="1018">
        <v>4340.7</v>
      </c>
      <c r="J741" s="1018">
        <v>2339.63</v>
      </c>
      <c r="K741" s="1134">
        <v>255</v>
      </c>
      <c r="L741" s="986">
        <v>6279770.8799999999</v>
      </c>
      <c r="M741" s="986">
        <v>0</v>
      </c>
      <c r="N741" s="986">
        <v>0</v>
      </c>
      <c r="O741" s="986">
        <f t="shared" si="163"/>
        <v>6279770.8799999999</v>
      </c>
      <c r="P741" s="1023">
        <v>0</v>
      </c>
      <c r="Q741" s="986">
        <v>0</v>
      </c>
      <c r="R741" s="987">
        <v>2018</v>
      </c>
      <c r="S741" s="987">
        <v>2023</v>
      </c>
    </row>
    <row r="742" spans="1:19" ht="39.6" customHeight="1">
      <c r="A742" s="1319">
        <v>235</v>
      </c>
      <c r="B742" s="1204" t="s">
        <v>1574</v>
      </c>
      <c r="C742" s="1009">
        <v>1988</v>
      </c>
      <c r="D742" s="1017"/>
      <c r="E742" s="1319" t="s">
        <v>219</v>
      </c>
      <c r="F742" s="1017">
        <v>5</v>
      </c>
      <c r="G742" s="1017">
        <v>6</v>
      </c>
      <c r="H742" s="1018">
        <v>6930.4</v>
      </c>
      <c r="I742" s="1018">
        <v>4094.1</v>
      </c>
      <c r="J742" s="1018">
        <v>2599.39</v>
      </c>
      <c r="K742" s="1134">
        <v>205</v>
      </c>
      <c r="L742" s="986">
        <v>4943532.57</v>
      </c>
      <c r="M742" s="986">
        <v>0</v>
      </c>
      <c r="N742" s="986">
        <v>0</v>
      </c>
      <c r="O742" s="986">
        <v>4943532.57</v>
      </c>
      <c r="P742" s="1023">
        <v>0</v>
      </c>
      <c r="Q742" s="986">
        <v>0</v>
      </c>
      <c r="R742" s="987">
        <v>2020</v>
      </c>
      <c r="S742" s="987">
        <v>2023</v>
      </c>
    </row>
    <row r="743" spans="1:19" ht="39.6" customHeight="1">
      <c r="A743" s="1319">
        <v>236</v>
      </c>
      <c r="B743" s="1204" t="s">
        <v>1575</v>
      </c>
      <c r="C743" s="1009">
        <v>1967</v>
      </c>
      <c r="D743" s="1017"/>
      <c r="E743" s="1319" t="s">
        <v>219</v>
      </c>
      <c r="F743" s="1017">
        <v>5</v>
      </c>
      <c r="G743" s="1017">
        <v>5</v>
      </c>
      <c r="H743" s="1018">
        <v>4774.3999999999996</v>
      </c>
      <c r="I743" s="1018">
        <v>3076.1</v>
      </c>
      <c r="J743" s="1018">
        <v>1861.04</v>
      </c>
      <c r="K743" s="1134">
        <v>162</v>
      </c>
      <c r="L743" s="986">
        <v>4693140.3</v>
      </c>
      <c r="M743" s="986">
        <v>0</v>
      </c>
      <c r="N743" s="986">
        <v>0</v>
      </c>
      <c r="O743" s="986">
        <v>4693140.3</v>
      </c>
      <c r="P743" s="1023">
        <v>0</v>
      </c>
      <c r="Q743" s="986">
        <v>0</v>
      </c>
      <c r="R743" s="987">
        <v>2020</v>
      </c>
      <c r="S743" s="987">
        <v>2023</v>
      </c>
    </row>
    <row r="744" spans="1:19" ht="39.6" customHeight="1">
      <c r="A744" s="1319">
        <v>237</v>
      </c>
      <c r="B744" s="1204" t="s">
        <v>1576</v>
      </c>
      <c r="C744" s="1009">
        <v>2002</v>
      </c>
      <c r="D744" s="1017"/>
      <c r="E744" s="1319" t="s">
        <v>219</v>
      </c>
      <c r="F744" s="1017">
        <v>5</v>
      </c>
      <c r="G744" s="1017">
        <v>3</v>
      </c>
      <c r="H744" s="1018">
        <v>4541.6000000000004</v>
      </c>
      <c r="I744" s="1018">
        <v>3776.8</v>
      </c>
      <c r="J744" s="1018">
        <v>1744.88</v>
      </c>
      <c r="K744" s="1134">
        <v>150</v>
      </c>
      <c r="L744" s="986">
        <v>4083473.54</v>
      </c>
      <c r="M744" s="986">
        <v>0</v>
      </c>
      <c r="N744" s="986">
        <v>0</v>
      </c>
      <c r="O744" s="986">
        <v>4083473.54</v>
      </c>
      <c r="P744" s="1023">
        <v>0</v>
      </c>
      <c r="Q744" s="986">
        <v>0</v>
      </c>
      <c r="R744" s="987">
        <v>2021</v>
      </c>
      <c r="S744" s="987">
        <v>2023</v>
      </c>
    </row>
    <row r="745" spans="1:19" ht="39.6" customHeight="1">
      <c r="A745" s="1319">
        <v>238</v>
      </c>
      <c r="B745" s="1204" t="s">
        <v>1577</v>
      </c>
      <c r="C745" s="1009">
        <v>1972</v>
      </c>
      <c r="D745" s="1017"/>
      <c r="E745" s="1319" t="s">
        <v>219</v>
      </c>
      <c r="F745" s="1017">
        <v>5</v>
      </c>
      <c r="G745" s="1017">
        <v>5</v>
      </c>
      <c r="H745" s="1018">
        <v>6215.1</v>
      </c>
      <c r="I745" s="1018">
        <v>4107.1000000000004</v>
      </c>
      <c r="J745" s="1018">
        <v>3448.8</v>
      </c>
      <c r="K745" s="1134">
        <v>180</v>
      </c>
      <c r="L745" s="986">
        <v>4018427.06</v>
      </c>
      <c r="M745" s="986">
        <v>0</v>
      </c>
      <c r="N745" s="986">
        <v>0</v>
      </c>
      <c r="O745" s="986">
        <v>4018427.06</v>
      </c>
      <c r="P745" s="1023">
        <v>0</v>
      </c>
      <c r="Q745" s="986">
        <v>0</v>
      </c>
      <c r="R745" s="987">
        <v>2021</v>
      </c>
      <c r="S745" s="987">
        <v>2023</v>
      </c>
    </row>
    <row r="746" spans="1:19" ht="42.6" customHeight="1">
      <c r="A746" s="1319">
        <v>239</v>
      </c>
      <c r="B746" s="1204" t="s">
        <v>1578</v>
      </c>
      <c r="C746" s="1009">
        <v>1977</v>
      </c>
      <c r="D746" s="1017"/>
      <c r="E746" s="1319" t="s">
        <v>219</v>
      </c>
      <c r="F746" s="1017">
        <v>5</v>
      </c>
      <c r="G746" s="1017">
        <v>5</v>
      </c>
      <c r="H746" s="1018">
        <v>5296.1</v>
      </c>
      <c r="I746" s="1018">
        <v>3440.9</v>
      </c>
      <c r="J746" s="1018">
        <v>2364.4</v>
      </c>
      <c r="K746" s="1134">
        <v>163</v>
      </c>
      <c r="L746" s="986">
        <v>3642602.95</v>
      </c>
      <c r="M746" s="986">
        <v>0</v>
      </c>
      <c r="N746" s="986">
        <v>0</v>
      </c>
      <c r="O746" s="986">
        <v>3642602.95</v>
      </c>
      <c r="P746" s="1023">
        <v>0</v>
      </c>
      <c r="Q746" s="986">
        <v>0</v>
      </c>
      <c r="R746" s="987">
        <v>2021</v>
      </c>
      <c r="S746" s="987">
        <v>2023</v>
      </c>
    </row>
    <row r="747" spans="1:19" ht="40.9" customHeight="1">
      <c r="A747" s="1319">
        <v>240</v>
      </c>
      <c r="B747" s="1204" t="s">
        <v>1579</v>
      </c>
      <c r="C747" s="1009">
        <v>2000</v>
      </c>
      <c r="D747" s="1017"/>
      <c r="E747" s="1319" t="s">
        <v>222</v>
      </c>
      <c r="F747" s="1017">
        <v>2</v>
      </c>
      <c r="G747" s="1017">
        <v>1</v>
      </c>
      <c r="H747" s="1018">
        <v>1704</v>
      </c>
      <c r="I747" s="1018">
        <v>667.4</v>
      </c>
      <c r="J747" s="1018">
        <v>356.5</v>
      </c>
      <c r="K747" s="1134">
        <v>28</v>
      </c>
      <c r="L747" s="986">
        <v>2532530.52</v>
      </c>
      <c r="M747" s="986">
        <v>0</v>
      </c>
      <c r="N747" s="986">
        <v>0</v>
      </c>
      <c r="O747" s="986">
        <v>2532530.52</v>
      </c>
      <c r="P747" s="1023">
        <v>0</v>
      </c>
      <c r="Q747" s="986">
        <v>0</v>
      </c>
      <c r="R747" s="987">
        <v>2021</v>
      </c>
      <c r="S747" s="987">
        <v>2023</v>
      </c>
    </row>
    <row r="748" spans="1:19" ht="38.450000000000003" customHeight="1">
      <c r="A748" s="1319">
        <v>241</v>
      </c>
      <c r="B748" s="1204" t="s">
        <v>1580</v>
      </c>
      <c r="C748" s="1009">
        <v>1936</v>
      </c>
      <c r="D748" s="1017"/>
      <c r="E748" s="1319" t="s">
        <v>218</v>
      </c>
      <c r="F748" s="1017">
        <v>4</v>
      </c>
      <c r="G748" s="1017">
        <v>4</v>
      </c>
      <c r="H748" s="1018">
        <v>3235.4</v>
      </c>
      <c r="I748" s="1018">
        <v>2570.8000000000002</v>
      </c>
      <c r="J748" s="1018">
        <v>1076.9000000000001</v>
      </c>
      <c r="K748" s="1134">
        <v>78</v>
      </c>
      <c r="L748" s="986">
        <v>4930203.2</v>
      </c>
      <c r="M748" s="986">
        <v>0</v>
      </c>
      <c r="N748" s="986">
        <v>0</v>
      </c>
      <c r="O748" s="986">
        <v>4930203.2</v>
      </c>
      <c r="P748" s="1023">
        <v>0</v>
      </c>
      <c r="Q748" s="986">
        <v>0</v>
      </c>
      <c r="R748" s="987">
        <v>2021</v>
      </c>
      <c r="S748" s="987">
        <v>2023</v>
      </c>
    </row>
    <row r="749" spans="1:19" ht="45" customHeight="1">
      <c r="A749" s="1319">
        <v>242</v>
      </c>
      <c r="B749" s="1204" t="s">
        <v>1581</v>
      </c>
      <c r="C749" s="1009">
        <v>1937</v>
      </c>
      <c r="D749" s="1017"/>
      <c r="E749" s="1319" t="s">
        <v>218</v>
      </c>
      <c r="F749" s="1017">
        <v>4</v>
      </c>
      <c r="G749" s="1017">
        <v>4</v>
      </c>
      <c r="H749" s="1018">
        <v>3100.5</v>
      </c>
      <c r="I749" s="1018">
        <v>2302.1999999999998</v>
      </c>
      <c r="J749" s="1018">
        <v>653.79999999999995</v>
      </c>
      <c r="K749" s="1134">
        <v>80</v>
      </c>
      <c r="L749" s="986">
        <v>4452132.22</v>
      </c>
      <c r="M749" s="986">
        <v>0</v>
      </c>
      <c r="N749" s="986">
        <v>0</v>
      </c>
      <c r="O749" s="986">
        <v>4452132.22</v>
      </c>
      <c r="P749" s="1023">
        <v>0</v>
      </c>
      <c r="Q749" s="986">
        <v>0</v>
      </c>
      <c r="R749" s="987">
        <v>2022</v>
      </c>
      <c r="S749" s="987">
        <v>2023</v>
      </c>
    </row>
    <row r="750" spans="1:19" ht="42.6" customHeight="1">
      <c r="A750" s="1319">
        <v>243</v>
      </c>
      <c r="B750" s="1204" t="s">
        <v>1582</v>
      </c>
      <c r="C750" s="1009">
        <v>1936</v>
      </c>
      <c r="D750" s="1017"/>
      <c r="E750" s="1319" t="s">
        <v>218</v>
      </c>
      <c r="F750" s="1017">
        <v>4</v>
      </c>
      <c r="G750" s="1017">
        <v>4</v>
      </c>
      <c r="H750" s="1018">
        <v>3206.8</v>
      </c>
      <c r="I750" s="1018">
        <v>2598.8000000000002</v>
      </c>
      <c r="J750" s="1018">
        <v>1050.8</v>
      </c>
      <c r="K750" s="1134">
        <v>76</v>
      </c>
      <c r="L750" s="986">
        <v>4980039.4000000004</v>
      </c>
      <c r="M750" s="986">
        <v>0</v>
      </c>
      <c r="N750" s="986">
        <v>0</v>
      </c>
      <c r="O750" s="986">
        <v>4980039.4000000004</v>
      </c>
      <c r="P750" s="1023">
        <v>0</v>
      </c>
      <c r="Q750" s="986">
        <v>0</v>
      </c>
      <c r="R750" s="987">
        <v>2022</v>
      </c>
      <c r="S750" s="987">
        <v>2023</v>
      </c>
    </row>
    <row r="751" spans="1:19" ht="39" customHeight="1">
      <c r="A751" s="1319">
        <v>244</v>
      </c>
      <c r="B751" s="1204" t="s">
        <v>1583</v>
      </c>
      <c r="C751" s="1009">
        <v>1934</v>
      </c>
      <c r="D751" s="1017"/>
      <c r="E751" s="1319" t="s">
        <v>218</v>
      </c>
      <c r="F751" s="1017">
        <v>4</v>
      </c>
      <c r="G751" s="1017">
        <v>4</v>
      </c>
      <c r="H751" s="1018">
        <v>3398.16</v>
      </c>
      <c r="I751" s="1018">
        <v>2544.4</v>
      </c>
      <c r="J751" s="1018">
        <v>1442.3</v>
      </c>
      <c r="K751" s="1134">
        <v>73</v>
      </c>
      <c r="L751" s="986">
        <v>4883214.8899999997</v>
      </c>
      <c r="M751" s="986">
        <v>0</v>
      </c>
      <c r="N751" s="986">
        <v>0</v>
      </c>
      <c r="O751" s="986">
        <v>4883214.8899999997</v>
      </c>
      <c r="P751" s="1023">
        <v>0</v>
      </c>
      <c r="Q751" s="986">
        <v>0</v>
      </c>
      <c r="R751" s="987">
        <v>2022</v>
      </c>
      <c r="S751" s="987">
        <v>2023</v>
      </c>
    </row>
    <row r="752" spans="1:19" ht="40.9" customHeight="1">
      <c r="A752" s="1319"/>
      <c r="B752" s="1313" t="s">
        <v>1054</v>
      </c>
      <c r="C752" s="1321"/>
      <c r="D752" s="1096"/>
      <c r="E752" s="1319"/>
      <c r="F752" s="1321"/>
      <c r="G752" s="1321"/>
      <c r="H752" s="1018">
        <f>H753</f>
        <v>2739.4</v>
      </c>
      <c r="I752" s="1018">
        <f t="shared" ref="I752:Q752" si="164">I753</f>
        <v>2186</v>
      </c>
      <c r="J752" s="1018">
        <f t="shared" si="164"/>
        <v>2042</v>
      </c>
      <c r="K752" s="1018">
        <f t="shared" si="164"/>
        <v>79</v>
      </c>
      <c r="L752" s="1018">
        <f t="shared" si="164"/>
        <v>11459859.27</v>
      </c>
      <c r="M752" s="1018">
        <f t="shared" si="164"/>
        <v>0</v>
      </c>
      <c r="N752" s="1018">
        <f t="shared" si="164"/>
        <v>0</v>
      </c>
      <c r="O752" s="1018">
        <f t="shared" si="164"/>
        <v>11459859.27</v>
      </c>
      <c r="P752" s="1018">
        <f t="shared" si="164"/>
        <v>0</v>
      </c>
      <c r="Q752" s="1018">
        <f t="shared" si="164"/>
        <v>0</v>
      </c>
      <c r="R752" s="991" t="s">
        <v>40</v>
      </c>
      <c r="S752" s="991" t="s">
        <v>40</v>
      </c>
    </row>
    <row r="753" spans="1:19" ht="40.15" customHeight="1">
      <c r="A753" s="1319">
        <v>245</v>
      </c>
      <c r="B753" s="1313" t="s">
        <v>1482</v>
      </c>
      <c r="C753" s="1319">
        <v>1962</v>
      </c>
      <c r="D753" s="1321">
        <v>2012</v>
      </c>
      <c r="E753" s="1319" t="s">
        <v>218</v>
      </c>
      <c r="F753" s="1321">
        <v>4</v>
      </c>
      <c r="G753" s="1321">
        <v>3</v>
      </c>
      <c r="H753" s="985">
        <v>2739.4</v>
      </c>
      <c r="I753" s="985">
        <v>2186</v>
      </c>
      <c r="J753" s="985">
        <v>2042</v>
      </c>
      <c r="K753" s="987">
        <v>79</v>
      </c>
      <c r="L753" s="986">
        <v>11459859.27</v>
      </c>
      <c r="M753" s="986">
        <v>0</v>
      </c>
      <c r="N753" s="986">
        <v>0</v>
      </c>
      <c r="O753" s="986">
        <f>L753</f>
        <v>11459859.27</v>
      </c>
      <c r="P753" s="993">
        <v>0</v>
      </c>
      <c r="Q753" s="986">
        <v>0</v>
      </c>
      <c r="R753" s="987">
        <v>2022</v>
      </c>
      <c r="S753" s="987">
        <v>2023</v>
      </c>
    </row>
    <row r="754" spans="1:19" ht="40.15" customHeight="1">
      <c r="A754" s="1319"/>
      <c r="B754" s="1313" t="s">
        <v>1094</v>
      </c>
      <c r="C754" s="1321"/>
      <c r="D754" s="1096"/>
      <c r="E754" s="1319"/>
      <c r="F754" s="1321"/>
      <c r="G754" s="1321"/>
      <c r="H754" s="985">
        <f>SUM(H755:H762)</f>
        <v>4777.5</v>
      </c>
      <c r="I754" s="985">
        <f t="shared" ref="I754:Q754" si="165">SUM(I755:I762)</f>
        <v>3225.3999999999996</v>
      </c>
      <c r="J754" s="985">
        <f t="shared" si="165"/>
        <v>2950.7000000000003</v>
      </c>
      <c r="K754" s="985">
        <f t="shared" si="165"/>
        <v>143</v>
      </c>
      <c r="L754" s="985">
        <f t="shared" si="165"/>
        <v>17454098.979999997</v>
      </c>
      <c r="M754" s="985">
        <f t="shared" si="165"/>
        <v>0</v>
      </c>
      <c r="N754" s="985">
        <f t="shared" si="165"/>
        <v>0</v>
      </c>
      <c r="O754" s="985">
        <f t="shared" si="165"/>
        <v>17454098.979999997</v>
      </c>
      <c r="P754" s="985">
        <f t="shared" si="165"/>
        <v>0</v>
      </c>
      <c r="Q754" s="985">
        <f t="shared" si="165"/>
        <v>0</v>
      </c>
      <c r="R754" s="991" t="s">
        <v>40</v>
      </c>
      <c r="S754" s="991" t="s">
        <v>40</v>
      </c>
    </row>
    <row r="755" spans="1:19" ht="40.15" customHeight="1">
      <c r="A755" s="1319">
        <v>246</v>
      </c>
      <c r="B755" s="1143" t="s">
        <v>1159</v>
      </c>
      <c r="C755" s="1022">
        <v>1962</v>
      </c>
      <c r="D755" s="1022"/>
      <c r="E755" s="1319" t="s">
        <v>218</v>
      </c>
      <c r="F755" s="1022">
        <v>2</v>
      </c>
      <c r="G755" s="1022">
        <v>1</v>
      </c>
      <c r="H755" s="1025">
        <v>342.6</v>
      </c>
      <c r="I755" s="1025">
        <v>307.39999999999998</v>
      </c>
      <c r="J755" s="1025">
        <v>237.3</v>
      </c>
      <c r="K755" s="1032">
        <v>15</v>
      </c>
      <c r="L755" s="986">
        <v>1473794.61</v>
      </c>
      <c r="M755" s="986">
        <v>0</v>
      </c>
      <c r="N755" s="986">
        <v>0</v>
      </c>
      <c r="O755" s="986">
        <f t="shared" ref="O755" si="166">L755</f>
        <v>1473794.61</v>
      </c>
      <c r="P755" s="1023">
        <v>0</v>
      </c>
      <c r="Q755" s="986">
        <v>0</v>
      </c>
      <c r="R755" s="987">
        <v>2016</v>
      </c>
      <c r="S755" s="987">
        <v>2023</v>
      </c>
    </row>
    <row r="756" spans="1:19" ht="40.15" customHeight="1">
      <c r="A756" s="1319">
        <v>247</v>
      </c>
      <c r="B756" s="1143" t="s">
        <v>1279</v>
      </c>
      <c r="C756" s="1022">
        <v>1967</v>
      </c>
      <c r="D756" s="1022"/>
      <c r="E756" s="1319" t="s">
        <v>218</v>
      </c>
      <c r="F756" s="1022">
        <v>2</v>
      </c>
      <c r="G756" s="1022">
        <v>2</v>
      </c>
      <c r="H756" s="1025">
        <v>563.20000000000005</v>
      </c>
      <c r="I756" s="1025">
        <v>528.4</v>
      </c>
      <c r="J756" s="1025">
        <v>475.3</v>
      </c>
      <c r="K756" s="1032">
        <v>14</v>
      </c>
      <c r="L756" s="986">
        <v>2121307.2200000002</v>
      </c>
      <c r="M756" s="986">
        <v>0</v>
      </c>
      <c r="N756" s="986">
        <v>0</v>
      </c>
      <c r="O756" s="986">
        <f>L756</f>
        <v>2121307.2200000002</v>
      </c>
      <c r="P756" s="1023">
        <v>0</v>
      </c>
      <c r="Q756" s="986">
        <v>0</v>
      </c>
      <c r="R756" s="987">
        <v>2016</v>
      </c>
      <c r="S756" s="987">
        <v>2023</v>
      </c>
    </row>
    <row r="757" spans="1:19" ht="40.15" customHeight="1">
      <c r="A757" s="1319">
        <v>248</v>
      </c>
      <c r="B757" s="1316" t="s">
        <v>1159</v>
      </c>
      <c r="C757" s="1321">
        <v>1962</v>
      </c>
      <c r="D757" s="1321"/>
      <c r="E757" s="1319" t="s">
        <v>218</v>
      </c>
      <c r="F757" s="1321">
        <v>2</v>
      </c>
      <c r="G757" s="1321">
        <v>1</v>
      </c>
      <c r="H757" s="985">
        <v>342.6</v>
      </c>
      <c r="I757" s="985">
        <v>307.39999999999998</v>
      </c>
      <c r="J757" s="985">
        <v>237.3</v>
      </c>
      <c r="K757" s="1030">
        <v>15</v>
      </c>
      <c r="L757" s="986">
        <v>943734.47</v>
      </c>
      <c r="M757" s="986">
        <v>0</v>
      </c>
      <c r="N757" s="986">
        <v>0</v>
      </c>
      <c r="O757" s="986">
        <v>943734.47</v>
      </c>
      <c r="P757" s="993">
        <f>Q757</f>
        <v>0</v>
      </c>
      <c r="Q757" s="986">
        <v>0</v>
      </c>
      <c r="R757" s="987">
        <v>2017</v>
      </c>
      <c r="S757" s="987">
        <v>2023</v>
      </c>
    </row>
    <row r="758" spans="1:19" ht="36" customHeight="1">
      <c r="A758" s="1319">
        <v>249</v>
      </c>
      <c r="B758" s="1316" t="s">
        <v>1280</v>
      </c>
      <c r="C758" s="1321">
        <v>1970</v>
      </c>
      <c r="D758" s="1321"/>
      <c r="E758" s="1319" t="s">
        <v>218</v>
      </c>
      <c r="F758" s="1321">
        <v>2</v>
      </c>
      <c r="G758" s="1321">
        <v>2</v>
      </c>
      <c r="H758" s="985">
        <v>421.4</v>
      </c>
      <c r="I758" s="985">
        <v>373.4</v>
      </c>
      <c r="J758" s="985">
        <v>323.7</v>
      </c>
      <c r="K758" s="1030">
        <v>22</v>
      </c>
      <c r="L758" s="986">
        <v>1679437.55</v>
      </c>
      <c r="M758" s="986">
        <v>0</v>
      </c>
      <c r="N758" s="986">
        <v>0</v>
      </c>
      <c r="O758" s="986">
        <f>L758</f>
        <v>1679437.55</v>
      </c>
      <c r="P758" s="993">
        <v>0</v>
      </c>
      <c r="Q758" s="986">
        <v>0</v>
      </c>
      <c r="R758" s="987">
        <v>2018</v>
      </c>
      <c r="S758" s="987">
        <v>2023</v>
      </c>
    </row>
    <row r="759" spans="1:19" ht="44.45" customHeight="1">
      <c r="A759" s="1319">
        <v>250</v>
      </c>
      <c r="B759" s="1316" t="s">
        <v>1131</v>
      </c>
      <c r="C759" s="1321">
        <v>1981</v>
      </c>
      <c r="D759" s="1321"/>
      <c r="E759" s="1319" t="s">
        <v>218</v>
      </c>
      <c r="F759" s="1321">
        <v>2</v>
      </c>
      <c r="G759" s="1321">
        <v>3</v>
      </c>
      <c r="H759" s="985">
        <v>1440.4</v>
      </c>
      <c r="I759" s="985">
        <v>494.6</v>
      </c>
      <c r="J759" s="985">
        <v>494.6</v>
      </c>
      <c r="K759" s="1030">
        <v>33</v>
      </c>
      <c r="L759" s="986">
        <v>3195065</v>
      </c>
      <c r="M759" s="986">
        <v>0</v>
      </c>
      <c r="N759" s="986">
        <v>0</v>
      </c>
      <c r="O759" s="986">
        <v>3195065</v>
      </c>
      <c r="P759" s="993">
        <v>0</v>
      </c>
      <c r="Q759" s="986">
        <v>0</v>
      </c>
      <c r="R759" s="987">
        <v>2021</v>
      </c>
      <c r="S759" s="987">
        <v>2023</v>
      </c>
    </row>
    <row r="760" spans="1:19" ht="42.6" customHeight="1">
      <c r="A760" s="1319">
        <v>251</v>
      </c>
      <c r="B760" s="1316" t="s">
        <v>1132</v>
      </c>
      <c r="C760" s="1321">
        <v>1969</v>
      </c>
      <c r="D760" s="1321"/>
      <c r="E760" s="1319" t="s">
        <v>218</v>
      </c>
      <c r="F760" s="1321">
        <v>2</v>
      </c>
      <c r="G760" s="1321">
        <v>1</v>
      </c>
      <c r="H760" s="985">
        <v>363.6</v>
      </c>
      <c r="I760" s="985">
        <v>336</v>
      </c>
      <c r="J760" s="985">
        <v>336</v>
      </c>
      <c r="K760" s="1030">
        <v>10</v>
      </c>
      <c r="L760" s="986">
        <v>846151</v>
      </c>
      <c r="M760" s="986">
        <v>0</v>
      </c>
      <c r="N760" s="986">
        <v>0</v>
      </c>
      <c r="O760" s="986">
        <v>846151</v>
      </c>
      <c r="P760" s="993">
        <v>0</v>
      </c>
      <c r="Q760" s="986">
        <v>0</v>
      </c>
      <c r="R760" s="987">
        <v>2021</v>
      </c>
      <c r="S760" s="987">
        <v>2023</v>
      </c>
    </row>
    <row r="761" spans="1:19" ht="42.6" customHeight="1">
      <c r="A761" s="1319">
        <v>252</v>
      </c>
      <c r="B761" s="1316" t="s">
        <v>1148</v>
      </c>
      <c r="C761" s="1321">
        <v>1972</v>
      </c>
      <c r="D761" s="1321"/>
      <c r="E761" s="1319" t="s">
        <v>220</v>
      </c>
      <c r="F761" s="1321">
        <v>2</v>
      </c>
      <c r="G761" s="1321">
        <v>1</v>
      </c>
      <c r="H761" s="985">
        <v>383.9</v>
      </c>
      <c r="I761" s="985">
        <v>351.1</v>
      </c>
      <c r="J761" s="985">
        <v>351.1</v>
      </c>
      <c r="K761" s="1030">
        <v>8</v>
      </c>
      <c r="L761" s="986">
        <v>3182230.96</v>
      </c>
      <c r="M761" s="986">
        <v>0</v>
      </c>
      <c r="N761" s="986">
        <v>0</v>
      </c>
      <c r="O761" s="986">
        <v>3182230.96</v>
      </c>
      <c r="P761" s="993">
        <v>0</v>
      </c>
      <c r="Q761" s="986">
        <v>0</v>
      </c>
      <c r="R761" s="987">
        <v>2022</v>
      </c>
      <c r="S761" s="987">
        <v>2023</v>
      </c>
    </row>
    <row r="762" spans="1:19" ht="40.15" customHeight="1">
      <c r="A762" s="1319">
        <v>253</v>
      </c>
      <c r="B762" s="1316" t="s">
        <v>1149</v>
      </c>
      <c r="C762" s="1321">
        <v>1978</v>
      </c>
      <c r="D762" s="1321"/>
      <c r="E762" s="1319" t="s">
        <v>220</v>
      </c>
      <c r="F762" s="1321">
        <v>2</v>
      </c>
      <c r="G762" s="1321">
        <v>2</v>
      </c>
      <c r="H762" s="985">
        <v>919.8</v>
      </c>
      <c r="I762" s="985">
        <v>527.1</v>
      </c>
      <c r="J762" s="985">
        <v>495.4</v>
      </c>
      <c r="K762" s="1030">
        <v>26</v>
      </c>
      <c r="L762" s="986">
        <v>4012378.17</v>
      </c>
      <c r="M762" s="986">
        <v>0</v>
      </c>
      <c r="N762" s="986">
        <v>0</v>
      </c>
      <c r="O762" s="986">
        <v>4012378.17</v>
      </c>
      <c r="P762" s="993">
        <v>0</v>
      </c>
      <c r="Q762" s="986">
        <v>0</v>
      </c>
      <c r="R762" s="987">
        <v>2022</v>
      </c>
      <c r="S762" s="987">
        <v>2023</v>
      </c>
    </row>
    <row r="763" spans="1:19" ht="40.9" customHeight="1">
      <c r="A763" s="1319"/>
      <c r="B763" s="1316" t="s">
        <v>41</v>
      </c>
      <c r="C763" s="1321"/>
      <c r="D763" s="1096"/>
      <c r="E763" s="1319"/>
      <c r="F763" s="1321"/>
      <c r="G763" s="1321"/>
      <c r="H763" s="985">
        <f>H764+H775</f>
        <v>14097.569999999998</v>
      </c>
      <c r="I763" s="985">
        <f t="shared" ref="I763:Q763" si="167">I764+I775</f>
        <v>12881.47</v>
      </c>
      <c r="J763" s="985">
        <f t="shared" si="167"/>
        <v>10484.17</v>
      </c>
      <c r="K763" s="985">
        <f t="shared" si="167"/>
        <v>519</v>
      </c>
      <c r="L763" s="985">
        <f t="shared" si="167"/>
        <v>39849754.019999996</v>
      </c>
      <c r="M763" s="985">
        <f t="shared" si="167"/>
        <v>0</v>
      </c>
      <c r="N763" s="985">
        <f t="shared" si="167"/>
        <v>0</v>
      </c>
      <c r="O763" s="985">
        <f t="shared" si="167"/>
        <v>39849754.019999996</v>
      </c>
      <c r="P763" s="985">
        <f t="shared" si="167"/>
        <v>0</v>
      </c>
      <c r="Q763" s="985">
        <f t="shared" si="167"/>
        <v>0</v>
      </c>
      <c r="R763" s="991" t="s">
        <v>40</v>
      </c>
      <c r="S763" s="991" t="s">
        <v>40</v>
      </c>
    </row>
    <row r="764" spans="1:19" ht="46.15" customHeight="1">
      <c r="A764" s="1319"/>
      <c r="B764" s="1316" t="s">
        <v>1270</v>
      </c>
      <c r="C764" s="1321"/>
      <c r="D764" s="1096"/>
      <c r="E764" s="1319"/>
      <c r="F764" s="1321"/>
      <c r="G764" s="1321"/>
      <c r="H764" s="1024">
        <f t="shared" ref="H764:Q764" si="168">SUM(H765:H774)</f>
        <v>13033.669999999998</v>
      </c>
      <c r="I764" s="1024">
        <f t="shared" si="168"/>
        <v>11817.57</v>
      </c>
      <c r="J764" s="1024">
        <f t="shared" si="168"/>
        <v>9535.67</v>
      </c>
      <c r="K764" s="1030">
        <f t="shared" si="168"/>
        <v>470</v>
      </c>
      <c r="L764" s="1024">
        <f t="shared" si="168"/>
        <v>37157047.019999996</v>
      </c>
      <c r="M764" s="1024">
        <f t="shared" si="168"/>
        <v>0</v>
      </c>
      <c r="N764" s="1024">
        <f t="shared" si="168"/>
        <v>0</v>
      </c>
      <c r="O764" s="1024">
        <f t="shared" si="168"/>
        <v>37157047.019999996</v>
      </c>
      <c r="P764" s="1024">
        <f t="shared" si="168"/>
        <v>0</v>
      </c>
      <c r="Q764" s="1024">
        <f t="shared" si="168"/>
        <v>0</v>
      </c>
      <c r="R764" s="991" t="s">
        <v>40</v>
      </c>
      <c r="S764" s="991" t="s">
        <v>40</v>
      </c>
    </row>
    <row r="765" spans="1:19" ht="46.15" customHeight="1">
      <c r="A765" s="1021">
        <v>254</v>
      </c>
      <c r="B765" s="1139" t="s">
        <v>827</v>
      </c>
      <c r="C765" s="1017">
        <v>1956</v>
      </c>
      <c r="D765" s="1017">
        <v>1997</v>
      </c>
      <c r="E765" s="1319" t="s">
        <v>218</v>
      </c>
      <c r="F765" s="1017">
        <v>2</v>
      </c>
      <c r="G765" s="1017">
        <v>1</v>
      </c>
      <c r="H765" s="1018">
        <v>960</v>
      </c>
      <c r="I765" s="1018">
        <v>572.1</v>
      </c>
      <c r="J765" s="1018">
        <v>375.8</v>
      </c>
      <c r="K765" s="1008">
        <v>40</v>
      </c>
      <c r="L765" s="1018">
        <v>873523.9</v>
      </c>
      <c r="M765" s="1018">
        <v>0</v>
      </c>
      <c r="N765" s="1018">
        <v>0</v>
      </c>
      <c r="O765" s="1018">
        <v>873523.9</v>
      </c>
      <c r="P765" s="1018">
        <v>0</v>
      </c>
      <c r="Q765" s="1018">
        <v>0</v>
      </c>
      <c r="R765" s="987">
        <v>2018</v>
      </c>
      <c r="S765" s="987">
        <v>2023</v>
      </c>
    </row>
    <row r="766" spans="1:19" ht="46.15" customHeight="1">
      <c r="A766" s="1021">
        <v>255</v>
      </c>
      <c r="B766" s="1139" t="s">
        <v>828</v>
      </c>
      <c r="C766" s="1017">
        <v>1952</v>
      </c>
      <c r="D766" s="1017"/>
      <c r="E766" s="1319" t="s">
        <v>218</v>
      </c>
      <c r="F766" s="1017">
        <v>2</v>
      </c>
      <c r="G766" s="1017">
        <v>2</v>
      </c>
      <c r="H766" s="1018">
        <v>715.8</v>
      </c>
      <c r="I766" s="1018">
        <v>712</v>
      </c>
      <c r="J766" s="1018">
        <v>684.5</v>
      </c>
      <c r="K766" s="1008">
        <v>32</v>
      </c>
      <c r="L766" s="1018">
        <v>1451416.99</v>
      </c>
      <c r="M766" s="1018">
        <v>0</v>
      </c>
      <c r="N766" s="1018">
        <v>0</v>
      </c>
      <c r="O766" s="1018">
        <v>1451416.99</v>
      </c>
      <c r="P766" s="1018">
        <v>0</v>
      </c>
      <c r="Q766" s="1018">
        <v>0</v>
      </c>
      <c r="R766" s="987">
        <v>2018</v>
      </c>
      <c r="S766" s="987">
        <v>2023</v>
      </c>
    </row>
    <row r="767" spans="1:19" ht="46.15" customHeight="1">
      <c r="A767" s="1021">
        <v>256</v>
      </c>
      <c r="B767" s="1139" t="s">
        <v>1453</v>
      </c>
      <c r="C767" s="1017">
        <v>1958</v>
      </c>
      <c r="D767" s="1017"/>
      <c r="E767" s="1009" t="s">
        <v>218</v>
      </c>
      <c r="F767" s="1017">
        <v>3</v>
      </c>
      <c r="G767" s="1017">
        <v>2</v>
      </c>
      <c r="H767" s="1018">
        <v>1118.5999999999999</v>
      </c>
      <c r="I767" s="1018">
        <v>1118.5999999999999</v>
      </c>
      <c r="J767" s="1018">
        <v>1118.5999999999999</v>
      </c>
      <c r="K767" s="1008">
        <v>41</v>
      </c>
      <c r="L767" s="1018">
        <v>2715253.21</v>
      </c>
      <c r="M767" s="1018">
        <v>0</v>
      </c>
      <c r="N767" s="1018">
        <v>0</v>
      </c>
      <c r="O767" s="1018">
        <v>2715253.21</v>
      </c>
      <c r="P767" s="1018">
        <v>0</v>
      </c>
      <c r="Q767" s="1018">
        <v>0</v>
      </c>
      <c r="R767" s="987">
        <v>2020</v>
      </c>
      <c r="S767" s="987">
        <v>2023</v>
      </c>
    </row>
    <row r="768" spans="1:19" ht="40.9" customHeight="1">
      <c r="A768" s="1021">
        <v>257</v>
      </c>
      <c r="B768" s="1139" t="s">
        <v>1454</v>
      </c>
      <c r="C768" s="1017">
        <v>1955</v>
      </c>
      <c r="D768" s="1017"/>
      <c r="E768" s="1319" t="s">
        <v>218</v>
      </c>
      <c r="F768" s="1017">
        <v>2</v>
      </c>
      <c r="G768" s="1017">
        <v>1</v>
      </c>
      <c r="H768" s="1018">
        <v>606</v>
      </c>
      <c r="I768" s="1018">
        <v>606</v>
      </c>
      <c r="J768" s="1018">
        <v>605</v>
      </c>
      <c r="K768" s="1008">
        <v>17</v>
      </c>
      <c r="L768" s="1018">
        <v>634075.98</v>
      </c>
      <c r="M768" s="1018">
        <v>0</v>
      </c>
      <c r="N768" s="1018">
        <v>0</v>
      </c>
      <c r="O768" s="1018">
        <v>634075.98</v>
      </c>
      <c r="P768" s="1018">
        <v>0</v>
      </c>
      <c r="Q768" s="1018">
        <v>0</v>
      </c>
      <c r="R768" s="987">
        <v>2020</v>
      </c>
      <c r="S768" s="987">
        <v>2023</v>
      </c>
    </row>
    <row r="769" spans="1:19" ht="45" customHeight="1">
      <c r="A769" s="1021">
        <v>258</v>
      </c>
      <c r="B769" s="1139" t="s">
        <v>2120</v>
      </c>
      <c r="C769" s="1017">
        <v>1973</v>
      </c>
      <c r="D769" s="1017"/>
      <c r="E769" s="1009" t="s">
        <v>218</v>
      </c>
      <c r="F769" s="1017">
        <v>5</v>
      </c>
      <c r="G769" s="1017">
        <v>4</v>
      </c>
      <c r="H769" s="1018">
        <v>3168.4</v>
      </c>
      <c r="I769" s="1018">
        <v>3168.4</v>
      </c>
      <c r="J769" s="1018">
        <v>1154.5999999999999</v>
      </c>
      <c r="K769" s="1008">
        <v>111</v>
      </c>
      <c r="L769" s="1018">
        <v>6749007.4000000004</v>
      </c>
      <c r="M769" s="1018">
        <v>0</v>
      </c>
      <c r="N769" s="1018">
        <v>0</v>
      </c>
      <c r="O769" s="1018">
        <v>6749007.4000000004</v>
      </c>
      <c r="P769" s="1018">
        <v>0</v>
      </c>
      <c r="Q769" s="1018">
        <v>0</v>
      </c>
      <c r="R769" s="987">
        <v>2021</v>
      </c>
      <c r="S769" s="987">
        <v>2023</v>
      </c>
    </row>
    <row r="770" spans="1:19" ht="42" customHeight="1">
      <c r="A770" s="1021">
        <v>259</v>
      </c>
      <c r="B770" s="1139" t="s">
        <v>1461</v>
      </c>
      <c r="C770" s="1017">
        <v>1965</v>
      </c>
      <c r="D770" s="1017"/>
      <c r="E770" s="1009" t="s">
        <v>218</v>
      </c>
      <c r="F770" s="1017">
        <v>4</v>
      </c>
      <c r="G770" s="1017">
        <v>2</v>
      </c>
      <c r="H770" s="1018">
        <v>1276</v>
      </c>
      <c r="I770" s="1018">
        <v>1276</v>
      </c>
      <c r="J770" s="1018">
        <v>1232.7</v>
      </c>
      <c r="K770" s="1008">
        <v>41</v>
      </c>
      <c r="L770" s="1018">
        <v>5000298.04</v>
      </c>
      <c r="M770" s="1018">
        <v>0</v>
      </c>
      <c r="N770" s="1018">
        <v>0</v>
      </c>
      <c r="O770" s="1018">
        <v>5000298.04</v>
      </c>
      <c r="P770" s="1018">
        <v>0</v>
      </c>
      <c r="Q770" s="1018">
        <v>0</v>
      </c>
      <c r="R770" s="987">
        <v>2022</v>
      </c>
      <c r="S770" s="987">
        <v>2023</v>
      </c>
    </row>
    <row r="771" spans="1:19" ht="42" customHeight="1">
      <c r="A771" s="1021">
        <v>260</v>
      </c>
      <c r="B771" s="1139" t="s">
        <v>1457</v>
      </c>
      <c r="C771" s="1017">
        <v>1969</v>
      </c>
      <c r="D771" s="1017"/>
      <c r="E771" s="1009" t="s">
        <v>220</v>
      </c>
      <c r="F771" s="1017">
        <v>2</v>
      </c>
      <c r="G771" s="1017">
        <v>2</v>
      </c>
      <c r="H771" s="1018">
        <v>624.4</v>
      </c>
      <c r="I771" s="1018">
        <v>624.4</v>
      </c>
      <c r="J771" s="1018">
        <v>624.4</v>
      </c>
      <c r="K771" s="1008">
        <v>28</v>
      </c>
      <c r="L771" s="1018">
        <v>5148593</v>
      </c>
      <c r="M771" s="1018">
        <v>0</v>
      </c>
      <c r="N771" s="1018">
        <v>0</v>
      </c>
      <c r="O771" s="1018">
        <v>5148593</v>
      </c>
      <c r="P771" s="1018">
        <v>0</v>
      </c>
      <c r="Q771" s="1018">
        <v>0</v>
      </c>
      <c r="R771" s="987">
        <v>2022</v>
      </c>
      <c r="S771" s="987">
        <v>2023</v>
      </c>
    </row>
    <row r="772" spans="1:19" ht="42" customHeight="1">
      <c r="A772" s="1021">
        <v>261</v>
      </c>
      <c r="B772" s="1139" t="s">
        <v>1458</v>
      </c>
      <c r="C772" s="1017">
        <v>1959</v>
      </c>
      <c r="D772" s="1017"/>
      <c r="E772" s="1009" t="s">
        <v>218</v>
      </c>
      <c r="F772" s="1017">
        <v>2</v>
      </c>
      <c r="G772" s="1017">
        <v>2</v>
      </c>
      <c r="H772" s="1018">
        <v>698.3</v>
      </c>
      <c r="I772" s="1018">
        <v>649.1</v>
      </c>
      <c r="J772" s="1018">
        <v>649.1</v>
      </c>
      <c r="K772" s="1008">
        <v>29</v>
      </c>
      <c r="L772" s="1018">
        <v>6693171</v>
      </c>
      <c r="M772" s="1018">
        <v>0</v>
      </c>
      <c r="N772" s="1018">
        <v>0</v>
      </c>
      <c r="O772" s="1018">
        <v>6693171</v>
      </c>
      <c r="P772" s="1018">
        <v>0</v>
      </c>
      <c r="Q772" s="1018">
        <v>0</v>
      </c>
      <c r="R772" s="987">
        <v>2022</v>
      </c>
      <c r="S772" s="987">
        <v>2023</v>
      </c>
    </row>
    <row r="773" spans="1:19" ht="42" customHeight="1">
      <c r="A773" s="1021">
        <v>262</v>
      </c>
      <c r="B773" s="1139" t="s">
        <v>1459</v>
      </c>
      <c r="C773" s="1017">
        <v>1960</v>
      </c>
      <c r="D773" s="1017"/>
      <c r="E773" s="1319" t="s">
        <v>222</v>
      </c>
      <c r="F773" s="1017">
        <v>2</v>
      </c>
      <c r="G773" s="1017">
        <v>2</v>
      </c>
      <c r="H773" s="1018">
        <v>351.57</v>
      </c>
      <c r="I773" s="1018">
        <v>351.57</v>
      </c>
      <c r="J773" s="1018">
        <v>351.57</v>
      </c>
      <c r="K773" s="1008">
        <v>21</v>
      </c>
      <c r="L773" s="1018">
        <v>2701628.34</v>
      </c>
      <c r="M773" s="1018">
        <v>0</v>
      </c>
      <c r="N773" s="1018">
        <v>0</v>
      </c>
      <c r="O773" s="1018">
        <v>2701628.34</v>
      </c>
      <c r="P773" s="1018">
        <v>0</v>
      </c>
      <c r="Q773" s="1018">
        <v>0</v>
      </c>
      <c r="R773" s="987">
        <v>2022</v>
      </c>
      <c r="S773" s="987">
        <v>2023</v>
      </c>
    </row>
    <row r="774" spans="1:19" ht="42" customHeight="1">
      <c r="A774" s="1021">
        <v>263</v>
      </c>
      <c r="B774" s="1139" t="s">
        <v>1460</v>
      </c>
      <c r="C774" s="1017">
        <v>1981</v>
      </c>
      <c r="D774" s="1017"/>
      <c r="E774" s="1319" t="s">
        <v>219</v>
      </c>
      <c r="F774" s="1017">
        <v>5</v>
      </c>
      <c r="G774" s="1017">
        <v>4</v>
      </c>
      <c r="H774" s="1018">
        <v>3514.6</v>
      </c>
      <c r="I774" s="1018">
        <v>2739.4</v>
      </c>
      <c r="J774" s="1018">
        <v>2739.4</v>
      </c>
      <c r="K774" s="1008">
        <v>110</v>
      </c>
      <c r="L774" s="1018">
        <v>5190079.16</v>
      </c>
      <c r="M774" s="1018">
        <v>0</v>
      </c>
      <c r="N774" s="1018">
        <v>0</v>
      </c>
      <c r="O774" s="1018">
        <v>5190079.16</v>
      </c>
      <c r="P774" s="1018">
        <v>0</v>
      </c>
      <c r="Q774" s="1018">
        <v>0</v>
      </c>
      <c r="R774" s="987">
        <v>2022</v>
      </c>
      <c r="S774" s="987">
        <v>2023</v>
      </c>
    </row>
    <row r="775" spans="1:19" ht="42" customHeight="1">
      <c r="A775" s="1009"/>
      <c r="B775" s="1429" t="s">
        <v>2049</v>
      </c>
      <c r="C775" s="1426"/>
      <c r="D775" s="1426"/>
      <c r="E775" s="1426"/>
      <c r="F775" s="1426"/>
      <c r="G775" s="1426"/>
      <c r="H775" s="1024">
        <f>H776</f>
        <v>1063.9000000000001</v>
      </c>
      <c r="I775" s="1024">
        <f t="shared" ref="I775:Q775" si="169">I776</f>
        <v>1063.9000000000001</v>
      </c>
      <c r="J775" s="1024">
        <f t="shared" si="169"/>
        <v>948.5</v>
      </c>
      <c r="K775" s="1030">
        <f t="shared" si="169"/>
        <v>49</v>
      </c>
      <c r="L775" s="1024">
        <f t="shared" si="169"/>
        <v>2692707</v>
      </c>
      <c r="M775" s="1024">
        <f t="shared" si="169"/>
        <v>0</v>
      </c>
      <c r="N775" s="1024">
        <f t="shared" si="169"/>
        <v>0</v>
      </c>
      <c r="O775" s="1024">
        <f t="shared" si="169"/>
        <v>2692707</v>
      </c>
      <c r="P775" s="1024">
        <f t="shared" si="169"/>
        <v>0</v>
      </c>
      <c r="Q775" s="1024">
        <f t="shared" si="169"/>
        <v>0</v>
      </c>
      <c r="R775" s="991" t="s">
        <v>40</v>
      </c>
      <c r="S775" s="1006" t="s">
        <v>40</v>
      </c>
    </row>
    <row r="776" spans="1:19" ht="42" customHeight="1">
      <c r="A776" s="1009">
        <v>264</v>
      </c>
      <c r="B776" s="1315" t="s">
        <v>2050</v>
      </c>
      <c r="C776" s="1321">
        <v>1988</v>
      </c>
      <c r="D776" s="1321"/>
      <c r="E776" s="1319" t="s">
        <v>218</v>
      </c>
      <c r="F776" s="1321">
        <v>2</v>
      </c>
      <c r="G776" s="1321">
        <v>3</v>
      </c>
      <c r="H776" s="1024">
        <v>1063.9000000000001</v>
      </c>
      <c r="I776" s="1024">
        <v>1063.9000000000001</v>
      </c>
      <c r="J776" s="1024">
        <v>948.5</v>
      </c>
      <c r="K776" s="1030">
        <v>49</v>
      </c>
      <c r="L776" s="1024">
        <v>2692707</v>
      </c>
      <c r="M776" s="1024">
        <v>0</v>
      </c>
      <c r="N776" s="1024">
        <v>0</v>
      </c>
      <c r="O776" s="1024">
        <v>2692707</v>
      </c>
      <c r="P776" s="1024">
        <v>0</v>
      </c>
      <c r="Q776" s="1024">
        <v>0</v>
      </c>
      <c r="R776" s="1321">
        <v>2022</v>
      </c>
      <c r="S776" s="1321">
        <v>2022</v>
      </c>
    </row>
    <row r="777" spans="1:19" ht="42" customHeight="1">
      <c r="A777" s="1319"/>
      <c r="B777" s="1313" t="s">
        <v>1237</v>
      </c>
      <c r="C777" s="1321"/>
      <c r="D777" s="1096"/>
      <c r="E777" s="1319"/>
      <c r="F777" s="1321"/>
      <c r="G777" s="1321"/>
      <c r="H777" s="985">
        <f>SUM(H778:H787)</f>
        <v>5046.7</v>
      </c>
      <c r="I777" s="985">
        <f t="shared" ref="I777:Q777" si="170">SUM(I778:I787)</f>
        <v>3758.5000000000005</v>
      </c>
      <c r="J777" s="985">
        <f t="shared" si="170"/>
        <v>2959.6000000000004</v>
      </c>
      <c r="K777" s="985">
        <f t="shared" si="170"/>
        <v>172</v>
      </c>
      <c r="L777" s="985">
        <f t="shared" si="170"/>
        <v>5829116.3200000003</v>
      </c>
      <c r="M777" s="985">
        <f t="shared" si="170"/>
        <v>0</v>
      </c>
      <c r="N777" s="985">
        <f t="shared" si="170"/>
        <v>0</v>
      </c>
      <c r="O777" s="985">
        <f t="shared" si="170"/>
        <v>5829116.3200000003</v>
      </c>
      <c r="P777" s="985">
        <f t="shared" si="170"/>
        <v>0</v>
      </c>
      <c r="Q777" s="985">
        <f t="shared" si="170"/>
        <v>0</v>
      </c>
      <c r="R777" s="991" t="s">
        <v>40</v>
      </c>
      <c r="S777" s="991" t="s">
        <v>40</v>
      </c>
    </row>
    <row r="778" spans="1:19" ht="42" customHeight="1">
      <c r="A778" s="1319">
        <v>265</v>
      </c>
      <c r="B778" s="1146" t="s">
        <v>1242</v>
      </c>
      <c r="C778" s="1009">
        <v>1970</v>
      </c>
      <c r="D778" s="1009"/>
      <c r="E778" s="1319" t="s">
        <v>218</v>
      </c>
      <c r="F778" s="1321">
        <v>2</v>
      </c>
      <c r="G778" s="1321">
        <v>1</v>
      </c>
      <c r="H778" s="1023">
        <v>661.1</v>
      </c>
      <c r="I778" s="1023">
        <v>539.79999999999995</v>
      </c>
      <c r="J778" s="1023">
        <v>401.1</v>
      </c>
      <c r="K778" s="1134">
        <v>19</v>
      </c>
      <c r="L778" s="1023">
        <v>372773.9</v>
      </c>
      <c r="M778" s="986">
        <v>0</v>
      </c>
      <c r="N778" s="986">
        <v>0</v>
      </c>
      <c r="O778" s="1023">
        <v>372773.9</v>
      </c>
      <c r="P778" s="993">
        <f t="shared" ref="P778:P779" si="171">Q778</f>
        <v>0</v>
      </c>
      <c r="Q778" s="986">
        <v>0</v>
      </c>
      <c r="R778" s="987">
        <v>2022</v>
      </c>
      <c r="S778" s="987">
        <v>2023</v>
      </c>
    </row>
    <row r="779" spans="1:19" ht="42" customHeight="1">
      <c r="A779" s="1319">
        <v>266</v>
      </c>
      <c r="B779" s="1146" t="s">
        <v>2121</v>
      </c>
      <c r="C779" s="1009">
        <v>1990</v>
      </c>
      <c r="D779" s="1009"/>
      <c r="E779" s="1319" t="s">
        <v>218</v>
      </c>
      <c r="F779" s="1321">
        <v>2</v>
      </c>
      <c r="G779" s="1321">
        <v>2</v>
      </c>
      <c r="H779" s="1023">
        <v>771</v>
      </c>
      <c r="I779" s="1023">
        <v>449.7</v>
      </c>
      <c r="J779" s="1023">
        <v>288.8</v>
      </c>
      <c r="K779" s="1134">
        <v>23</v>
      </c>
      <c r="L779" s="1023">
        <v>422490.54</v>
      </c>
      <c r="M779" s="986">
        <v>0</v>
      </c>
      <c r="N779" s="986">
        <v>0</v>
      </c>
      <c r="O779" s="1023">
        <v>422490.54</v>
      </c>
      <c r="P779" s="993">
        <f t="shared" si="171"/>
        <v>0</v>
      </c>
      <c r="Q779" s="986">
        <v>0</v>
      </c>
      <c r="R779" s="987">
        <v>2022</v>
      </c>
      <c r="S779" s="987">
        <v>2023</v>
      </c>
    </row>
    <row r="780" spans="1:19" ht="42" customHeight="1">
      <c r="A780" s="1319">
        <v>267</v>
      </c>
      <c r="B780" s="1146" t="s">
        <v>2122</v>
      </c>
      <c r="C780" s="1009">
        <v>1940</v>
      </c>
      <c r="D780" s="1009">
        <v>1975</v>
      </c>
      <c r="E780" s="1319" t="s">
        <v>218</v>
      </c>
      <c r="F780" s="1321">
        <v>2</v>
      </c>
      <c r="G780" s="1321">
        <v>1</v>
      </c>
      <c r="H780" s="1023">
        <v>260.10000000000002</v>
      </c>
      <c r="I780" s="1023">
        <v>248.8</v>
      </c>
      <c r="J780" s="1023">
        <v>151.30000000000001</v>
      </c>
      <c r="K780" s="1134">
        <v>8</v>
      </c>
      <c r="L780" s="1023">
        <v>1988195.41</v>
      </c>
      <c r="M780" s="986">
        <v>0</v>
      </c>
      <c r="N780" s="986">
        <v>0</v>
      </c>
      <c r="O780" s="1023">
        <v>1988195.41</v>
      </c>
      <c r="P780" s="993">
        <f t="shared" ref="P780:P784" si="172">Q780</f>
        <v>0</v>
      </c>
      <c r="Q780" s="986">
        <v>0</v>
      </c>
      <c r="R780" s="987">
        <v>2022</v>
      </c>
      <c r="S780" s="987">
        <v>2023</v>
      </c>
    </row>
    <row r="781" spans="1:19" ht="42.6" customHeight="1">
      <c r="A781" s="1319">
        <v>268</v>
      </c>
      <c r="B781" s="1146" t="s">
        <v>2123</v>
      </c>
      <c r="C781" s="1009">
        <v>1962</v>
      </c>
      <c r="D781" s="1009"/>
      <c r="E781" s="1319" t="s">
        <v>218</v>
      </c>
      <c r="F781" s="1321">
        <v>2</v>
      </c>
      <c r="G781" s="1321">
        <v>3</v>
      </c>
      <c r="H781" s="1023">
        <v>466.9</v>
      </c>
      <c r="I781" s="1023">
        <v>386.7</v>
      </c>
      <c r="J781" s="1023">
        <v>305.3</v>
      </c>
      <c r="K781" s="1134">
        <v>18</v>
      </c>
      <c r="L781" s="1023">
        <v>286827.58</v>
      </c>
      <c r="M781" s="986">
        <v>0</v>
      </c>
      <c r="N781" s="986">
        <v>0</v>
      </c>
      <c r="O781" s="1023">
        <v>286827.58</v>
      </c>
      <c r="P781" s="993">
        <f t="shared" si="172"/>
        <v>0</v>
      </c>
      <c r="Q781" s="986">
        <v>0</v>
      </c>
      <c r="R781" s="987">
        <v>2022</v>
      </c>
      <c r="S781" s="987">
        <v>2023</v>
      </c>
    </row>
    <row r="782" spans="1:19" ht="41.45" customHeight="1">
      <c r="A782" s="1319">
        <v>269</v>
      </c>
      <c r="B782" s="1146" t="s">
        <v>2124</v>
      </c>
      <c r="C782" s="1009">
        <v>1940</v>
      </c>
      <c r="D782" s="1009"/>
      <c r="E782" s="1319" t="s">
        <v>218</v>
      </c>
      <c r="F782" s="1321">
        <v>2</v>
      </c>
      <c r="G782" s="1321">
        <v>1</v>
      </c>
      <c r="H782" s="1023">
        <v>266</v>
      </c>
      <c r="I782" s="1023">
        <v>153.9</v>
      </c>
      <c r="J782" s="1023">
        <v>153.9</v>
      </c>
      <c r="K782" s="1134">
        <v>15</v>
      </c>
      <c r="L782" s="1023">
        <v>144588.16</v>
      </c>
      <c r="M782" s="986">
        <v>0</v>
      </c>
      <c r="N782" s="986">
        <v>0</v>
      </c>
      <c r="O782" s="1023">
        <v>144588.16</v>
      </c>
      <c r="P782" s="993">
        <f t="shared" si="172"/>
        <v>0</v>
      </c>
      <c r="Q782" s="986">
        <v>0</v>
      </c>
      <c r="R782" s="987">
        <v>2022</v>
      </c>
      <c r="S782" s="987">
        <v>2023</v>
      </c>
    </row>
    <row r="783" spans="1:19" ht="40.9" customHeight="1">
      <c r="A783" s="1319">
        <v>270</v>
      </c>
      <c r="B783" s="1146" t="s">
        <v>2125</v>
      </c>
      <c r="C783" s="1009">
        <v>1946</v>
      </c>
      <c r="D783" s="1009"/>
      <c r="E783" s="1319" t="s">
        <v>218</v>
      </c>
      <c r="F783" s="1321">
        <v>2</v>
      </c>
      <c r="G783" s="1321">
        <v>1</v>
      </c>
      <c r="H783" s="1023">
        <v>362.9</v>
      </c>
      <c r="I783" s="1023">
        <v>247.4</v>
      </c>
      <c r="J783" s="1023">
        <v>159.80000000000001</v>
      </c>
      <c r="K783" s="1134">
        <v>15</v>
      </c>
      <c r="L783" s="1023">
        <v>229600.59</v>
      </c>
      <c r="M783" s="986">
        <v>0</v>
      </c>
      <c r="N783" s="986">
        <v>0</v>
      </c>
      <c r="O783" s="1023">
        <v>229600.59</v>
      </c>
      <c r="P783" s="993">
        <f t="shared" si="172"/>
        <v>0</v>
      </c>
      <c r="Q783" s="986">
        <v>0</v>
      </c>
      <c r="R783" s="987">
        <v>2022</v>
      </c>
      <c r="S783" s="987">
        <v>2023</v>
      </c>
    </row>
    <row r="784" spans="1:19" ht="43.15" customHeight="1">
      <c r="A784" s="1319">
        <v>271</v>
      </c>
      <c r="B784" s="1205" t="s">
        <v>2126</v>
      </c>
      <c r="C784" s="1009">
        <v>1940</v>
      </c>
      <c r="D784" s="1009"/>
      <c r="E784" s="1319" t="s">
        <v>218</v>
      </c>
      <c r="F784" s="1321">
        <v>2</v>
      </c>
      <c r="G784" s="1321">
        <v>1</v>
      </c>
      <c r="H784" s="1023">
        <v>266</v>
      </c>
      <c r="I784" s="1023">
        <v>153.9</v>
      </c>
      <c r="J784" s="1023">
        <v>153.9</v>
      </c>
      <c r="K784" s="1134">
        <v>15</v>
      </c>
      <c r="L784" s="1023">
        <v>901836.45</v>
      </c>
      <c r="M784" s="986">
        <v>0</v>
      </c>
      <c r="N784" s="986">
        <v>0</v>
      </c>
      <c r="O784" s="1023">
        <v>901836.45</v>
      </c>
      <c r="P784" s="993">
        <f t="shared" si="172"/>
        <v>0</v>
      </c>
      <c r="Q784" s="986">
        <v>0</v>
      </c>
      <c r="R784" s="987">
        <v>2022</v>
      </c>
      <c r="S784" s="987">
        <v>2023</v>
      </c>
    </row>
    <row r="785" spans="1:19" ht="42" customHeight="1">
      <c r="A785" s="1319">
        <v>272</v>
      </c>
      <c r="B785" s="1146" t="s">
        <v>1392</v>
      </c>
      <c r="C785" s="1009">
        <v>1941</v>
      </c>
      <c r="D785" s="1009"/>
      <c r="E785" s="1319" t="s">
        <v>218</v>
      </c>
      <c r="F785" s="1321">
        <v>2</v>
      </c>
      <c r="G785" s="1321">
        <v>2</v>
      </c>
      <c r="H785" s="1023">
        <v>862.7</v>
      </c>
      <c r="I785" s="1023">
        <v>724.2</v>
      </c>
      <c r="J785" s="1023">
        <v>668.5</v>
      </c>
      <c r="K785" s="1134">
        <v>24</v>
      </c>
      <c r="L785" s="1023">
        <v>680381.7</v>
      </c>
      <c r="M785" s="986">
        <v>0</v>
      </c>
      <c r="N785" s="986">
        <v>0</v>
      </c>
      <c r="O785" s="1023">
        <v>680381.7</v>
      </c>
      <c r="P785" s="993">
        <f t="shared" ref="P785" si="173">Q785</f>
        <v>0</v>
      </c>
      <c r="Q785" s="986">
        <v>0</v>
      </c>
      <c r="R785" s="987">
        <v>2022</v>
      </c>
      <c r="S785" s="987">
        <v>2023</v>
      </c>
    </row>
    <row r="786" spans="1:19" ht="40.9" customHeight="1">
      <c r="A786" s="1319">
        <v>273</v>
      </c>
      <c r="B786" s="1146" t="s">
        <v>2127</v>
      </c>
      <c r="C786" s="1009">
        <v>1971</v>
      </c>
      <c r="D786" s="1009"/>
      <c r="E786" s="1319" t="s">
        <v>218</v>
      </c>
      <c r="F786" s="1321">
        <v>2</v>
      </c>
      <c r="G786" s="1321">
        <v>1</v>
      </c>
      <c r="H786" s="1023">
        <v>352.3</v>
      </c>
      <c r="I786" s="1023">
        <v>216.6</v>
      </c>
      <c r="J786" s="1023">
        <v>216.6</v>
      </c>
      <c r="K786" s="1134">
        <v>12</v>
      </c>
      <c r="L786" s="1023">
        <v>203494.44</v>
      </c>
      <c r="M786" s="986">
        <v>0</v>
      </c>
      <c r="N786" s="986">
        <v>0</v>
      </c>
      <c r="O786" s="1023">
        <v>203494.44</v>
      </c>
      <c r="P786" s="993">
        <v>0</v>
      </c>
      <c r="Q786" s="986">
        <v>0</v>
      </c>
      <c r="R786" s="987">
        <v>2022</v>
      </c>
      <c r="S786" s="987">
        <v>2023</v>
      </c>
    </row>
    <row r="787" spans="1:19" ht="39.6" customHeight="1">
      <c r="A787" s="1319">
        <v>274</v>
      </c>
      <c r="B787" s="1146" t="s">
        <v>2128</v>
      </c>
      <c r="C787" s="1009">
        <v>1973</v>
      </c>
      <c r="D787" s="1009"/>
      <c r="E787" s="1319" t="s">
        <v>218</v>
      </c>
      <c r="F787" s="1321">
        <v>2</v>
      </c>
      <c r="G787" s="1321">
        <v>2</v>
      </c>
      <c r="H787" s="1023">
        <v>777.7</v>
      </c>
      <c r="I787" s="1023">
        <v>637.5</v>
      </c>
      <c r="J787" s="1023">
        <v>460.4</v>
      </c>
      <c r="K787" s="1134">
        <v>23</v>
      </c>
      <c r="L787" s="1023">
        <v>598927.55000000005</v>
      </c>
      <c r="M787" s="986">
        <v>0</v>
      </c>
      <c r="N787" s="986">
        <v>0</v>
      </c>
      <c r="O787" s="1023">
        <v>598927.55000000005</v>
      </c>
      <c r="P787" s="993">
        <v>0</v>
      </c>
      <c r="Q787" s="986">
        <v>0</v>
      </c>
      <c r="R787" s="987">
        <v>2022</v>
      </c>
      <c r="S787" s="987">
        <v>2023</v>
      </c>
    </row>
    <row r="788" spans="1:19" ht="39.6" customHeight="1">
      <c r="A788" s="1319"/>
      <c r="B788" s="1313" t="s">
        <v>43</v>
      </c>
      <c r="C788" s="1321"/>
      <c r="D788" s="1096"/>
      <c r="E788" s="1319"/>
      <c r="F788" s="1321"/>
      <c r="G788" s="1321"/>
      <c r="H788" s="985">
        <f>H789+H810</f>
        <v>42295.69</v>
      </c>
      <c r="I788" s="985">
        <f t="shared" ref="I788:Q788" si="174">I789+I810</f>
        <v>32546.1</v>
      </c>
      <c r="J788" s="985">
        <f t="shared" si="174"/>
        <v>28973.5</v>
      </c>
      <c r="K788" s="985">
        <f t="shared" si="174"/>
        <v>1367</v>
      </c>
      <c r="L788" s="985">
        <f t="shared" si="174"/>
        <v>57184535.030000001</v>
      </c>
      <c r="M788" s="985">
        <f t="shared" si="174"/>
        <v>0</v>
      </c>
      <c r="N788" s="985">
        <f t="shared" si="174"/>
        <v>0</v>
      </c>
      <c r="O788" s="985">
        <f t="shared" si="174"/>
        <v>57184535.030000001</v>
      </c>
      <c r="P788" s="985">
        <f t="shared" si="174"/>
        <v>0</v>
      </c>
      <c r="Q788" s="985">
        <f t="shared" si="174"/>
        <v>0</v>
      </c>
      <c r="R788" s="991" t="s">
        <v>40</v>
      </c>
      <c r="S788" s="991" t="s">
        <v>40</v>
      </c>
    </row>
    <row r="789" spans="1:19" ht="38.450000000000003" customHeight="1">
      <c r="A789" s="1319"/>
      <c r="B789" s="1316" t="s">
        <v>1281</v>
      </c>
      <c r="C789" s="1321"/>
      <c r="D789" s="1096"/>
      <c r="E789" s="1319"/>
      <c r="F789" s="1321"/>
      <c r="G789" s="1321"/>
      <c r="H789" s="985">
        <f>SUM(H790:H809)</f>
        <v>36403.39</v>
      </c>
      <c r="I789" s="985">
        <f t="shared" ref="I789:Q789" si="175">SUM(I790:I809)</f>
        <v>26978.3</v>
      </c>
      <c r="J789" s="985">
        <f t="shared" si="175"/>
        <v>24711.1</v>
      </c>
      <c r="K789" s="985">
        <f t="shared" si="175"/>
        <v>1168</v>
      </c>
      <c r="L789" s="985">
        <f t="shared" si="175"/>
        <v>54667477.030000001</v>
      </c>
      <c r="M789" s="985">
        <f t="shared" si="175"/>
        <v>0</v>
      </c>
      <c r="N789" s="985">
        <f t="shared" si="175"/>
        <v>0</v>
      </c>
      <c r="O789" s="985">
        <f t="shared" si="175"/>
        <v>54667477.030000001</v>
      </c>
      <c r="P789" s="985">
        <f t="shared" si="175"/>
        <v>0</v>
      </c>
      <c r="Q789" s="985">
        <f t="shared" si="175"/>
        <v>0</v>
      </c>
      <c r="R789" s="991" t="s">
        <v>40</v>
      </c>
      <c r="S789" s="991" t="s">
        <v>40</v>
      </c>
    </row>
    <row r="790" spans="1:19" ht="40.9" customHeight="1">
      <c r="A790" s="1319">
        <v>275</v>
      </c>
      <c r="B790" s="1143" t="s">
        <v>1612</v>
      </c>
      <c r="C790" s="1022">
        <v>1960</v>
      </c>
      <c r="D790" s="1021"/>
      <c r="E790" s="1319" t="s">
        <v>218</v>
      </c>
      <c r="F790" s="1022">
        <v>4</v>
      </c>
      <c r="G790" s="1021">
        <v>6</v>
      </c>
      <c r="H790" s="1157">
        <v>6684.68</v>
      </c>
      <c r="I790" s="1157">
        <v>4253.5</v>
      </c>
      <c r="J790" s="1157">
        <v>3347</v>
      </c>
      <c r="K790" s="1156">
        <v>353</v>
      </c>
      <c r="L790" s="986">
        <v>7570644.7199999997</v>
      </c>
      <c r="M790" s="986">
        <v>0</v>
      </c>
      <c r="N790" s="986">
        <v>0</v>
      </c>
      <c r="O790" s="986">
        <f t="shared" ref="O790:O795" si="176">L790</f>
        <v>7570644.7199999997</v>
      </c>
      <c r="P790" s="1023">
        <v>0</v>
      </c>
      <c r="Q790" s="986">
        <v>0</v>
      </c>
      <c r="R790" s="987">
        <v>2017</v>
      </c>
      <c r="S790" s="987">
        <v>2023</v>
      </c>
    </row>
    <row r="791" spans="1:19" ht="40.9" customHeight="1">
      <c r="A791" s="1319">
        <v>276</v>
      </c>
      <c r="B791" s="1316" t="s">
        <v>1614</v>
      </c>
      <c r="C791" s="1319">
        <v>1992</v>
      </c>
      <c r="D791" s="1316"/>
      <c r="E791" s="1319" t="s">
        <v>218</v>
      </c>
      <c r="F791" s="1321">
        <v>3</v>
      </c>
      <c r="G791" s="1321">
        <v>3</v>
      </c>
      <c r="H791" s="986">
        <v>1573.9</v>
      </c>
      <c r="I791" s="986">
        <v>1440.7</v>
      </c>
      <c r="J791" s="986">
        <v>1387.7</v>
      </c>
      <c r="K791" s="1030">
        <v>69</v>
      </c>
      <c r="L791" s="986">
        <v>1082991.2</v>
      </c>
      <c r="M791" s="986">
        <v>0</v>
      </c>
      <c r="N791" s="986">
        <v>0</v>
      </c>
      <c r="O791" s="986">
        <f t="shared" si="176"/>
        <v>1082991.2</v>
      </c>
      <c r="P791" s="1023">
        <v>0</v>
      </c>
      <c r="Q791" s="986">
        <v>0</v>
      </c>
      <c r="R791" s="987">
        <v>2017</v>
      </c>
      <c r="S791" s="987">
        <v>2023</v>
      </c>
    </row>
    <row r="792" spans="1:19" ht="40.9" customHeight="1">
      <c r="A792" s="1319">
        <v>277</v>
      </c>
      <c r="B792" s="1316" t="s">
        <v>1615</v>
      </c>
      <c r="C792" s="1319">
        <v>1980</v>
      </c>
      <c r="D792" s="1316"/>
      <c r="E792" s="1319" t="s">
        <v>221</v>
      </c>
      <c r="F792" s="1321">
        <v>2</v>
      </c>
      <c r="G792" s="1321">
        <v>2</v>
      </c>
      <c r="H792" s="986">
        <v>509.8</v>
      </c>
      <c r="I792" s="986">
        <v>383</v>
      </c>
      <c r="J792" s="986">
        <v>383</v>
      </c>
      <c r="K792" s="1030">
        <v>12</v>
      </c>
      <c r="L792" s="986">
        <v>1100148.81</v>
      </c>
      <c r="M792" s="986">
        <v>0</v>
      </c>
      <c r="N792" s="986">
        <v>0</v>
      </c>
      <c r="O792" s="986">
        <f t="shared" si="176"/>
        <v>1100148.81</v>
      </c>
      <c r="P792" s="1023">
        <v>0</v>
      </c>
      <c r="Q792" s="986">
        <v>0</v>
      </c>
      <c r="R792" s="987">
        <v>2017</v>
      </c>
      <c r="S792" s="987">
        <v>2023</v>
      </c>
    </row>
    <row r="793" spans="1:19" ht="40.9" customHeight="1">
      <c r="A793" s="1319">
        <v>278</v>
      </c>
      <c r="B793" s="1316" t="s">
        <v>1613</v>
      </c>
      <c r="C793" s="1319">
        <v>1950</v>
      </c>
      <c r="D793" s="1319"/>
      <c r="E793" s="1319" t="s">
        <v>218</v>
      </c>
      <c r="F793" s="1321">
        <v>4</v>
      </c>
      <c r="G793" s="1321">
        <v>4</v>
      </c>
      <c r="H793" s="986">
        <v>2412.37</v>
      </c>
      <c r="I793" s="986">
        <v>1680.1</v>
      </c>
      <c r="J793" s="986">
        <v>1237.8</v>
      </c>
      <c r="K793" s="1030">
        <v>37</v>
      </c>
      <c r="L793" s="986">
        <v>6192213</v>
      </c>
      <c r="M793" s="986">
        <v>0</v>
      </c>
      <c r="N793" s="986">
        <v>0</v>
      </c>
      <c r="O793" s="986">
        <v>6192213</v>
      </c>
      <c r="P793" s="1023">
        <v>0</v>
      </c>
      <c r="Q793" s="986">
        <v>0</v>
      </c>
      <c r="R793" s="987">
        <v>2018</v>
      </c>
      <c r="S793" s="987">
        <v>2023</v>
      </c>
    </row>
    <row r="794" spans="1:19" ht="40.9" customHeight="1">
      <c r="A794" s="1319">
        <v>279</v>
      </c>
      <c r="B794" s="1316" t="s">
        <v>1622</v>
      </c>
      <c r="C794" s="1319">
        <v>1967</v>
      </c>
      <c r="D794" s="1319"/>
      <c r="E794" s="1319" t="s">
        <v>218</v>
      </c>
      <c r="F794" s="1321">
        <v>5</v>
      </c>
      <c r="G794" s="1321">
        <v>4</v>
      </c>
      <c r="H794" s="986">
        <v>4858.2</v>
      </c>
      <c r="I794" s="986">
        <v>3164.9</v>
      </c>
      <c r="J794" s="986">
        <v>2838.4</v>
      </c>
      <c r="K794" s="1030">
        <v>103</v>
      </c>
      <c r="L794" s="986">
        <v>4188076.42</v>
      </c>
      <c r="M794" s="986">
        <v>0</v>
      </c>
      <c r="N794" s="986">
        <v>0</v>
      </c>
      <c r="O794" s="986">
        <f t="shared" si="176"/>
        <v>4188076.42</v>
      </c>
      <c r="P794" s="1023">
        <v>0</v>
      </c>
      <c r="Q794" s="986">
        <v>0</v>
      </c>
      <c r="R794" s="987">
        <v>2018</v>
      </c>
      <c r="S794" s="987">
        <v>2023</v>
      </c>
    </row>
    <row r="795" spans="1:19" ht="40.9" customHeight="1">
      <c r="A795" s="1319">
        <v>280</v>
      </c>
      <c r="B795" s="1316" t="s">
        <v>1630</v>
      </c>
      <c r="C795" s="1319">
        <v>1951</v>
      </c>
      <c r="D795" s="1319"/>
      <c r="E795" s="1319" t="s">
        <v>221</v>
      </c>
      <c r="F795" s="1321">
        <v>2</v>
      </c>
      <c r="G795" s="1321">
        <v>2</v>
      </c>
      <c r="H795" s="986">
        <v>464</v>
      </c>
      <c r="I795" s="986">
        <v>416.2</v>
      </c>
      <c r="J795" s="986">
        <v>416.2</v>
      </c>
      <c r="K795" s="1030">
        <v>17</v>
      </c>
      <c r="L795" s="986">
        <v>1203937.3999999999</v>
      </c>
      <c r="M795" s="986">
        <v>0</v>
      </c>
      <c r="N795" s="986">
        <v>0</v>
      </c>
      <c r="O795" s="986">
        <f t="shared" si="176"/>
        <v>1203937.3999999999</v>
      </c>
      <c r="P795" s="1023">
        <v>0</v>
      </c>
      <c r="Q795" s="986">
        <v>0</v>
      </c>
      <c r="R795" s="987">
        <v>2018</v>
      </c>
      <c r="S795" s="987">
        <v>2023</v>
      </c>
    </row>
    <row r="796" spans="1:19" ht="40.9" customHeight="1">
      <c r="A796" s="1319">
        <v>281</v>
      </c>
      <c r="B796" s="1139" t="s">
        <v>1617</v>
      </c>
      <c r="C796" s="1009">
        <v>1991</v>
      </c>
      <c r="D796" s="1319"/>
      <c r="E796" s="1009" t="s">
        <v>218</v>
      </c>
      <c r="F796" s="1009">
        <v>5</v>
      </c>
      <c r="G796" s="1009">
        <v>1</v>
      </c>
      <c r="H796" s="1023">
        <v>3069.8</v>
      </c>
      <c r="I796" s="1023">
        <v>2651.7</v>
      </c>
      <c r="J796" s="1023">
        <v>2653.7</v>
      </c>
      <c r="K796" s="1009">
        <v>139</v>
      </c>
      <c r="L796" s="1023">
        <v>3891225.05</v>
      </c>
      <c r="M796" s="986">
        <v>0</v>
      </c>
      <c r="N796" s="986">
        <v>0</v>
      </c>
      <c r="O796" s="1023">
        <v>3891225.05</v>
      </c>
      <c r="P796" s="1023">
        <v>0</v>
      </c>
      <c r="Q796" s="986">
        <v>0</v>
      </c>
      <c r="R796" s="987">
        <v>2021</v>
      </c>
      <c r="S796" s="987">
        <v>2023</v>
      </c>
    </row>
    <row r="797" spans="1:19" ht="40.9" customHeight="1">
      <c r="A797" s="1319">
        <v>282</v>
      </c>
      <c r="B797" s="1139" t="s">
        <v>1618</v>
      </c>
      <c r="C797" s="1009">
        <v>1955</v>
      </c>
      <c r="D797" s="1319"/>
      <c r="E797" s="1009" t="s">
        <v>218</v>
      </c>
      <c r="F797" s="1009">
        <v>3</v>
      </c>
      <c r="G797" s="1009">
        <v>3</v>
      </c>
      <c r="H797" s="1023">
        <v>1446.4</v>
      </c>
      <c r="I797" s="1023">
        <v>1299.5</v>
      </c>
      <c r="J797" s="1023">
        <v>1110.3</v>
      </c>
      <c r="K797" s="1009">
        <v>38</v>
      </c>
      <c r="L797" s="1023">
        <v>8271227.6399999997</v>
      </c>
      <c r="M797" s="986">
        <v>0</v>
      </c>
      <c r="N797" s="986">
        <v>0</v>
      </c>
      <c r="O797" s="1023">
        <v>8271227.6399999997</v>
      </c>
      <c r="P797" s="1023">
        <v>0</v>
      </c>
      <c r="Q797" s="986">
        <v>0</v>
      </c>
      <c r="R797" s="987">
        <v>2021</v>
      </c>
      <c r="S797" s="987">
        <v>2023</v>
      </c>
    </row>
    <row r="798" spans="1:19" ht="40.9" customHeight="1">
      <c r="A798" s="1319">
        <v>283</v>
      </c>
      <c r="B798" s="1139" t="s">
        <v>1619</v>
      </c>
      <c r="C798" s="1009">
        <v>1938</v>
      </c>
      <c r="D798" s="1319"/>
      <c r="E798" s="1009" t="s">
        <v>221</v>
      </c>
      <c r="F798" s="1009">
        <v>2</v>
      </c>
      <c r="G798" s="1009">
        <v>2</v>
      </c>
      <c r="H798" s="1023">
        <v>482.3</v>
      </c>
      <c r="I798" s="1023">
        <v>482.3</v>
      </c>
      <c r="J798" s="1023">
        <v>482.3</v>
      </c>
      <c r="K798" s="1009">
        <v>10</v>
      </c>
      <c r="L798" s="1023">
        <v>860021.25</v>
      </c>
      <c r="M798" s="986">
        <v>0</v>
      </c>
      <c r="N798" s="986">
        <v>0</v>
      </c>
      <c r="O798" s="1023">
        <v>860021.25</v>
      </c>
      <c r="P798" s="1023">
        <v>0</v>
      </c>
      <c r="Q798" s="986">
        <v>0</v>
      </c>
      <c r="R798" s="987">
        <v>2021</v>
      </c>
      <c r="S798" s="987">
        <v>2023</v>
      </c>
    </row>
    <row r="799" spans="1:19" ht="40.9" customHeight="1">
      <c r="A799" s="1319">
        <v>284</v>
      </c>
      <c r="B799" s="1139" t="s">
        <v>1620</v>
      </c>
      <c r="C799" s="1009">
        <v>1955</v>
      </c>
      <c r="D799" s="1319"/>
      <c r="E799" s="1009" t="s">
        <v>218</v>
      </c>
      <c r="F799" s="1009">
        <v>2</v>
      </c>
      <c r="G799" s="1009">
        <v>2</v>
      </c>
      <c r="H799" s="1023">
        <v>681.4</v>
      </c>
      <c r="I799" s="1023">
        <v>441.4</v>
      </c>
      <c r="J799" s="1023">
        <v>380</v>
      </c>
      <c r="K799" s="1009">
        <v>8</v>
      </c>
      <c r="L799" s="1023">
        <v>937974.27</v>
      </c>
      <c r="M799" s="986">
        <v>0</v>
      </c>
      <c r="N799" s="986">
        <v>0</v>
      </c>
      <c r="O799" s="1023">
        <v>937974.27</v>
      </c>
      <c r="P799" s="1023">
        <v>0</v>
      </c>
      <c r="Q799" s="986">
        <v>0</v>
      </c>
      <c r="R799" s="987">
        <v>2021</v>
      </c>
      <c r="S799" s="987">
        <v>2023</v>
      </c>
    </row>
    <row r="800" spans="1:19" ht="40.9" customHeight="1">
      <c r="A800" s="1319">
        <v>285</v>
      </c>
      <c r="B800" s="1139" t="s">
        <v>1621</v>
      </c>
      <c r="C800" s="1009">
        <v>1960</v>
      </c>
      <c r="D800" s="1319"/>
      <c r="E800" s="1009" t="s">
        <v>218</v>
      </c>
      <c r="F800" s="1009">
        <v>2</v>
      </c>
      <c r="G800" s="1009">
        <v>3</v>
      </c>
      <c r="H800" s="1023">
        <v>673.8</v>
      </c>
      <c r="I800" s="1023">
        <v>609.29999999999995</v>
      </c>
      <c r="J800" s="1023">
        <v>609.29999999999995</v>
      </c>
      <c r="K800" s="1009">
        <v>31</v>
      </c>
      <c r="L800" s="1023">
        <v>2645172.71</v>
      </c>
      <c r="M800" s="986">
        <v>0</v>
      </c>
      <c r="N800" s="986">
        <v>0</v>
      </c>
      <c r="O800" s="1023">
        <v>2645172.71</v>
      </c>
      <c r="P800" s="1023">
        <v>0</v>
      </c>
      <c r="Q800" s="986">
        <v>0</v>
      </c>
      <c r="R800" s="987">
        <v>2021</v>
      </c>
      <c r="S800" s="987">
        <v>2023</v>
      </c>
    </row>
    <row r="801" spans="1:19" ht="40.9" customHeight="1">
      <c r="A801" s="1319">
        <v>286</v>
      </c>
      <c r="B801" s="1139" t="s">
        <v>1622</v>
      </c>
      <c r="C801" s="1009">
        <v>1967</v>
      </c>
      <c r="D801" s="1319"/>
      <c r="E801" s="1009" t="s">
        <v>218</v>
      </c>
      <c r="F801" s="1009">
        <v>5</v>
      </c>
      <c r="G801" s="1009">
        <v>4</v>
      </c>
      <c r="H801" s="1023">
        <v>4858.2</v>
      </c>
      <c r="I801" s="1023">
        <v>3171.8</v>
      </c>
      <c r="J801" s="1023">
        <v>2881.5</v>
      </c>
      <c r="K801" s="1009">
        <v>91</v>
      </c>
      <c r="L801" s="1023">
        <v>5645367.5599999996</v>
      </c>
      <c r="M801" s="986">
        <v>0</v>
      </c>
      <c r="N801" s="986">
        <v>0</v>
      </c>
      <c r="O801" s="1023">
        <v>5645367.5599999996</v>
      </c>
      <c r="P801" s="1023">
        <v>0</v>
      </c>
      <c r="Q801" s="986">
        <v>0</v>
      </c>
      <c r="R801" s="987">
        <v>2021</v>
      </c>
      <c r="S801" s="987">
        <v>2023</v>
      </c>
    </row>
    <row r="802" spans="1:19" ht="40.9" customHeight="1">
      <c r="A802" s="1319">
        <v>287</v>
      </c>
      <c r="B802" s="1139" t="s">
        <v>1623</v>
      </c>
      <c r="C802" s="1009">
        <v>1955</v>
      </c>
      <c r="D802" s="1319"/>
      <c r="E802" s="1009" t="s">
        <v>218</v>
      </c>
      <c r="F802" s="1009">
        <v>2</v>
      </c>
      <c r="G802" s="1009">
        <v>2</v>
      </c>
      <c r="H802" s="1023">
        <v>410</v>
      </c>
      <c r="I802" s="1023">
        <v>407.5</v>
      </c>
      <c r="J802" s="1023">
        <v>407.5</v>
      </c>
      <c r="K802" s="1009">
        <v>8</v>
      </c>
      <c r="L802" s="1023">
        <v>1523071</v>
      </c>
      <c r="M802" s="986">
        <v>0</v>
      </c>
      <c r="N802" s="986">
        <v>0</v>
      </c>
      <c r="O802" s="1023">
        <v>1523071</v>
      </c>
      <c r="P802" s="1023">
        <v>0</v>
      </c>
      <c r="Q802" s="986">
        <v>0</v>
      </c>
      <c r="R802" s="987">
        <v>2022</v>
      </c>
      <c r="S802" s="987">
        <v>2023</v>
      </c>
    </row>
    <row r="803" spans="1:19" ht="40.9" customHeight="1">
      <c r="A803" s="1319">
        <v>288</v>
      </c>
      <c r="B803" s="1139" t="s">
        <v>1624</v>
      </c>
      <c r="C803" s="1009">
        <v>2010</v>
      </c>
      <c r="D803" s="1319"/>
      <c r="E803" s="1009" t="s">
        <v>220</v>
      </c>
      <c r="F803" s="1009">
        <v>3</v>
      </c>
      <c r="G803" s="1009">
        <v>1</v>
      </c>
      <c r="H803" s="1023">
        <v>1380.7</v>
      </c>
      <c r="I803" s="1023">
        <v>1063.3</v>
      </c>
      <c r="J803" s="1023">
        <v>1063.3</v>
      </c>
      <c r="K803" s="1009">
        <v>47</v>
      </c>
      <c r="L803" s="1023">
        <v>1967908</v>
      </c>
      <c r="M803" s="986">
        <v>0</v>
      </c>
      <c r="N803" s="986">
        <v>0</v>
      </c>
      <c r="O803" s="1023">
        <v>1967908</v>
      </c>
      <c r="P803" s="1023">
        <v>0</v>
      </c>
      <c r="Q803" s="986">
        <v>0</v>
      </c>
      <c r="R803" s="987">
        <v>2022</v>
      </c>
      <c r="S803" s="987">
        <v>2023</v>
      </c>
    </row>
    <row r="804" spans="1:19" ht="40.9" customHeight="1">
      <c r="A804" s="1319">
        <v>289</v>
      </c>
      <c r="B804" s="1139" t="s">
        <v>1625</v>
      </c>
      <c r="C804" s="1009">
        <v>1980</v>
      </c>
      <c r="D804" s="1319"/>
      <c r="E804" s="1009" t="s">
        <v>218</v>
      </c>
      <c r="F804" s="1009">
        <v>2</v>
      </c>
      <c r="G804" s="1009">
        <v>3</v>
      </c>
      <c r="H804" s="1023">
        <v>1056.3</v>
      </c>
      <c r="I804" s="1023">
        <v>929.1</v>
      </c>
      <c r="J804" s="1023">
        <v>929.1</v>
      </c>
      <c r="K804" s="1009">
        <v>28</v>
      </c>
      <c r="L804" s="1023">
        <v>2193560</v>
      </c>
      <c r="M804" s="986">
        <v>0</v>
      </c>
      <c r="N804" s="986">
        <v>0</v>
      </c>
      <c r="O804" s="1023">
        <v>2193560</v>
      </c>
      <c r="P804" s="1023">
        <v>0</v>
      </c>
      <c r="Q804" s="986">
        <v>0</v>
      </c>
      <c r="R804" s="987">
        <v>2022</v>
      </c>
      <c r="S804" s="987">
        <v>2023</v>
      </c>
    </row>
    <row r="805" spans="1:19" ht="39.6" customHeight="1">
      <c r="A805" s="1319">
        <v>290</v>
      </c>
      <c r="B805" s="1139" t="s">
        <v>1626</v>
      </c>
      <c r="C805" s="1009">
        <v>1986</v>
      </c>
      <c r="D805" s="1319"/>
      <c r="E805" s="1009" t="s">
        <v>218</v>
      </c>
      <c r="F805" s="1009">
        <v>2</v>
      </c>
      <c r="G805" s="1009">
        <v>3</v>
      </c>
      <c r="H805" s="1023">
        <v>929.8</v>
      </c>
      <c r="I805" s="1023">
        <v>884.7</v>
      </c>
      <c r="J805" s="1023">
        <v>884.7</v>
      </c>
      <c r="K805" s="1009">
        <v>32</v>
      </c>
      <c r="L805" s="1023">
        <v>2037865</v>
      </c>
      <c r="M805" s="986">
        <v>0</v>
      </c>
      <c r="N805" s="986">
        <v>0</v>
      </c>
      <c r="O805" s="1023">
        <v>2037865</v>
      </c>
      <c r="P805" s="1023">
        <v>0</v>
      </c>
      <c r="Q805" s="986">
        <v>0</v>
      </c>
      <c r="R805" s="987">
        <v>2022</v>
      </c>
      <c r="S805" s="987">
        <v>2023</v>
      </c>
    </row>
    <row r="806" spans="1:19" ht="40.9" customHeight="1">
      <c r="A806" s="1319">
        <v>291</v>
      </c>
      <c r="B806" s="1139" t="s">
        <v>1627</v>
      </c>
      <c r="C806" s="1009">
        <v>1975</v>
      </c>
      <c r="D806" s="1319"/>
      <c r="E806" s="1009" t="s">
        <v>219</v>
      </c>
      <c r="F806" s="1009">
        <v>5</v>
      </c>
      <c r="G806" s="1009">
        <v>4</v>
      </c>
      <c r="H806" s="1023">
        <v>3420.5</v>
      </c>
      <c r="I806" s="1023">
        <v>2587.4</v>
      </c>
      <c r="J806" s="1023">
        <v>2587.4</v>
      </c>
      <c r="K806" s="1009">
        <v>104</v>
      </c>
      <c r="L806" s="1023">
        <v>2587273</v>
      </c>
      <c r="M806" s="986">
        <v>0</v>
      </c>
      <c r="N806" s="986">
        <v>0</v>
      </c>
      <c r="O806" s="1023">
        <v>2587273</v>
      </c>
      <c r="P806" s="1023">
        <v>0</v>
      </c>
      <c r="Q806" s="986">
        <v>0</v>
      </c>
      <c r="R806" s="987">
        <v>2022</v>
      </c>
      <c r="S806" s="987">
        <v>2023</v>
      </c>
    </row>
    <row r="807" spans="1:19" ht="40.9" customHeight="1">
      <c r="A807" s="1319">
        <v>292</v>
      </c>
      <c r="B807" s="1139" t="s">
        <v>1628</v>
      </c>
      <c r="C807" s="1009">
        <v>1881</v>
      </c>
      <c r="D807" s="1319"/>
      <c r="E807" s="1009" t="s">
        <v>221</v>
      </c>
      <c r="F807" s="1009">
        <v>1</v>
      </c>
      <c r="G807" s="1009">
        <v>1</v>
      </c>
      <c r="H807" s="1023">
        <v>170.7</v>
      </c>
      <c r="I807" s="1023">
        <v>150.9</v>
      </c>
      <c r="J807" s="1023">
        <v>150.9</v>
      </c>
      <c r="K807" s="1009">
        <v>8</v>
      </c>
      <c r="L807" s="1023">
        <v>647870</v>
      </c>
      <c r="M807" s="986">
        <v>0</v>
      </c>
      <c r="N807" s="986">
        <v>0</v>
      </c>
      <c r="O807" s="1023">
        <v>647870</v>
      </c>
      <c r="P807" s="1023">
        <v>0</v>
      </c>
      <c r="Q807" s="986">
        <v>0</v>
      </c>
      <c r="R807" s="987">
        <v>2022</v>
      </c>
      <c r="S807" s="987">
        <v>2023</v>
      </c>
    </row>
    <row r="808" spans="1:19" ht="42.6" customHeight="1">
      <c r="A808" s="1319">
        <v>293</v>
      </c>
      <c r="B808" s="1139" t="s">
        <v>1629</v>
      </c>
      <c r="C808" s="1009">
        <v>1946</v>
      </c>
      <c r="D808" s="1319"/>
      <c r="E808" s="1009" t="s">
        <v>221</v>
      </c>
      <c r="F808" s="1009">
        <v>2</v>
      </c>
      <c r="G808" s="1009">
        <v>2</v>
      </c>
      <c r="H808" s="1023">
        <v>840.64</v>
      </c>
      <c r="I808" s="1023">
        <v>481.1</v>
      </c>
      <c r="J808" s="1023">
        <v>481.1</v>
      </c>
      <c r="K808" s="1009">
        <v>23</v>
      </c>
      <c r="L808" s="1023">
        <v>67897</v>
      </c>
      <c r="M808" s="986">
        <v>0</v>
      </c>
      <c r="N808" s="986">
        <v>0</v>
      </c>
      <c r="O808" s="1023">
        <v>67897</v>
      </c>
      <c r="P808" s="1023">
        <v>0</v>
      </c>
      <c r="Q808" s="986">
        <v>0</v>
      </c>
      <c r="R808" s="987">
        <v>2022</v>
      </c>
      <c r="S808" s="987">
        <v>2023</v>
      </c>
    </row>
    <row r="809" spans="1:19" ht="43.9" customHeight="1">
      <c r="A809" s="1319">
        <v>294</v>
      </c>
      <c r="B809" s="1139" t="s">
        <v>1619</v>
      </c>
      <c r="C809" s="1009">
        <v>1938</v>
      </c>
      <c r="D809" s="1319"/>
      <c r="E809" s="1009" t="s">
        <v>221</v>
      </c>
      <c r="F809" s="1009">
        <v>2</v>
      </c>
      <c r="G809" s="1009">
        <v>2</v>
      </c>
      <c r="H809" s="1023">
        <v>479.9</v>
      </c>
      <c r="I809" s="1023">
        <v>479.9</v>
      </c>
      <c r="J809" s="1023">
        <v>479.9</v>
      </c>
      <c r="K809" s="1009">
        <v>10</v>
      </c>
      <c r="L809" s="1023">
        <v>53033</v>
      </c>
      <c r="M809" s="986">
        <v>0</v>
      </c>
      <c r="N809" s="986">
        <v>0</v>
      </c>
      <c r="O809" s="1023">
        <v>53033</v>
      </c>
      <c r="P809" s="1023">
        <v>0</v>
      </c>
      <c r="Q809" s="986">
        <v>0</v>
      </c>
      <c r="R809" s="987">
        <v>2022</v>
      </c>
      <c r="S809" s="987">
        <v>2023</v>
      </c>
    </row>
    <row r="810" spans="1:19" ht="43.9" customHeight="1">
      <c r="A810" s="1319"/>
      <c r="B810" s="1313" t="s">
        <v>2010</v>
      </c>
      <c r="C810" s="1321"/>
      <c r="D810" s="1096"/>
      <c r="E810" s="1319"/>
      <c r="F810" s="1321"/>
      <c r="G810" s="1321"/>
      <c r="H810" s="986">
        <f>H811+H812</f>
        <v>5892.3</v>
      </c>
      <c r="I810" s="986">
        <f t="shared" ref="I810:Q810" si="177">I811+I812</f>
        <v>5567.8</v>
      </c>
      <c r="J810" s="986">
        <f t="shared" si="177"/>
        <v>4262.3999999999996</v>
      </c>
      <c r="K810" s="986">
        <f t="shared" si="177"/>
        <v>199</v>
      </c>
      <c r="L810" s="986">
        <f t="shared" si="177"/>
        <v>2517058</v>
      </c>
      <c r="M810" s="986">
        <f t="shared" si="177"/>
        <v>0</v>
      </c>
      <c r="N810" s="986">
        <f t="shared" si="177"/>
        <v>0</v>
      </c>
      <c r="O810" s="986">
        <f t="shared" si="177"/>
        <v>2517058</v>
      </c>
      <c r="P810" s="986">
        <f t="shared" si="177"/>
        <v>0</v>
      </c>
      <c r="Q810" s="986">
        <f t="shared" si="177"/>
        <v>0</v>
      </c>
      <c r="R810" s="991" t="s">
        <v>40</v>
      </c>
      <c r="S810" s="991" t="s">
        <v>40</v>
      </c>
    </row>
    <row r="811" spans="1:19" ht="43.9" customHeight="1">
      <c r="A811" s="1319">
        <v>295</v>
      </c>
      <c r="B811" s="1316" t="s">
        <v>2011</v>
      </c>
      <c r="C811" s="1319">
        <v>1989</v>
      </c>
      <c r="D811" s="1319"/>
      <c r="E811" s="1319" t="s">
        <v>218</v>
      </c>
      <c r="F811" s="1321">
        <v>5</v>
      </c>
      <c r="G811" s="1321">
        <v>5</v>
      </c>
      <c r="H811" s="986">
        <v>3619.4</v>
      </c>
      <c r="I811" s="986">
        <v>3619.4</v>
      </c>
      <c r="J811" s="986">
        <v>3138.6</v>
      </c>
      <c r="K811" s="1030">
        <v>123</v>
      </c>
      <c r="L811" s="986">
        <v>183334</v>
      </c>
      <c r="M811" s="986">
        <v>0</v>
      </c>
      <c r="N811" s="986">
        <v>0</v>
      </c>
      <c r="O811" s="986">
        <v>183334</v>
      </c>
      <c r="P811" s="993">
        <v>0</v>
      </c>
      <c r="Q811" s="986">
        <v>0</v>
      </c>
      <c r="R811" s="987">
        <v>2018</v>
      </c>
      <c r="S811" s="987">
        <v>2020</v>
      </c>
    </row>
    <row r="812" spans="1:19" ht="43.9" customHeight="1">
      <c r="A812" s="1022">
        <v>296</v>
      </c>
      <c r="B812" s="1316" t="s">
        <v>2033</v>
      </c>
      <c r="C812" s="1321">
        <v>1979</v>
      </c>
      <c r="D812" s="1319"/>
      <c r="E812" s="1009" t="s">
        <v>218</v>
      </c>
      <c r="F812" s="1321">
        <v>5</v>
      </c>
      <c r="G812" s="1321">
        <v>1</v>
      </c>
      <c r="H812" s="986">
        <v>2272.9</v>
      </c>
      <c r="I812" s="986">
        <v>1948.4</v>
      </c>
      <c r="J812" s="986">
        <v>1123.8</v>
      </c>
      <c r="K812" s="1030">
        <v>76</v>
      </c>
      <c r="L812" s="1025">
        <v>2333724</v>
      </c>
      <c r="M812" s="985">
        <v>0</v>
      </c>
      <c r="N812" s="985">
        <v>0</v>
      </c>
      <c r="O812" s="1025">
        <v>2333724</v>
      </c>
      <c r="P812" s="985">
        <v>0</v>
      </c>
      <c r="Q812" s="985">
        <v>0</v>
      </c>
      <c r="R812" s="1009">
        <v>2020</v>
      </c>
      <c r="S812" s="1009">
        <v>2020</v>
      </c>
    </row>
    <row r="813" spans="1:19" ht="40.15" customHeight="1">
      <c r="A813" s="1319"/>
      <c r="B813" s="1313" t="s">
        <v>1092</v>
      </c>
      <c r="C813" s="1321"/>
      <c r="D813" s="1096"/>
      <c r="E813" s="1319"/>
      <c r="F813" s="1321"/>
      <c r="G813" s="1321"/>
      <c r="H813" s="1024">
        <f t="shared" ref="H813:Q813" si="178">SUM(H814:H816)</f>
        <v>3476.9</v>
      </c>
      <c r="I813" s="1024">
        <f t="shared" si="178"/>
        <v>3476.9</v>
      </c>
      <c r="J813" s="1024">
        <f t="shared" si="178"/>
        <v>3356.9</v>
      </c>
      <c r="K813" s="1030">
        <f t="shared" si="178"/>
        <v>73</v>
      </c>
      <c r="L813" s="1024">
        <f t="shared" si="178"/>
        <v>8098594.3300000001</v>
      </c>
      <c r="M813" s="1024">
        <f t="shared" si="178"/>
        <v>0</v>
      </c>
      <c r="N813" s="1024">
        <f t="shared" si="178"/>
        <v>108602.48</v>
      </c>
      <c r="O813" s="1024">
        <f t="shared" si="178"/>
        <v>7989991.8500000006</v>
      </c>
      <c r="P813" s="1024">
        <f t="shared" si="178"/>
        <v>0</v>
      </c>
      <c r="Q813" s="1024">
        <f t="shared" si="178"/>
        <v>0</v>
      </c>
      <c r="R813" s="991" t="s">
        <v>40</v>
      </c>
      <c r="S813" s="991" t="s">
        <v>40</v>
      </c>
    </row>
    <row r="814" spans="1:19" ht="37.9" customHeight="1">
      <c r="A814" s="1319">
        <v>297</v>
      </c>
      <c r="B814" s="1316" t="s">
        <v>1133</v>
      </c>
      <c r="C814" s="1321">
        <v>1960</v>
      </c>
      <c r="D814" s="1321"/>
      <c r="E814" s="1319" t="s">
        <v>218</v>
      </c>
      <c r="F814" s="1321">
        <v>2</v>
      </c>
      <c r="G814" s="1321">
        <v>2</v>
      </c>
      <c r="H814" s="985">
        <v>502</v>
      </c>
      <c r="I814" s="985">
        <v>502</v>
      </c>
      <c r="J814" s="985">
        <v>442</v>
      </c>
      <c r="K814" s="1030">
        <v>12</v>
      </c>
      <c r="L814" s="985">
        <v>2800229.35</v>
      </c>
      <c r="M814" s="985">
        <v>0</v>
      </c>
      <c r="N814" s="985">
        <v>0</v>
      </c>
      <c r="O814" s="985">
        <v>2800229.35</v>
      </c>
      <c r="P814" s="985">
        <v>0</v>
      </c>
      <c r="Q814" s="985">
        <v>0</v>
      </c>
      <c r="R814" s="987">
        <v>2021</v>
      </c>
      <c r="S814" s="987">
        <v>2023</v>
      </c>
    </row>
    <row r="815" spans="1:19" ht="41.45" customHeight="1">
      <c r="A815" s="1319">
        <v>298</v>
      </c>
      <c r="B815" s="1316" t="s">
        <v>1150</v>
      </c>
      <c r="C815" s="1321">
        <v>1972</v>
      </c>
      <c r="D815" s="1321"/>
      <c r="E815" s="1319" t="s">
        <v>218</v>
      </c>
      <c r="F815" s="1321">
        <v>2</v>
      </c>
      <c r="G815" s="1321">
        <v>2</v>
      </c>
      <c r="H815" s="985">
        <v>526</v>
      </c>
      <c r="I815" s="985">
        <v>526</v>
      </c>
      <c r="J815" s="985">
        <v>466</v>
      </c>
      <c r="K815" s="1030">
        <v>12</v>
      </c>
      <c r="L815" s="985">
        <v>2215840.4500000002</v>
      </c>
      <c r="M815" s="985">
        <v>0</v>
      </c>
      <c r="N815" s="985">
        <v>0</v>
      </c>
      <c r="O815" s="985">
        <v>2215840.4500000002</v>
      </c>
      <c r="P815" s="985">
        <v>0</v>
      </c>
      <c r="Q815" s="985">
        <v>0</v>
      </c>
      <c r="R815" s="987">
        <v>2022</v>
      </c>
      <c r="S815" s="987">
        <v>2023</v>
      </c>
    </row>
    <row r="816" spans="1:19" ht="48" customHeight="1">
      <c r="A816" s="1319">
        <v>299</v>
      </c>
      <c r="B816" s="1316" t="s">
        <v>1296</v>
      </c>
      <c r="C816" s="1321">
        <v>1985</v>
      </c>
      <c r="D816" s="1321"/>
      <c r="E816" s="1319" t="s">
        <v>218</v>
      </c>
      <c r="F816" s="1321">
        <v>5</v>
      </c>
      <c r="G816" s="1321">
        <v>4</v>
      </c>
      <c r="H816" s="985">
        <v>2448.9</v>
      </c>
      <c r="I816" s="985">
        <v>2448.9</v>
      </c>
      <c r="J816" s="985">
        <v>2448.9</v>
      </c>
      <c r="K816" s="1030">
        <v>49</v>
      </c>
      <c r="L816" s="985">
        <v>3082524.53</v>
      </c>
      <c r="M816" s="985">
        <v>0</v>
      </c>
      <c r="N816" s="985">
        <v>108602.48</v>
      </c>
      <c r="O816" s="985">
        <v>2973922.05</v>
      </c>
      <c r="P816" s="985">
        <v>0</v>
      </c>
      <c r="Q816" s="985">
        <v>0</v>
      </c>
      <c r="R816" s="987">
        <v>2022</v>
      </c>
      <c r="S816" s="987">
        <v>2023</v>
      </c>
    </row>
    <row r="817" spans="1:19" ht="42.6" customHeight="1">
      <c r="A817" s="1319"/>
      <c r="B817" s="1313" t="s">
        <v>1312</v>
      </c>
      <c r="C817" s="1321"/>
      <c r="D817" s="1096"/>
      <c r="E817" s="1321"/>
      <c r="F817" s="1321"/>
      <c r="G817" s="1321"/>
      <c r="H817" s="993">
        <f>H818+H819+H820</f>
        <v>3672.1</v>
      </c>
      <c r="I817" s="993">
        <f t="shared" ref="I817:Q817" si="179">I818+I819+I820</f>
        <v>3350.7</v>
      </c>
      <c r="J817" s="993">
        <f t="shared" si="179"/>
        <v>2997</v>
      </c>
      <c r="K817" s="993">
        <f t="shared" si="179"/>
        <v>94</v>
      </c>
      <c r="L817" s="993">
        <f t="shared" si="179"/>
        <v>7060927.2999999998</v>
      </c>
      <c r="M817" s="993">
        <f t="shared" si="179"/>
        <v>0</v>
      </c>
      <c r="N817" s="993">
        <f t="shared" si="179"/>
        <v>0</v>
      </c>
      <c r="O817" s="993">
        <f t="shared" si="179"/>
        <v>7060927.2999999998</v>
      </c>
      <c r="P817" s="993">
        <f t="shared" si="179"/>
        <v>0</v>
      </c>
      <c r="Q817" s="993">
        <f t="shared" si="179"/>
        <v>0</v>
      </c>
      <c r="R817" s="991" t="s">
        <v>40</v>
      </c>
      <c r="S817" s="991" t="s">
        <v>40</v>
      </c>
    </row>
    <row r="818" spans="1:19" ht="42.6" customHeight="1">
      <c r="A818" s="1319">
        <v>300</v>
      </c>
      <c r="B818" s="1316" t="s">
        <v>1320</v>
      </c>
      <c r="C818" s="1319">
        <v>1966</v>
      </c>
      <c r="D818" s="1319"/>
      <c r="E818" s="1319" t="s">
        <v>218</v>
      </c>
      <c r="F818" s="1319">
        <v>2</v>
      </c>
      <c r="G818" s="1319">
        <v>2</v>
      </c>
      <c r="H818" s="993">
        <v>525.4</v>
      </c>
      <c r="I818" s="993">
        <v>469</v>
      </c>
      <c r="J818" s="993">
        <v>421.5</v>
      </c>
      <c r="K818" s="987">
        <v>17</v>
      </c>
      <c r="L818" s="986">
        <v>1415265</v>
      </c>
      <c r="M818" s="986">
        <v>0</v>
      </c>
      <c r="N818" s="986">
        <v>0</v>
      </c>
      <c r="O818" s="986">
        <v>1415265</v>
      </c>
      <c r="P818" s="993">
        <v>0</v>
      </c>
      <c r="Q818" s="986">
        <v>0</v>
      </c>
      <c r="R818" s="987">
        <v>2020</v>
      </c>
      <c r="S818" s="987">
        <v>2023</v>
      </c>
    </row>
    <row r="819" spans="1:19" ht="40.15" customHeight="1">
      <c r="A819" s="1319">
        <v>301</v>
      </c>
      <c r="B819" s="1316" t="s">
        <v>1438</v>
      </c>
      <c r="C819" s="1319">
        <v>1985</v>
      </c>
      <c r="D819" s="1319"/>
      <c r="E819" s="1319" t="s">
        <v>219</v>
      </c>
      <c r="F819" s="1319">
        <v>3</v>
      </c>
      <c r="G819" s="1319">
        <v>3</v>
      </c>
      <c r="H819" s="993">
        <v>1493.3</v>
      </c>
      <c r="I819" s="993">
        <v>1371.3</v>
      </c>
      <c r="J819" s="993">
        <v>1371.3</v>
      </c>
      <c r="K819" s="987">
        <v>32</v>
      </c>
      <c r="L819" s="986">
        <v>2957358.13</v>
      </c>
      <c r="M819" s="986">
        <v>0</v>
      </c>
      <c r="N819" s="986">
        <v>0</v>
      </c>
      <c r="O819" s="986">
        <v>2957358.13</v>
      </c>
      <c r="P819" s="993">
        <v>0</v>
      </c>
      <c r="Q819" s="986">
        <v>0</v>
      </c>
      <c r="R819" s="987">
        <v>2021</v>
      </c>
      <c r="S819" s="987">
        <v>2023</v>
      </c>
    </row>
    <row r="820" spans="1:19" ht="49.15" customHeight="1">
      <c r="A820" s="1319">
        <v>302</v>
      </c>
      <c r="B820" s="1316" t="s">
        <v>1318</v>
      </c>
      <c r="C820" s="1319">
        <v>1974</v>
      </c>
      <c r="D820" s="1319"/>
      <c r="E820" s="1319" t="s">
        <v>218</v>
      </c>
      <c r="F820" s="1319">
        <v>3</v>
      </c>
      <c r="G820" s="1319">
        <v>3</v>
      </c>
      <c r="H820" s="993">
        <v>1653.4</v>
      </c>
      <c r="I820" s="993">
        <v>1510.4</v>
      </c>
      <c r="J820" s="993">
        <v>1204.2</v>
      </c>
      <c r="K820" s="987">
        <v>45</v>
      </c>
      <c r="L820" s="986">
        <v>2688304.17</v>
      </c>
      <c r="M820" s="986">
        <v>0</v>
      </c>
      <c r="N820" s="986">
        <v>0</v>
      </c>
      <c r="O820" s="986">
        <v>2688304.17</v>
      </c>
      <c r="P820" s="993">
        <v>0</v>
      </c>
      <c r="Q820" s="986">
        <v>0</v>
      </c>
      <c r="R820" s="987">
        <v>2022</v>
      </c>
      <c r="S820" s="987">
        <v>2023</v>
      </c>
    </row>
    <row r="821" spans="1:19" ht="43.15" customHeight="1">
      <c r="A821" s="1319"/>
      <c r="B821" s="1313" t="s">
        <v>1098</v>
      </c>
      <c r="C821" s="1321"/>
      <c r="D821" s="1096"/>
      <c r="E821" s="1321"/>
      <c r="F821" s="1321"/>
      <c r="G821" s="1321"/>
      <c r="H821" s="1024">
        <f t="shared" ref="H821:Q821" si="180">SUM(H822:H827)</f>
        <v>6304.6</v>
      </c>
      <c r="I821" s="1024">
        <f t="shared" si="180"/>
        <v>5847.53</v>
      </c>
      <c r="J821" s="1024">
        <f t="shared" si="180"/>
        <v>5847.53</v>
      </c>
      <c r="K821" s="1030">
        <f t="shared" si="180"/>
        <v>217</v>
      </c>
      <c r="L821" s="1024">
        <f t="shared" si="180"/>
        <v>16602700.220000001</v>
      </c>
      <c r="M821" s="1024">
        <f t="shared" si="180"/>
        <v>0</v>
      </c>
      <c r="N821" s="1024">
        <f t="shared" si="180"/>
        <v>0</v>
      </c>
      <c r="O821" s="1024">
        <f t="shared" si="180"/>
        <v>16602700.220000001</v>
      </c>
      <c r="P821" s="1024">
        <f t="shared" si="180"/>
        <v>0</v>
      </c>
      <c r="Q821" s="1024">
        <f t="shared" si="180"/>
        <v>0</v>
      </c>
      <c r="R821" s="991" t="s">
        <v>40</v>
      </c>
      <c r="S821" s="991" t="s">
        <v>40</v>
      </c>
    </row>
    <row r="822" spans="1:19" ht="42" customHeight="1">
      <c r="A822" s="1021">
        <v>303</v>
      </c>
      <c r="B822" s="1026" t="s">
        <v>1161</v>
      </c>
      <c r="C822" s="1022">
        <v>1984</v>
      </c>
      <c r="D822" s="1022"/>
      <c r="E822" s="1319" t="s">
        <v>219</v>
      </c>
      <c r="F822" s="1022">
        <v>3</v>
      </c>
      <c r="G822" s="1022">
        <v>2</v>
      </c>
      <c r="H822" s="1025">
        <v>933.9</v>
      </c>
      <c r="I822" s="1025">
        <v>843.53</v>
      </c>
      <c r="J822" s="1025">
        <v>843.53</v>
      </c>
      <c r="K822" s="1032">
        <v>36</v>
      </c>
      <c r="L822" s="1025">
        <v>3066572.83</v>
      </c>
      <c r="M822" s="1025">
        <v>0</v>
      </c>
      <c r="N822" s="1025">
        <v>0</v>
      </c>
      <c r="O822" s="1025">
        <v>3066572.83</v>
      </c>
      <c r="P822" s="1025">
        <v>0</v>
      </c>
      <c r="Q822" s="1025">
        <v>0</v>
      </c>
      <c r="R822" s="987">
        <v>2016</v>
      </c>
      <c r="S822" s="987">
        <v>2023</v>
      </c>
    </row>
    <row r="823" spans="1:19" ht="43.9" customHeight="1">
      <c r="A823" s="1021">
        <v>304</v>
      </c>
      <c r="B823" s="1026" t="s">
        <v>1282</v>
      </c>
      <c r="C823" s="1022">
        <v>1983</v>
      </c>
      <c r="D823" s="1022"/>
      <c r="E823" s="1319" t="s">
        <v>219</v>
      </c>
      <c r="F823" s="1022">
        <v>3</v>
      </c>
      <c r="G823" s="1022">
        <v>3</v>
      </c>
      <c r="H823" s="1025">
        <v>1446.2</v>
      </c>
      <c r="I823" s="1025">
        <v>1291</v>
      </c>
      <c r="J823" s="1025">
        <v>1291</v>
      </c>
      <c r="K823" s="1032">
        <v>38</v>
      </c>
      <c r="L823" s="1025">
        <v>3242499.05</v>
      </c>
      <c r="M823" s="1018">
        <v>0</v>
      </c>
      <c r="N823" s="1025">
        <v>0</v>
      </c>
      <c r="O823" s="1025">
        <v>3242499.05</v>
      </c>
      <c r="P823" s="1025">
        <v>0</v>
      </c>
      <c r="Q823" s="1025">
        <v>0</v>
      </c>
      <c r="R823" s="987">
        <v>2016</v>
      </c>
      <c r="S823" s="987">
        <v>2023</v>
      </c>
    </row>
    <row r="824" spans="1:19" ht="40.9" customHeight="1">
      <c r="A824" s="1021">
        <v>305</v>
      </c>
      <c r="B824" s="1127" t="s">
        <v>1134</v>
      </c>
      <c r="C824" s="1017">
        <v>1969</v>
      </c>
      <c r="D824" s="1017"/>
      <c r="E824" s="1319" t="s">
        <v>218</v>
      </c>
      <c r="F824" s="1017">
        <v>2</v>
      </c>
      <c r="G824" s="1017">
        <v>2</v>
      </c>
      <c r="H824" s="1018">
        <v>568.20000000000005</v>
      </c>
      <c r="I824" s="1018">
        <v>518.20000000000005</v>
      </c>
      <c r="J824" s="1018">
        <v>518.20000000000005</v>
      </c>
      <c r="K824" s="1008">
        <v>11</v>
      </c>
      <c r="L824" s="1018">
        <v>1961218.92</v>
      </c>
      <c r="M824" s="1018">
        <v>0</v>
      </c>
      <c r="N824" s="1018">
        <v>0</v>
      </c>
      <c r="O824" s="1018">
        <f>L824</f>
        <v>1961218.92</v>
      </c>
      <c r="P824" s="1018">
        <v>0</v>
      </c>
      <c r="Q824" s="1018">
        <v>0</v>
      </c>
      <c r="R824" s="987">
        <v>2021</v>
      </c>
      <c r="S824" s="987">
        <v>2023</v>
      </c>
    </row>
    <row r="825" spans="1:19" ht="42" customHeight="1">
      <c r="A825" s="1021">
        <v>306</v>
      </c>
      <c r="B825" s="1127" t="s">
        <v>1271</v>
      </c>
      <c r="C825" s="1017">
        <v>1980</v>
      </c>
      <c r="D825" s="1017"/>
      <c r="E825" s="1319" t="s">
        <v>218</v>
      </c>
      <c r="F825" s="1017">
        <v>2</v>
      </c>
      <c r="G825" s="1017">
        <v>2</v>
      </c>
      <c r="H825" s="1018">
        <v>817.1</v>
      </c>
      <c r="I825" s="1018">
        <v>746.8</v>
      </c>
      <c r="J825" s="1018">
        <v>746.8</v>
      </c>
      <c r="K825" s="1008">
        <v>31</v>
      </c>
      <c r="L825" s="1018">
        <v>2856558</v>
      </c>
      <c r="M825" s="1018">
        <v>0</v>
      </c>
      <c r="N825" s="1018">
        <v>0</v>
      </c>
      <c r="O825" s="1018">
        <v>2856558</v>
      </c>
      <c r="P825" s="1018">
        <v>0</v>
      </c>
      <c r="Q825" s="1018">
        <v>0</v>
      </c>
      <c r="R825" s="987">
        <v>2021</v>
      </c>
      <c r="S825" s="987">
        <v>2023</v>
      </c>
    </row>
    <row r="826" spans="1:19" ht="40.9" customHeight="1">
      <c r="A826" s="1021">
        <v>307</v>
      </c>
      <c r="B826" s="1127" t="s">
        <v>1297</v>
      </c>
      <c r="C826" s="1017">
        <v>1974</v>
      </c>
      <c r="D826" s="1017"/>
      <c r="E826" s="1319" t="s">
        <v>218</v>
      </c>
      <c r="F826" s="1017">
        <v>2</v>
      </c>
      <c r="G826" s="1017">
        <v>1</v>
      </c>
      <c r="H826" s="1018">
        <v>801.1</v>
      </c>
      <c r="I826" s="1018">
        <v>720.7</v>
      </c>
      <c r="J826" s="1018">
        <v>720.7</v>
      </c>
      <c r="K826" s="1008">
        <v>34</v>
      </c>
      <c r="L826" s="1018">
        <v>3163087.64</v>
      </c>
      <c r="M826" s="1018">
        <v>0</v>
      </c>
      <c r="N826" s="1018">
        <v>0</v>
      </c>
      <c r="O826" s="1018">
        <v>3163087.64</v>
      </c>
      <c r="P826" s="1018">
        <v>0</v>
      </c>
      <c r="Q826" s="1018">
        <v>0</v>
      </c>
      <c r="R826" s="987">
        <v>2022</v>
      </c>
      <c r="S826" s="987">
        <v>2023</v>
      </c>
    </row>
    <row r="827" spans="1:19" ht="43.9" customHeight="1">
      <c r="A827" s="1021">
        <v>308</v>
      </c>
      <c r="B827" s="1139" t="s">
        <v>1151</v>
      </c>
      <c r="C827" s="1017">
        <v>1986</v>
      </c>
      <c r="D827" s="1017"/>
      <c r="E827" s="1319" t="s">
        <v>218</v>
      </c>
      <c r="F827" s="1017">
        <v>4</v>
      </c>
      <c r="G827" s="1017">
        <v>2</v>
      </c>
      <c r="H827" s="1018">
        <v>1738.1</v>
      </c>
      <c r="I827" s="1018">
        <v>1727.3</v>
      </c>
      <c r="J827" s="1018">
        <v>1727.3</v>
      </c>
      <c r="K827" s="1008">
        <v>67</v>
      </c>
      <c r="L827" s="1018">
        <v>2312763.7799999998</v>
      </c>
      <c r="M827" s="1018">
        <v>0</v>
      </c>
      <c r="N827" s="1018">
        <v>0</v>
      </c>
      <c r="O827" s="1018">
        <v>2312763.7799999998</v>
      </c>
      <c r="P827" s="1018">
        <v>0</v>
      </c>
      <c r="Q827" s="1018">
        <v>0</v>
      </c>
      <c r="R827" s="987">
        <v>2022</v>
      </c>
      <c r="S827" s="987">
        <v>2023</v>
      </c>
    </row>
    <row r="828" spans="1:19" ht="45" customHeight="1">
      <c r="A828" s="1319"/>
      <c r="B828" s="1318" t="s">
        <v>1238</v>
      </c>
      <c r="C828" s="1321"/>
      <c r="D828" s="1096"/>
      <c r="E828" s="1321"/>
      <c r="F828" s="1321"/>
      <c r="G828" s="1321"/>
      <c r="H828" s="985">
        <f>H829+H830+H831</f>
        <v>4612.3</v>
      </c>
      <c r="I828" s="985">
        <f t="shared" ref="I828:Q828" si="181">I829+I830+I831</f>
        <v>4552.8999999999996</v>
      </c>
      <c r="J828" s="985">
        <f t="shared" si="181"/>
        <v>4192.6000000000004</v>
      </c>
      <c r="K828" s="985">
        <f t="shared" si="181"/>
        <v>158</v>
      </c>
      <c r="L828" s="985">
        <f t="shared" si="181"/>
        <v>5798049.5999999996</v>
      </c>
      <c r="M828" s="985">
        <f t="shared" si="181"/>
        <v>0</v>
      </c>
      <c r="N828" s="985">
        <f t="shared" si="181"/>
        <v>0</v>
      </c>
      <c r="O828" s="985">
        <f t="shared" si="181"/>
        <v>5798049.5999999996</v>
      </c>
      <c r="P828" s="985">
        <f t="shared" si="181"/>
        <v>0</v>
      </c>
      <c r="Q828" s="985">
        <f t="shared" si="181"/>
        <v>0</v>
      </c>
      <c r="R828" s="991" t="s">
        <v>40</v>
      </c>
      <c r="S828" s="991" t="s">
        <v>40</v>
      </c>
    </row>
    <row r="829" spans="1:19" ht="40.9" customHeight="1">
      <c r="A829" s="1319">
        <v>309</v>
      </c>
      <c r="B829" s="1316" t="s">
        <v>1241</v>
      </c>
      <c r="C829" s="1321">
        <v>1980</v>
      </c>
      <c r="D829" s="1321"/>
      <c r="E829" s="1319" t="s">
        <v>218</v>
      </c>
      <c r="F829" s="1321">
        <v>2</v>
      </c>
      <c r="G829" s="1321">
        <v>2</v>
      </c>
      <c r="H829" s="985">
        <v>789.1</v>
      </c>
      <c r="I829" s="985">
        <v>729.7</v>
      </c>
      <c r="J829" s="985">
        <v>729.7</v>
      </c>
      <c r="K829" s="1030">
        <v>33</v>
      </c>
      <c r="L829" s="986">
        <v>1298765.6000000001</v>
      </c>
      <c r="M829" s="986">
        <v>0</v>
      </c>
      <c r="N829" s="986">
        <v>0</v>
      </c>
      <c r="O829" s="986">
        <v>1298765.6000000001</v>
      </c>
      <c r="P829" s="993">
        <v>0</v>
      </c>
      <c r="Q829" s="986">
        <v>0</v>
      </c>
      <c r="R829" s="987">
        <v>2018</v>
      </c>
      <c r="S829" s="987">
        <v>2023</v>
      </c>
    </row>
    <row r="830" spans="1:19" ht="39.6" customHeight="1">
      <c r="A830" s="1319">
        <v>310</v>
      </c>
      <c r="B830" s="1316" t="s">
        <v>1240</v>
      </c>
      <c r="C830" s="1017">
        <v>1970</v>
      </c>
      <c r="D830" s="1017"/>
      <c r="E830" s="1319" t="s">
        <v>218</v>
      </c>
      <c r="F830" s="1017">
        <v>2</v>
      </c>
      <c r="G830" s="1017">
        <v>2</v>
      </c>
      <c r="H830" s="1018">
        <v>662.8</v>
      </c>
      <c r="I830" s="1018">
        <v>662.8</v>
      </c>
      <c r="J830" s="1018">
        <v>662.8</v>
      </c>
      <c r="K830" s="1008">
        <v>17</v>
      </c>
      <c r="L830" s="986">
        <v>1861026</v>
      </c>
      <c r="M830" s="986">
        <v>0</v>
      </c>
      <c r="N830" s="986">
        <v>0</v>
      </c>
      <c r="O830" s="986">
        <v>1861026</v>
      </c>
      <c r="P830" s="1023">
        <v>0</v>
      </c>
      <c r="Q830" s="986">
        <v>0</v>
      </c>
      <c r="R830" s="987">
        <v>2022</v>
      </c>
      <c r="S830" s="987">
        <v>2023</v>
      </c>
    </row>
    <row r="831" spans="1:19" ht="39.6" customHeight="1">
      <c r="A831" s="1319">
        <v>311</v>
      </c>
      <c r="B831" s="1316" t="s">
        <v>2044</v>
      </c>
      <c r="C831" s="1321">
        <v>1980</v>
      </c>
      <c r="D831" s="1321"/>
      <c r="E831" s="1319" t="s">
        <v>219</v>
      </c>
      <c r="F831" s="1321">
        <v>5</v>
      </c>
      <c r="G831" s="1321">
        <v>4</v>
      </c>
      <c r="H831" s="985">
        <v>3160.4</v>
      </c>
      <c r="I831" s="985">
        <v>3160.4</v>
      </c>
      <c r="J831" s="985">
        <v>2800.1</v>
      </c>
      <c r="K831" s="1030">
        <v>108</v>
      </c>
      <c r="L831" s="986">
        <v>2638258</v>
      </c>
      <c r="M831" s="986">
        <v>0</v>
      </c>
      <c r="N831" s="986">
        <v>0</v>
      </c>
      <c r="O831" s="986">
        <v>2638258</v>
      </c>
      <c r="P831" s="993">
        <v>0</v>
      </c>
      <c r="Q831" s="986">
        <v>0</v>
      </c>
      <c r="R831" s="987">
        <v>2021</v>
      </c>
      <c r="S831" s="987">
        <v>2021</v>
      </c>
    </row>
    <row r="832" spans="1:19" ht="39.6" customHeight="1">
      <c r="A832" s="1319"/>
      <c r="B832" s="1313" t="s">
        <v>49</v>
      </c>
      <c r="C832" s="1321"/>
      <c r="D832" s="1096"/>
      <c r="E832" s="1321"/>
      <c r="F832" s="1321"/>
      <c r="G832" s="1321"/>
      <c r="H832" s="985">
        <f>H833+H835+H839+H841+H845+H847</f>
        <v>13726.5</v>
      </c>
      <c r="I832" s="985">
        <f t="shared" ref="I832:Q832" si="182">I833+I835+I839+I841+I845+I847</f>
        <v>12173.5</v>
      </c>
      <c r="J832" s="985">
        <f t="shared" si="182"/>
        <v>11603.199999999999</v>
      </c>
      <c r="K832" s="985">
        <f t="shared" si="182"/>
        <v>556</v>
      </c>
      <c r="L832" s="985">
        <f t="shared" si="182"/>
        <v>27352279.659999996</v>
      </c>
      <c r="M832" s="985">
        <f t="shared" si="182"/>
        <v>0</v>
      </c>
      <c r="N832" s="985">
        <f t="shared" si="182"/>
        <v>0</v>
      </c>
      <c r="O832" s="985">
        <f t="shared" si="182"/>
        <v>27352279.659999996</v>
      </c>
      <c r="P832" s="985">
        <f t="shared" si="182"/>
        <v>0</v>
      </c>
      <c r="Q832" s="985">
        <f t="shared" si="182"/>
        <v>0</v>
      </c>
      <c r="R832" s="991" t="s">
        <v>40</v>
      </c>
      <c r="S832" s="991" t="s">
        <v>40</v>
      </c>
    </row>
    <row r="833" spans="1:19" ht="39.6" customHeight="1">
      <c r="A833" s="1319"/>
      <c r="B833" s="1313" t="s">
        <v>1056</v>
      </c>
      <c r="C833" s="1321"/>
      <c r="D833" s="1096"/>
      <c r="E833" s="1319"/>
      <c r="F833" s="1321"/>
      <c r="G833" s="1321"/>
      <c r="H833" s="985">
        <f>H834</f>
        <v>1483.1</v>
      </c>
      <c r="I833" s="985">
        <f t="shared" ref="I833:Q833" si="183">I834</f>
        <v>1375.4</v>
      </c>
      <c r="J833" s="985">
        <f t="shared" si="183"/>
        <v>1195.5</v>
      </c>
      <c r="K833" s="1030">
        <f t="shared" si="183"/>
        <v>64</v>
      </c>
      <c r="L833" s="985">
        <f t="shared" si="183"/>
        <v>2674133</v>
      </c>
      <c r="M833" s="985">
        <f t="shared" si="183"/>
        <v>0</v>
      </c>
      <c r="N833" s="985">
        <f t="shared" si="183"/>
        <v>0</v>
      </c>
      <c r="O833" s="985">
        <f t="shared" si="183"/>
        <v>2674133</v>
      </c>
      <c r="P833" s="985">
        <f t="shared" si="183"/>
        <v>0</v>
      </c>
      <c r="Q833" s="985">
        <f t="shared" si="183"/>
        <v>0</v>
      </c>
      <c r="R833" s="991" t="s">
        <v>40</v>
      </c>
      <c r="S833" s="991" t="s">
        <v>40</v>
      </c>
    </row>
    <row r="834" spans="1:19" ht="39.6" customHeight="1">
      <c r="A834" s="1319">
        <v>312</v>
      </c>
      <c r="B834" s="1313" t="s">
        <v>1226</v>
      </c>
      <c r="C834" s="1321">
        <v>1982</v>
      </c>
      <c r="D834" s="1321"/>
      <c r="E834" s="1319" t="s">
        <v>219</v>
      </c>
      <c r="F834" s="1321">
        <v>3</v>
      </c>
      <c r="G834" s="1321">
        <v>3</v>
      </c>
      <c r="H834" s="985">
        <v>1483.1</v>
      </c>
      <c r="I834" s="985">
        <v>1375.4</v>
      </c>
      <c r="J834" s="985">
        <v>1195.5</v>
      </c>
      <c r="K834" s="1030">
        <v>64</v>
      </c>
      <c r="L834" s="986">
        <v>2674133</v>
      </c>
      <c r="M834" s="986">
        <v>0</v>
      </c>
      <c r="N834" s="986">
        <v>0</v>
      </c>
      <c r="O834" s="986">
        <f>L834</f>
        <v>2674133</v>
      </c>
      <c r="P834" s="993">
        <v>0</v>
      </c>
      <c r="Q834" s="986">
        <v>0</v>
      </c>
      <c r="R834" s="987">
        <v>2022</v>
      </c>
      <c r="S834" s="987">
        <v>2023</v>
      </c>
    </row>
    <row r="835" spans="1:19" ht="39.6" customHeight="1">
      <c r="A835" s="1319"/>
      <c r="B835" s="1313" t="s">
        <v>1087</v>
      </c>
      <c r="C835" s="1321"/>
      <c r="D835" s="1321"/>
      <c r="E835" s="1319"/>
      <c r="F835" s="1321"/>
      <c r="G835" s="1321"/>
      <c r="H835" s="985">
        <f>H836+H837+H838</f>
        <v>8302.5</v>
      </c>
      <c r="I835" s="985">
        <f t="shared" ref="I835:Q835" si="184">I836+I837+I838</f>
        <v>7791.8</v>
      </c>
      <c r="J835" s="985">
        <f t="shared" si="184"/>
        <v>7472</v>
      </c>
      <c r="K835" s="985">
        <f t="shared" si="184"/>
        <v>328</v>
      </c>
      <c r="L835" s="985">
        <f t="shared" si="184"/>
        <v>11161450</v>
      </c>
      <c r="M835" s="985">
        <f t="shared" si="184"/>
        <v>0</v>
      </c>
      <c r="N835" s="985">
        <f t="shared" si="184"/>
        <v>0</v>
      </c>
      <c r="O835" s="985">
        <f t="shared" si="184"/>
        <v>11161450</v>
      </c>
      <c r="P835" s="985">
        <f t="shared" si="184"/>
        <v>0</v>
      </c>
      <c r="Q835" s="985">
        <f t="shared" si="184"/>
        <v>0</v>
      </c>
      <c r="R835" s="991" t="s">
        <v>40</v>
      </c>
      <c r="S835" s="991" t="s">
        <v>40</v>
      </c>
    </row>
    <row r="836" spans="1:19" ht="40.15" customHeight="1">
      <c r="A836" s="1319">
        <v>313</v>
      </c>
      <c r="B836" s="1313" t="s">
        <v>1223</v>
      </c>
      <c r="C836" s="1321">
        <v>1966</v>
      </c>
      <c r="D836" s="1321"/>
      <c r="E836" s="1319" t="s">
        <v>219</v>
      </c>
      <c r="F836" s="1321">
        <v>4</v>
      </c>
      <c r="G836" s="1321">
        <v>4</v>
      </c>
      <c r="H836" s="985">
        <v>1859.6</v>
      </c>
      <c r="I836" s="985">
        <v>1348.9</v>
      </c>
      <c r="J836" s="985">
        <v>1348.9</v>
      </c>
      <c r="K836" s="1030">
        <v>94</v>
      </c>
      <c r="L836" s="986">
        <v>2523803</v>
      </c>
      <c r="M836" s="986">
        <v>0</v>
      </c>
      <c r="N836" s="986">
        <v>0</v>
      </c>
      <c r="O836" s="986">
        <v>2523803</v>
      </c>
      <c r="P836" s="993">
        <v>0</v>
      </c>
      <c r="Q836" s="986">
        <v>0</v>
      </c>
      <c r="R836" s="987">
        <v>2022</v>
      </c>
      <c r="S836" s="987">
        <v>2023</v>
      </c>
    </row>
    <row r="837" spans="1:19" ht="42" customHeight="1">
      <c r="A837" s="1319">
        <v>314</v>
      </c>
      <c r="B837" s="1313" t="s">
        <v>1224</v>
      </c>
      <c r="C837" s="1321">
        <v>1966</v>
      </c>
      <c r="D837" s="1321"/>
      <c r="E837" s="1319" t="s">
        <v>219</v>
      </c>
      <c r="F837" s="1321">
        <v>4</v>
      </c>
      <c r="G837" s="1321">
        <v>4</v>
      </c>
      <c r="H837" s="985">
        <v>1932.6</v>
      </c>
      <c r="I837" s="985">
        <v>1932.6</v>
      </c>
      <c r="J837" s="985">
        <v>1852.8</v>
      </c>
      <c r="K837" s="1030">
        <v>105</v>
      </c>
      <c r="L837" s="986">
        <v>2536813</v>
      </c>
      <c r="M837" s="986">
        <v>0</v>
      </c>
      <c r="N837" s="986">
        <v>0</v>
      </c>
      <c r="O837" s="986">
        <v>2536813</v>
      </c>
      <c r="P837" s="993">
        <v>0</v>
      </c>
      <c r="Q837" s="986">
        <v>0</v>
      </c>
      <c r="R837" s="987">
        <v>2022</v>
      </c>
      <c r="S837" s="987">
        <v>2023</v>
      </c>
    </row>
    <row r="838" spans="1:19" ht="40.15" customHeight="1">
      <c r="A838" s="1319">
        <v>315</v>
      </c>
      <c r="B838" s="1313" t="s">
        <v>1225</v>
      </c>
      <c r="C838" s="1321">
        <v>1973</v>
      </c>
      <c r="D838" s="1321"/>
      <c r="E838" s="1319" t="s">
        <v>219</v>
      </c>
      <c r="F838" s="1321">
        <v>4</v>
      </c>
      <c r="G838" s="1321">
        <v>6</v>
      </c>
      <c r="H838" s="985">
        <v>4510.3</v>
      </c>
      <c r="I838" s="985">
        <v>4510.3</v>
      </c>
      <c r="J838" s="985">
        <v>4270.3</v>
      </c>
      <c r="K838" s="1030">
        <v>129</v>
      </c>
      <c r="L838" s="986">
        <v>6100834</v>
      </c>
      <c r="M838" s="986">
        <v>0</v>
      </c>
      <c r="N838" s="986">
        <v>0</v>
      </c>
      <c r="O838" s="986">
        <v>6100834</v>
      </c>
      <c r="P838" s="993">
        <v>0</v>
      </c>
      <c r="Q838" s="986">
        <v>0</v>
      </c>
      <c r="R838" s="987">
        <v>2022</v>
      </c>
      <c r="S838" s="987">
        <v>2023</v>
      </c>
    </row>
    <row r="839" spans="1:19" ht="40.15" customHeight="1">
      <c r="A839" s="1319"/>
      <c r="B839" s="1428" t="s">
        <v>2052</v>
      </c>
      <c r="C839" s="1428"/>
      <c r="D839" s="1428"/>
      <c r="E839" s="1428"/>
      <c r="F839" s="1428"/>
      <c r="G839" s="1428"/>
      <c r="H839" s="985">
        <f>H840</f>
        <v>844.8</v>
      </c>
      <c r="I839" s="985">
        <f t="shared" ref="I839:Q839" si="185">I840</f>
        <v>783.9</v>
      </c>
      <c r="J839" s="985">
        <f t="shared" si="185"/>
        <v>783.9</v>
      </c>
      <c r="K839" s="1030">
        <f t="shared" si="185"/>
        <v>30</v>
      </c>
      <c r="L839" s="985">
        <f t="shared" si="185"/>
        <v>1808834</v>
      </c>
      <c r="M839" s="985">
        <f t="shared" si="185"/>
        <v>0</v>
      </c>
      <c r="N839" s="985">
        <f t="shared" si="185"/>
        <v>0</v>
      </c>
      <c r="O839" s="985">
        <f t="shared" si="185"/>
        <v>1808834</v>
      </c>
      <c r="P839" s="985">
        <f t="shared" si="185"/>
        <v>0</v>
      </c>
      <c r="Q839" s="985">
        <f t="shared" si="185"/>
        <v>0</v>
      </c>
      <c r="R839" s="991" t="s">
        <v>40</v>
      </c>
      <c r="S839" s="991" t="s">
        <v>40</v>
      </c>
    </row>
    <row r="840" spans="1:19" ht="40.15" customHeight="1">
      <c r="A840" s="1319">
        <v>316</v>
      </c>
      <c r="B840" s="1316" t="s">
        <v>2053</v>
      </c>
      <c r="C840" s="1321">
        <v>1978</v>
      </c>
      <c r="D840" s="1321"/>
      <c r="E840" s="1319" t="s">
        <v>218</v>
      </c>
      <c r="F840" s="1321">
        <v>2</v>
      </c>
      <c r="G840" s="1321">
        <v>2</v>
      </c>
      <c r="H840" s="985">
        <v>844.8</v>
      </c>
      <c r="I840" s="985">
        <v>783.9</v>
      </c>
      <c r="J840" s="985">
        <v>783.9</v>
      </c>
      <c r="K840" s="1030">
        <v>30</v>
      </c>
      <c r="L840" s="986">
        <v>1808834</v>
      </c>
      <c r="M840" s="986">
        <v>0</v>
      </c>
      <c r="N840" s="986">
        <v>0</v>
      </c>
      <c r="O840" s="986">
        <v>1808834</v>
      </c>
      <c r="P840" s="993">
        <v>0</v>
      </c>
      <c r="Q840" s="986">
        <v>0</v>
      </c>
      <c r="R840" s="987">
        <v>2022</v>
      </c>
      <c r="S840" s="987">
        <v>2022</v>
      </c>
    </row>
    <row r="841" spans="1:19" ht="41.45" customHeight="1">
      <c r="A841" s="1319"/>
      <c r="B841" s="1313" t="s">
        <v>1026</v>
      </c>
      <c r="C841" s="1321"/>
      <c r="D841" s="1096"/>
      <c r="E841" s="1321"/>
      <c r="F841" s="1321"/>
      <c r="G841" s="1321"/>
      <c r="H841" s="985">
        <f>H842+H843+H844</f>
        <v>2332.1</v>
      </c>
      <c r="I841" s="985">
        <f t="shared" ref="I841:Q841" si="186">I842+I843+I844</f>
        <v>1458.3999999999999</v>
      </c>
      <c r="J841" s="985">
        <f t="shared" si="186"/>
        <v>1458.3999999999999</v>
      </c>
      <c r="K841" s="985">
        <f t="shared" si="186"/>
        <v>95</v>
      </c>
      <c r="L841" s="985">
        <f t="shared" si="186"/>
        <v>7623339.5099999998</v>
      </c>
      <c r="M841" s="985">
        <f t="shared" si="186"/>
        <v>0</v>
      </c>
      <c r="N841" s="985">
        <f t="shared" si="186"/>
        <v>0</v>
      </c>
      <c r="O841" s="985">
        <f t="shared" si="186"/>
        <v>7623339.5099999998</v>
      </c>
      <c r="P841" s="985">
        <f t="shared" si="186"/>
        <v>0</v>
      </c>
      <c r="Q841" s="985">
        <f t="shared" si="186"/>
        <v>0</v>
      </c>
      <c r="R841" s="991" t="s">
        <v>40</v>
      </c>
      <c r="S841" s="991" t="s">
        <v>40</v>
      </c>
    </row>
    <row r="842" spans="1:19" ht="42" customHeight="1">
      <c r="A842" s="1319">
        <v>317</v>
      </c>
      <c r="B842" s="1313" t="s">
        <v>1963</v>
      </c>
      <c r="C842" s="1321">
        <v>1968</v>
      </c>
      <c r="D842" s="1321"/>
      <c r="E842" s="1319" t="s">
        <v>218</v>
      </c>
      <c r="F842" s="1321">
        <v>2</v>
      </c>
      <c r="G842" s="1321">
        <v>2</v>
      </c>
      <c r="H842" s="985">
        <v>735</v>
      </c>
      <c r="I842" s="985">
        <v>480.2</v>
      </c>
      <c r="J842" s="985">
        <v>480.2</v>
      </c>
      <c r="K842" s="1030">
        <v>30</v>
      </c>
      <c r="L842" s="986">
        <v>2330422.92</v>
      </c>
      <c r="M842" s="986">
        <v>0</v>
      </c>
      <c r="N842" s="986">
        <v>0</v>
      </c>
      <c r="O842" s="986">
        <f>L842</f>
        <v>2330422.92</v>
      </c>
      <c r="P842" s="993">
        <f t="shared" ref="P842" si="187">Q842</f>
        <v>0</v>
      </c>
      <c r="Q842" s="986">
        <v>0</v>
      </c>
      <c r="R842" s="987">
        <v>2020</v>
      </c>
      <c r="S842" s="987">
        <v>2023</v>
      </c>
    </row>
    <row r="843" spans="1:19" ht="42" customHeight="1">
      <c r="A843" s="1319">
        <v>318</v>
      </c>
      <c r="B843" s="1313" t="s">
        <v>1964</v>
      </c>
      <c r="C843" s="1321">
        <v>1967</v>
      </c>
      <c r="D843" s="1321"/>
      <c r="E843" s="1319" t="s">
        <v>218</v>
      </c>
      <c r="F843" s="1321">
        <v>2</v>
      </c>
      <c r="G843" s="1321">
        <v>2</v>
      </c>
      <c r="H843" s="985">
        <v>738.8</v>
      </c>
      <c r="I843" s="985">
        <v>482.9</v>
      </c>
      <c r="J843" s="985">
        <v>482.9</v>
      </c>
      <c r="K843" s="1030">
        <v>29</v>
      </c>
      <c r="L843" s="986">
        <v>2330422.92</v>
      </c>
      <c r="M843" s="986">
        <v>0</v>
      </c>
      <c r="N843" s="986">
        <v>0</v>
      </c>
      <c r="O843" s="986">
        <f t="shared" ref="O843:O844" si="188">L843</f>
        <v>2330422.92</v>
      </c>
      <c r="P843" s="993">
        <v>0</v>
      </c>
      <c r="Q843" s="986">
        <v>0</v>
      </c>
      <c r="R843" s="987">
        <v>2020</v>
      </c>
      <c r="S843" s="987">
        <v>2023</v>
      </c>
    </row>
    <row r="844" spans="1:19" ht="42" customHeight="1">
      <c r="A844" s="1319">
        <v>319</v>
      </c>
      <c r="B844" s="1313" t="s">
        <v>1965</v>
      </c>
      <c r="C844" s="1321">
        <v>1978</v>
      </c>
      <c r="D844" s="1321"/>
      <c r="E844" s="1319" t="s">
        <v>218</v>
      </c>
      <c r="F844" s="1321">
        <v>2</v>
      </c>
      <c r="G844" s="1321">
        <v>3</v>
      </c>
      <c r="H844" s="985">
        <v>858.3</v>
      </c>
      <c r="I844" s="985">
        <v>495.3</v>
      </c>
      <c r="J844" s="985">
        <v>495.3</v>
      </c>
      <c r="K844" s="1030">
        <v>36</v>
      </c>
      <c r="L844" s="986">
        <v>2962493.67</v>
      </c>
      <c r="M844" s="986">
        <v>0</v>
      </c>
      <c r="N844" s="986">
        <v>0</v>
      </c>
      <c r="O844" s="986">
        <f t="shared" si="188"/>
        <v>2962493.67</v>
      </c>
      <c r="P844" s="993">
        <v>0</v>
      </c>
      <c r="Q844" s="986">
        <v>0</v>
      </c>
      <c r="R844" s="987">
        <v>2020</v>
      </c>
      <c r="S844" s="987">
        <v>2023</v>
      </c>
    </row>
    <row r="845" spans="1:19" ht="37.15" customHeight="1">
      <c r="A845" s="1319"/>
      <c r="B845" s="1313" t="s">
        <v>2001</v>
      </c>
      <c r="C845" s="1321"/>
      <c r="D845" s="1321"/>
      <c r="E845" s="1319"/>
      <c r="F845" s="1321"/>
      <c r="G845" s="1321"/>
      <c r="H845" s="985">
        <f>H846</f>
        <v>400.9</v>
      </c>
      <c r="I845" s="985">
        <f t="shared" ref="I845:Q845" si="189">I846</f>
        <v>400.9</v>
      </c>
      <c r="J845" s="985">
        <f t="shared" si="189"/>
        <v>330.3</v>
      </c>
      <c r="K845" s="985">
        <f t="shared" si="189"/>
        <v>24</v>
      </c>
      <c r="L845" s="985">
        <f t="shared" si="189"/>
        <v>2757759.15</v>
      </c>
      <c r="M845" s="985">
        <f t="shared" si="189"/>
        <v>0</v>
      </c>
      <c r="N845" s="985">
        <f t="shared" si="189"/>
        <v>0</v>
      </c>
      <c r="O845" s="985">
        <f t="shared" si="189"/>
        <v>2757759.15</v>
      </c>
      <c r="P845" s="985">
        <f t="shared" si="189"/>
        <v>0</v>
      </c>
      <c r="Q845" s="985">
        <f t="shared" si="189"/>
        <v>0</v>
      </c>
      <c r="R845" s="991" t="s">
        <v>40</v>
      </c>
      <c r="S845" s="991" t="s">
        <v>40</v>
      </c>
    </row>
    <row r="846" spans="1:19" ht="43.9" customHeight="1">
      <c r="A846" s="1319">
        <v>320</v>
      </c>
      <c r="B846" s="1313" t="s">
        <v>2003</v>
      </c>
      <c r="C846" s="1321">
        <v>1957</v>
      </c>
      <c r="D846" s="1321"/>
      <c r="E846" s="1319" t="s">
        <v>218</v>
      </c>
      <c r="F846" s="1321">
        <v>2</v>
      </c>
      <c r="G846" s="1321">
        <v>3</v>
      </c>
      <c r="H846" s="985">
        <v>400.9</v>
      </c>
      <c r="I846" s="985">
        <v>400.9</v>
      </c>
      <c r="J846" s="985">
        <v>330.3</v>
      </c>
      <c r="K846" s="1030">
        <v>24</v>
      </c>
      <c r="L846" s="986">
        <v>2757759.15</v>
      </c>
      <c r="M846" s="986">
        <v>0</v>
      </c>
      <c r="N846" s="986">
        <v>0</v>
      </c>
      <c r="O846" s="986">
        <v>2757759.15</v>
      </c>
      <c r="P846" s="993">
        <v>0</v>
      </c>
      <c r="Q846" s="986">
        <v>0</v>
      </c>
      <c r="R846" s="987">
        <v>2022</v>
      </c>
      <c r="S846" s="987">
        <v>2023</v>
      </c>
    </row>
    <row r="847" spans="1:19" ht="39.6" customHeight="1">
      <c r="A847" s="1319"/>
      <c r="B847" s="1313" t="s">
        <v>2013</v>
      </c>
      <c r="C847" s="1321"/>
      <c r="D847" s="1096"/>
      <c r="E847" s="1319"/>
      <c r="F847" s="1321"/>
      <c r="G847" s="1321"/>
      <c r="H847" s="985">
        <f>H848</f>
        <v>363.1</v>
      </c>
      <c r="I847" s="985">
        <f t="shared" ref="I847:Q847" si="190">I848</f>
        <v>363.1</v>
      </c>
      <c r="J847" s="985">
        <f t="shared" si="190"/>
        <v>363.1</v>
      </c>
      <c r="K847" s="985">
        <f t="shared" si="190"/>
        <v>15</v>
      </c>
      <c r="L847" s="985">
        <f t="shared" si="190"/>
        <v>1326764</v>
      </c>
      <c r="M847" s="985">
        <f t="shared" si="190"/>
        <v>0</v>
      </c>
      <c r="N847" s="985">
        <f t="shared" si="190"/>
        <v>0</v>
      </c>
      <c r="O847" s="985">
        <f t="shared" si="190"/>
        <v>1326764</v>
      </c>
      <c r="P847" s="985">
        <f t="shared" si="190"/>
        <v>0</v>
      </c>
      <c r="Q847" s="985">
        <f t="shared" si="190"/>
        <v>0</v>
      </c>
      <c r="R847" s="991" t="s">
        <v>40</v>
      </c>
      <c r="S847" s="991" t="s">
        <v>40</v>
      </c>
    </row>
    <row r="848" spans="1:19" ht="38.450000000000003" customHeight="1">
      <c r="A848" s="1319">
        <v>321</v>
      </c>
      <c r="B848" s="1316" t="s">
        <v>2014</v>
      </c>
      <c r="C848" s="1321">
        <v>1957</v>
      </c>
      <c r="D848" s="1321"/>
      <c r="E848" s="1319" t="s">
        <v>218</v>
      </c>
      <c r="F848" s="1321">
        <v>2</v>
      </c>
      <c r="G848" s="1321">
        <v>1</v>
      </c>
      <c r="H848" s="985">
        <v>363.1</v>
      </c>
      <c r="I848" s="985">
        <v>363.1</v>
      </c>
      <c r="J848" s="985">
        <v>363.1</v>
      </c>
      <c r="K848" s="1030">
        <v>15</v>
      </c>
      <c r="L848" s="986">
        <v>1326764</v>
      </c>
      <c r="M848" s="986">
        <v>0</v>
      </c>
      <c r="N848" s="986">
        <v>0</v>
      </c>
      <c r="O848" s="986">
        <v>1326764</v>
      </c>
      <c r="P848" s="993">
        <v>0</v>
      </c>
      <c r="Q848" s="986">
        <v>0</v>
      </c>
      <c r="R848" s="987">
        <v>2019</v>
      </c>
      <c r="S848" s="987">
        <v>2020</v>
      </c>
    </row>
    <row r="849" spans="1:19" ht="39.6" customHeight="1">
      <c r="A849" s="1319"/>
      <c r="B849" s="1313" t="s">
        <v>50</v>
      </c>
      <c r="C849" s="1321"/>
      <c r="D849" s="1096"/>
      <c r="E849" s="1319"/>
      <c r="F849" s="1321"/>
      <c r="G849" s="1321"/>
      <c r="H849" s="985">
        <f>H850</f>
        <v>1063.5999999999999</v>
      </c>
      <c r="I849" s="985">
        <f t="shared" ref="I849:Q849" si="191">I850</f>
        <v>1062.9000000000001</v>
      </c>
      <c r="J849" s="985">
        <f t="shared" si="191"/>
        <v>898.4</v>
      </c>
      <c r="K849" s="985">
        <f t="shared" si="191"/>
        <v>41</v>
      </c>
      <c r="L849" s="985">
        <f t="shared" si="191"/>
        <v>4066007.92</v>
      </c>
      <c r="M849" s="985">
        <f t="shared" si="191"/>
        <v>0</v>
      </c>
      <c r="N849" s="985">
        <f t="shared" si="191"/>
        <v>0</v>
      </c>
      <c r="O849" s="985">
        <f t="shared" si="191"/>
        <v>4066007.92</v>
      </c>
      <c r="P849" s="985">
        <f t="shared" si="191"/>
        <v>0</v>
      </c>
      <c r="Q849" s="985">
        <f t="shared" si="191"/>
        <v>0</v>
      </c>
      <c r="R849" s="991" t="s">
        <v>40</v>
      </c>
      <c r="S849" s="991" t="s">
        <v>40</v>
      </c>
    </row>
    <row r="850" spans="1:19" ht="36.6" customHeight="1">
      <c r="A850" s="1319"/>
      <c r="B850" s="1313" t="s">
        <v>1028</v>
      </c>
      <c r="C850" s="1321"/>
      <c r="D850" s="1096"/>
      <c r="E850" s="1319"/>
      <c r="F850" s="1321"/>
      <c r="G850" s="1321"/>
      <c r="H850" s="985">
        <f t="shared" ref="H850:Q850" si="192">SUM(H851:H852)</f>
        <v>1063.5999999999999</v>
      </c>
      <c r="I850" s="985">
        <f t="shared" si="192"/>
        <v>1062.9000000000001</v>
      </c>
      <c r="J850" s="985">
        <f t="shared" si="192"/>
        <v>898.4</v>
      </c>
      <c r="K850" s="1030">
        <f t="shared" si="192"/>
        <v>41</v>
      </c>
      <c r="L850" s="985">
        <f t="shared" si="192"/>
        <v>4066007.92</v>
      </c>
      <c r="M850" s="985">
        <f t="shared" si="192"/>
        <v>0</v>
      </c>
      <c r="N850" s="985">
        <f t="shared" si="192"/>
        <v>0</v>
      </c>
      <c r="O850" s="985">
        <f t="shared" si="192"/>
        <v>4066007.92</v>
      </c>
      <c r="P850" s="985">
        <f t="shared" si="192"/>
        <v>0</v>
      </c>
      <c r="Q850" s="985">
        <f t="shared" si="192"/>
        <v>0</v>
      </c>
      <c r="R850" s="991" t="s">
        <v>40</v>
      </c>
      <c r="S850" s="991" t="s">
        <v>40</v>
      </c>
    </row>
    <row r="851" spans="1:19" ht="42.6" customHeight="1">
      <c r="A851" s="1021">
        <v>322</v>
      </c>
      <c r="B851" s="1206" t="s">
        <v>2064</v>
      </c>
      <c r="C851" s="1207">
        <v>1967</v>
      </c>
      <c r="D851" s="1170"/>
      <c r="E851" s="1319" t="s">
        <v>218</v>
      </c>
      <c r="F851" s="1165">
        <v>2</v>
      </c>
      <c r="G851" s="1165">
        <v>3</v>
      </c>
      <c r="H851" s="1208">
        <v>483.9</v>
      </c>
      <c r="I851" s="1171">
        <v>483.2</v>
      </c>
      <c r="J851" s="1209">
        <v>413.9</v>
      </c>
      <c r="K851" s="1172">
        <v>22</v>
      </c>
      <c r="L851" s="1174">
        <v>2223596.0299999998</v>
      </c>
      <c r="M851" s="1174">
        <v>0</v>
      </c>
      <c r="N851" s="1174">
        <v>0</v>
      </c>
      <c r="O851" s="1174">
        <v>2223596.0299999998</v>
      </c>
      <c r="P851" s="1174">
        <v>0</v>
      </c>
      <c r="Q851" s="1174">
        <v>0</v>
      </c>
      <c r="R851" s="1021">
        <v>2022</v>
      </c>
      <c r="S851" s="1021">
        <v>2024</v>
      </c>
    </row>
    <row r="852" spans="1:19" ht="40.15" customHeight="1">
      <c r="A852" s="1021">
        <v>323</v>
      </c>
      <c r="B852" s="1206" t="s">
        <v>2065</v>
      </c>
      <c r="C852" s="1207">
        <v>1967</v>
      </c>
      <c r="D852" s="1170"/>
      <c r="E852" s="1319" t="s">
        <v>218</v>
      </c>
      <c r="F852" s="1165">
        <v>2</v>
      </c>
      <c r="G852" s="1165">
        <v>2</v>
      </c>
      <c r="H852" s="1208">
        <v>579.70000000000005</v>
      </c>
      <c r="I852" s="1209">
        <v>579.70000000000005</v>
      </c>
      <c r="J852" s="1209">
        <v>484.5</v>
      </c>
      <c r="K852" s="1172">
        <v>19</v>
      </c>
      <c r="L852" s="1174">
        <v>1842411.89</v>
      </c>
      <c r="M852" s="1174">
        <v>0</v>
      </c>
      <c r="N852" s="1174">
        <v>0</v>
      </c>
      <c r="O852" s="1174">
        <v>1842411.89</v>
      </c>
      <c r="P852" s="1174">
        <v>0</v>
      </c>
      <c r="Q852" s="1174">
        <v>0</v>
      </c>
      <c r="R852" s="1021">
        <v>2022</v>
      </c>
      <c r="S852" s="1021">
        <v>2024</v>
      </c>
    </row>
    <row r="853" spans="1:19" ht="40.15" customHeight="1">
      <c r="A853" s="1319"/>
      <c r="B853" s="1313" t="s">
        <v>1067</v>
      </c>
      <c r="C853" s="1321"/>
      <c r="D853" s="1096"/>
      <c r="E853" s="1319"/>
      <c r="F853" s="1321"/>
      <c r="G853" s="1321"/>
      <c r="H853" s="1024">
        <f>SUM(H854:H880)</f>
        <v>35080.299999999996</v>
      </c>
      <c r="I853" s="1024">
        <f t="shared" ref="I853:Q853" si="193">SUM(I854:I880)</f>
        <v>35080.299999999996</v>
      </c>
      <c r="J853" s="1024">
        <f t="shared" si="193"/>
        <v>24901.599999999999</v>
      </c>
      <c r="K853" s="1024">
        <f t="shared" si="193"/>
        <v>1173</v>
      </c>
      <c r="L853" s="1024">
        <f t="shared" si="193"/>
        <v>52403248.219999991</v>
      </c>
      <c r="M853" s="1024">
        <f t="shared" si="193"/>
        <v>0</v>
      </c>
      <c r="N853" s="1024">
        <f t="shared" si="193"/>
        <v>0</v>
      </c>
      <c r="O853" s="1024">
        <f t="shared" si="193"/>
        <v>52403248.219999991</v>
      </c>
      <c r="P853" s="1024">
        <f t="shared" si="193"/>
        <v>0</v>
      </c>
      <c r="Q853" s="1024">
        <f t="shared" si="193"/>
        <v>0</v>
      </c>
      <c r="R853" s="991" t="s">
        <v>40</v>
      </c>
      <c r="S853" s="991" t="s">
        <v>40</v>
      </c>
    </row>
    <row r="854" spans="1:19" ht="40.15" customHeight="1">
      <c r="A854" s="1319">
        <v>324</v>
      </c>
      <c r="B854" s="1210" t="s">
        <v>1162</v>
      </c>
      <c r="C854" s="1022">
        <v>1917</v>
      </c>
      <c r="D854" s="1022"/>
      <c r="E854" s="1319" t="s">
        <v>218</v>
      </c>
      <c r="F854" s="1022">
        <v>2</v>
      </c>
      <c r="G854" s="1022">
        <v>1</v>
      </c>
      <c r="H854" s="1025">
        <v>329</v>
      </c>
      <c r="I854" s="1025">
        <v>329</v>
      </c>
      <c r="J854" s="1025">
        <v>172.1</v>
      </c>
      <c r="K854" s="1032">
        <v>12</v>
      </c>
      <c r="L854" s="1025">
        <v>298782.77</v>
      </c>
      <c r="M854" s="1025">
        <v>0</v>
      </c>
      <c r="N854" s="1025">
        <v>0</v>
      </c>
      <c r="O854" s="1025">
        <v>298782.77</v>
      </c>
      <c r="P854" s="1025">
        <v>0</v>
      </c>
      <c r="Q854" s="1025">
        <v>0</v>
      </c>
      <c r="R854" s="1022">
        <v>2016</v>
      </c>
      <c r="S854" s="1022">
        <v>2023</v>
      </c>
    </row>
    <row r="855" spans="1:19" ht="40.15" customHeight="1">
      <c r="A855" s="1319">
        <v>325</v>
      </c>
      <c r="B855" s="1026" t="s">
        <v>1163</v>
      </c>
      <c r="C855" s="1022">
        <v>1917</v>
      </c>
      <c r="D855" s="1022"/>
      <c r="E855" s="1022" t="s">
        <v>221</v>
      </c>
      <c r="F855" s="1022">
        <v>2</v>
      </c>
      <c r="G855" s="1022">
        <v>2</v>
      </c>
      <c r="H855" s="1025">
        <v>213.1</v>
      </c>
      <c r="I855" s="1025">
        <v>213.1</v>
      </c>
      <c r="J855" s="1025">
        <v>201.3</v>
      </c>
      <c r="K855" s="1032">
        <v>10</v>
      </c>
      <c r="L855" s="1025">
        <v>1128003.98</v>
      </c>
      <c r="M855" s="1025">
        <v>0</v>
      </c>
      <c r="N855" s="1025">
        <v>0</v>
      </c>
      <c r="O855" s="1025">
        <v>1128003.98</v>
      </c>
      <c r="P855" s="1025">
        <v>0</v>
      </c>
      <c r="Q855" s="1025">
        <v>0</v>
      </c>
      <c r="R855" s="1022">
        <v>2016</v>
      </c>
      <c r="S855" s="1022">
        <v>2023</v>
      </c>
    </row>
    <row r="856" spans="1:19" ht="40.15" customHeight="1">
      <c r="A856" s="1319">
        <v>326</v>
      </c>
      <c r="B856" s="1026" t="s">
        <v>1164</v>
      </c>
      <c r="C856" s="1022">
        <v>1955</v>
      </c>
      <c r="D856" s="1022"/>
      <c r="E856" s="1319" t="s">
        <v>218</v>
      </c>
      <c r="F856" s="1022">
        <v>2</v>
      </c>
      <c r="G856" s="1022">
        <v>2</v>
      </c>
      <c r="H856" s="1025">
        <v>431.2</v>
      </c>
      <c r="I856" s="1025">
        <v>431.2</v>
      </c>
      <c r="J856" s="1025">
        <v>389.4</v>
      </c>
      <c r="K856" s="1032">
        <v>20</v>
      </c>
      <c r="L856" s="985">
        <v>1554682.43</v>
      </c>
      <c r="M856" s="1025">
        <v>0</v>
      </c>
      <c r="N856" s="1025">
        <v>0</v>
      </c>
      <c r="O856" s="985">
        <v>1554682.43</v>
      </c>
      <c r="P856" s="1025">
        <v>0</v>
      </c>
      <c r="Q856" s="1025">
        <v>0</v>
      </c>
      <c r="R856" s="1022">
        <v>2016</v>
      </c>
      <c r="S856" s="1022">
        <v>2023</v>
      </c>
    </row>
    <row r="857" spans="1:19" ht="40.15" customHeight="1">
      <c r="A857" s="1319">
        <v>327</v>
      </c>
      <c r="B857" s="1026" t="s">
        <v>1165</v>
      </c>
      <c r="C857" s="1022">
        <v>1976</v>
      </c>
      <c r="D857" s="1022"/>
      <c r="E857" s="1319" t="s">
        <v>218</v>
      </c>
      <c r="F857" s="1022">
        <v>2</v>
      </c>
      <c r="G857" s="1022">
        <v>2</v>
      </c>
      <c r="H857" s="1025">
        <v>560.79999999999995</v>
      </c>
      <c r="I857" s="1025">
        <v>560.79999999999995</v>
      </c>
      <c r="J857" s="1025">
        <v>303.2</v>
      </c>
      <c r="K857" s="1032">
        <v>19</v>
      </c>
      <c r="L857" s="985">
        <v>2011655.53</v>
      </c>
      <c r="M857" s="1025">
        <v>0</v>
      </c>
      <c r="N857" s="1025">
        <v>0</v>
      </c>
      <c r="O857" s="985">
        <v>2011655.53</v>
      </c>
      <c r="P857" s="1025">
        <v>0</v>
      </c>
      <c r="Q857" s="1025">
        <v>0</v>
      </c>
      <c r="R857" s="1022">
        <v>2016</v>
      </c>
      <c r="S857" s="1022">
        <v>2023</v>
      </c>
    </row>
    <row r="858" spans="1:19" ht="40.15" customHeight="1">
      <c r="A858" s="1319">
        <v>328</v>
      </c>
      <c r="B858" s="1026" t="s">
        <v>1166</v>
      </c>
      <c r="C858" s="1022">
        <v>1975</v>
      </c>
      <c r="D858" s="1022"/>
      <c r="E858" s="1319" t="s">
        <v>218</v>
      </c>
      <c r="F858" s="1022">
        <v>2</v>
      </c>
      <c r="G858" s="1022">
        <v>2</v>
      </c>
      <c r="H858" s="1025">
        <v>333.5</v>
      </c>
      <c r="I858" s="1025">
        <v>333.5</v>
      </c>
      <c r="J858" s="1025">
        <v>302.5</v>
      </c>
      <c r="K858" s="1032">
        <v>19</v>
      </c>
      <c r="L858" s="985">
        <v>1221986.53</v>
      </c>
      <c r="M858" s="1025">
        <v>0</v>
      </c>
      <c r="N858" s="1025">
        <v>0</v>
      </c>
      <c r="O858" s="985">
        <v>1221986.53</v>
      </c>
      <c r="P858" s="1025">
        <v>0</v>
      </c>
      <c r="Q858" s="1025">
        <v>0</v>
      </c>
      <c r="R858" s="1022">
        <v>2016</v>
      </c>
      <c r="S858" s="1022">
        <v>2023</v>
      </c>
    </row>
    <row r="859" spans="1:19" ht="40.15" customHeight="1">
      <c r="A859" s="1319">
        <v>329</v>
      </c>
      <c r="B859" s="1143" t="s">
        <v>1167</v>
      </c>
      <c r="C859" s="1021" t="s">
        <v>190</v>
      </c>
      <c r="D859" s="1022"/>
      <c r="E859" s="1319" t="s">
        <v>218</v>
      </c>
      <c r="F859" s="1022">
        <v>1</v>
      </c>
      <c r="G859" s="1022">
        <v>2</v>
      </c>
      <c r="H859" s="1025">
        <v>333.1</v>
      </c>
      <c r="I859" s="1025">
        <v>333.1</v>
      </c>
      <c r="J859" s="1025">
        <v>231.8</v>
      </c>
      <c r="K859" s="1032">
        <v>11</v>
      </c>
      <c r="L859" s="1025">
        <v>1291846.3799999999</v>
      </c>
      <c r="M859" s="1025">
        <v>0</v>
      </c>
      <c r="N859" s="1025">
        <v>0</v>
      </c>
      <c r="O859" s="1025">
        <v>1291846.3799999999</v>
      </c>
      <c r="P859" s="1025">
        <v>0</v>
      </c>
      <c r="Q859" s="1025">
        <v>0</v>
      </c>
      <c r="R859" s="1022">
        <v>2017</v>
      </c>
      <c r="S859" s="1022">
        <v>2023</v>
      </c>
    </row>
    <row r="860" spans="1:19" ht="40.15" customHeight="1">
      <c r="A860" s="1319">
        <v>330</v>
      </c>
      <c r="B860" s="1143" t="s">
        <v>1168</v>
      </c>
      <c r="C860" s="1022">
        <v>1988</v>
      </c>
      <c r="D860" s="1022"/>
      <c r="E860" s="1319" t="s">
        <v>218</v>
      </c>
      <c r="F860" s="1022">
        <v>4</v>
      </c>
      <c r="G860" s="1022">
        <v>1</v>
      </c>
      <c r="H860" s="1025">
        <v>1590</v>
      </c>
      <c r="I860" s="1025">
        <v>1590</v>
      </c>
      <c r="J860" s="1025">
        <v>988.8</v>
      </c>
      <c r="K860" s="1032">
        <v>99</v>
      </c>
      <c r="L860" s="1025">
        <v>4091527.11</v>
      </c>
      <c r="M860" s="1025">
        <v>0</v>
      </c>
      <c r="N860" s="1025">
        <v>0</v>
      </c>
      <c r="O860" s="1025">
        <v>4091527.11</v>
      </c>
      <c r="P860" s="1025">
        <v>0</v>
      </c>
      <c r="Q860" s="1025">
        <v>0</v>
      </c>
      <c r="R860" s="1022">
        <v>2017</v>
      </c>
      <c r="S860" s="1022">
        <v>2023</v>
      </c>
    </row>
    <row r="861" spans="1:19" ht="40.15" customHeight="1">
      <c r="A861" s="1319">
        <v>331</v>
      </c>
      <c r="B861" s="1139" t="s">
        <v>1169</v>
      </c>
      <c r="C861" s="1009" t="s">
        <v>190</v>
      </c>
      <c r="D861" s="1009"/>
      <c r="E861" s="1319" t="s">
        <v>218</v>
      </c>
      <c r="F861" s="1009">
        <v>2</v>
      </c>
      <c r="G861" s="1009">
        <v>2</v>
      </c>
      <c r="H861" s="1023">
        <v>245</v>
      </c>
      <c r="I861" s="1023">
        <v>245</v>
      </c>
      <c r="J861" s="1023">
        <v>126</v>
      </c>
      <c r="K861" s="1134">
        <v>7</v>
      </c>
      <c r="L861" s="1023">
        <v>1050104.82</v>
      </c>
      <c r="M861" s="1023">
        <v>0</v>
      </c>
      <c r="N861" s="1023">
        <v>0</v>
      </c>
      <c r="O861" s="1023">
        <v>1050104.82</v>
      </c>
      <c r="P861" s="1023">
        <v>0</v>
      </c>
      <c r="Q861" s="1023">
        <v>0</v>
      </c>
      <c r="R861" s="1022">
        <v>2018</v>
      </c>
      <c r="S861" s="1022">
        <v>2023</v>
      </c>
    </row>
    <row r="862" spans="1:19" ht="40.15" customHeight="1">
      <c r="A862" s="1319">
        <v>332</v>
      </c>
      <c r="B862" s="1314" t="s">
        <v>1170</v>
      </c>
      <c r="C862" s="1321">
        <v>1917</v>
      </c>
      <c r="D862" s="1321"/>
      <c r="E862" s="1319" t="s">
        <v>218</v>
      </c>
      <c r="F862" s="1321">
        <v>3</v>
      </c>
      <c r="G862" s="1321">
        <v>1</v>
      </c>
      <c r="H862" s="985">
        <v>534.29999999999995</v>
      </c>
      <c r="I862" s="985">
        <v>534.29999999999995</v>
      </c>
      <c r="J862" s="985">
        <v>266.3</v>
      </c>
      <c r="K862" s="1030">
        <v>14</v>
      </c>
      <c r="L862" s="985">
        <v>1646831.78</v>
      </c>
      <c r="M862" s="985">
        <v>0</v>
      </c>
      <c r="N862" s="985">
        <v>0</v>
      </c>
      <c r="O862" s="985">
        <v>1646831.78</v>
      </c>
      <c r="P862" s="985">
        <v>0</v>
      </c>
      <c r="Q862" s="985">
        <v>0</v>
      </c>
      <c r="R862" s="1022">
        <v>2019</v>
      </c>
      <c r="S862" s="1022">
        <v>2023</v>
      </c>
    </row>
    <row r="863" spans="1:19" ht="40.15" customHeight="1">
      <c r="A863" s="1319">
        <v>333</v>
      </c>
      <c r="B863" s="1314" t="s">
        <v>1299</v>
      </c>
      <c r="C863" s="1321">
        <v>1917</v>
      </c>
      <c r="D863" s="1321"/>
      <c r="E863" s="1319" t="s">
        <v>218</v>
      </c>
      <c r="F863" s="1321">
        <v>3</v>
      </c>
      <c r="G863" s="1321">
        <v>1</v>
      </c>
      <c r="H863" s="985">
        <v>456.8</v>
      </c>
      <c r="I863" s="985">
        <v>456.8</v>
      </c>
      <c r="J863" s="985">
        <v>296.7</v>
      </c>
      <c r="K863" s="1030">
        <v>18</v>
      </c>
      <c r="L863" s="985">
        <v>1639242.69</v>
      </c>
      <c r="M863" s="985">
        <v>0</v>
      </c>
      <c r="N863" s="985">
        <v>0</v>
      </c>
      <c r="O863" s="985">
        <v>1639242.69</v>
      </c>
      <c r="P863" s="985">
        <v>0</v>
      </c>
      <c r="Q863" s="985">
        <v>0</v>
      </c>
      <c r="R863" s="1022">
        <v>2019</v>
      </c>
      <c r="S863" s="1022">
        <v>2023</v>
      </c>
    </row>
    <row r="864" spans="1:19" ht="40.15" customHeight="1">
      <c r="A864" s="1319">
        <v>334</v>
      </c>
      <c r="B864" s="1211" t="s">
        <v>885</v>
      </c>
      <c r="C864" s="1212">
        <v>1938</v>
      </c>
      <c r="D864" s="1213"/>
      <c r="E864" s="1319" t="s">
        <v>221</v>
      </c>
      <c r="F864" s="1212">
        <v>2</v>
      </c>
      <c r="G864" s="1212">
        <v>1</v>
      </c>
      <c r="H864" s="1214">
        <v>488.7</v>
      </c>
      <c r="I864" s="1214">
        <v>488.7</v>
      </c>
      <c r="J864" s="1214">
        <v>353.6</v>
      </c>
      <c r="K864" s="1215">
        <v>15</v>
      </c>
      <c r="L864" s="986">
        <v>443764.06</v>
      </c>
      <c r="M864" s="986">
        <v>0</v>
      </c>
      <c r="N864" s="986">
        <v>0</v>
      </c>
      <c r="O864" s="986">
        <v>443764.06</v>
      </c>
      <c r="P864" s="993">
        <v>0</v>
      </c>
      <c r="Q864" s="986">
        <v>0</v>
      </c>
      <c r="R864" s="987">
        <v>2018</v>
      </c>
      <c r="S864" s="1022">
        <v>2023</v>
      </c>
    </row>
    <row r="865" spans="1:19" ht="40.15" customHeight="1">
      <c r="A865" s="1319">
        <v>335</v>
      </c>
      <c r="B865" s="1211" t="s">
        <v>884</v>
      </c>
      <c r="C865" s="1212">
        <v>1948</v>
      </c>
      <c r="D865" s="1213"/>
      <c r="E865" s="1319" t="s">
        <v>221</v>
      </c>
      <c r="F865" s="1212">
        <v>2</v>
      </c>
      <c r="G865" s="1212">
        <v>2</v>
      </c>
      <c r="H865" s="1214">
        <v>516.5</v>
      </c>
      <c r="I865" s="1214">
        <v>516.5</v>
      </c>
      <c r="J865" s="1214">
        <v>316</v>
      </c>
      <c r="K865" s="1215">
        <v>22</v>
      </c>
      <c r="L865" s="986">
        <v>1613218.46</v>
      </c>
      <c r="M865" s="986">
        <v>0</v>
      </c>
      <c r="N865" s="986">
        <v>0</v>
      </c>
      <c r="O865" s="986">
        <v>1613218.46</v>
      </c>
      <c r="P865" s="993">
        <v>0</v>
      </c>
      <c r="Q865" s="986">
        <v>0</v>
      </c>
      <c r="R865" s="987">
        <v>2018</v>
      </c>
      <c r="S865" s="1022">
        <v>2023</v>
      </c>
    </row>
    <row r="866" spans="1:19" ht="40.15" customHeight="1">
      <c r="A866" s="1319">
        <v>336</v>
      </c>
      <c r="B866" s="1143" t="s">
        <v>1125</v>
      </c>
      <c r="C866" s="1009" t="s">
        <v>190</v>
      </c>
      <c r="D866" s="1017"/>
      <c r="E866" s="1009" t="s">
        <v>218</v>
      </c>
      <c r="F866" s="1017">
        <v>2</v>
      </c>
      <c r="G866" s="1017">
        <v>4</v>
      </c>
      <c r="H866" s="1018">
        <v>410.9</v>
      </c>
      <c r="I866" s="1018">
        <v>410.9</v>
      </c>
      <c r="J866" s="1018">
        <v>216</v>
      </c>
      <c r="K866" s="1017">
        <v>16</v>
      </c>
      <c r="L866" s="985">
        <v>1630796.17</v>
      </c>
      <c r="M866" s="986">
        <v>0</v>
      </c>
      <c r="N866" s="986">
        <v>0</v>
      </c>
      <c r="O866" s="985">
        <v>1630796.17</v>
      </c>
      <c r="P866" s="993">
        <v>0</v>
      </c>
      <c r="Q866" s="986">
        <v>0</v>
      </c>
      <c r="R866" s="1022">
        <v>2020</v>
      </c>
      <c r="S866" s="1017">
        <v>2023</v>
      </c>
    </row>
    <row r="867" spans="1:19" ht="40.15" customHeight="1">
      <c r="A867" s="1319">
        <v>337</v>
      </c>
      <c r="B867" s="1143" t="s">
        <v>2129</v>
      </c>
      <c r="C867" s="1009" t="s">
        <v>190</v>
      </c>
      <c r="D867" s="1009"/>
      <c r="E867" s="1009" t="s">
        <v>218</v>
      </c>
      <c r="F867" s="1009">
        <v>2</v>
      </c>
      <c r="G867" s="1009">
        <v>3</v>
      </c>
      <c r="H867" s="1023">
        <v>256.89999999999998</v>
      </c>
      <c r="I867" s="1023">
        <v>256.89999999999998</v>
      </c>
      <c r="J867" s="1023">
        <v>169.9</v>
      </c>
      <c r="K867" s="1009">
        <v>14</v>
      </c>
      <c r="L867" s="985">
        <v>1236420.6299999999</v>
      </c>
      <c r="M867" s="986">
        <v>0</v>
      </c>
      <c r="N867" s="986">
        <v>0</v>
      </c>
      <c r="O867" s="985">
        <v>1236420.6299999999</v>
      </c>
      <c r="P867" s="993">
        <v>0</v>
      </c>
      <c r="Q867" s="986">
        <v>0</v>
      </c>
      <c r="R867" s="1022">
        <v>2020</v>
      </c>
      <c r="S867" s="1017">
        <v>2023</v>
      </c>
    </row>
    <row r="868" spans="1:19" ht="40.15" customHeight="1">
      <c r="A868" s="1319">
        <v>338</v>
      </c>
      <c r="B868" s="1143" t="s">
        <v>2130</v>
      </c>
      <c r="C868" s="1022">
        <v>1978</v>
      </c>
      <c r="D868" s="1022"/>
      <c r="E868" s="1021" t="s">
        <v>219</v>
      </c>
      <c r="F868" s="1022">
        <v>5</v>
      </c>
      <c r="G868" s="1022">
        <v>6</v>
      </c>
      <c r="H868" s="1025">
        <v>4393.5</v>
      </c>
      <c r="I868" s="1025">
        <v>4393.5</v>
      </c>
      <c r="J868" s="1025">
        <v>2915.9</v>
      </c>
      <c r="K868" s="1022">
        <v>145</v>
      </c>
      <c r="L868" s="985">
        <v>4752006.0199999996</v>
      </c>
      <c r="M868" s="986">
        <v>0</v>
      </c>
      <c r="N868" s="986">
        <v>0</v>
      </c>
      <c r="O868" s="985">
        <v>4752006.0199999996</v>
      </c>
      <c r="P868" s="993">
        <v>0</v>
      </c>
      <c r="Q868" s="986">
        <v>0</v>
      </c>
      <c r="R868" s="1022">
        <v>2020</v>
      </c>
      <c r="S868" s="1017">
        <v>2023</v>
      </c>
    </row>
    <row r="869" spans="1:19" ht="40.15" customHeight="1">
      <c r="A869" s="1319">
        <v>339</v>
      </c>
      <c r="B869" s="1143" t="s">
        <v>2131</v>
      </c>
      <c r="C869" s="1009">
        <v>1962</v>
      </c>
      <c r="D869" s="1022"/>
      <c r="E869" s="1009" t="s">
        <v>218</v>
      </c>
      <c r="F869" s="1009">
        <v>2</v>
      </c>
      <c r="G869" s="1009">
        <v>1</v>
      </c>
      <c r="H869" s="1023">
        <v>305.89999999999998</v>
      </c>
      <c r="I869" s="1023">
        <v>305.89999999999998</v>
      </c>
      <c r="J869" s="1023">
        <v>184</v>
      </c>
      <c r="K869" s="1009">
        <v>13</v>
      </c>
      <c r="L869" s="985">
        <v>1297904.9099999999</v>
      </c>
      <c r="M869" s="986">
        <v>0</v>
      </c>
      <c r="N869" s="986">
        <v>0</v>
      </c>
      <c r="O869" s="985">
        <v>1297904.9099999999</v>
      </c>
      <c r="P869" s="993">
        <v>0</v>
      </c>
      <c r="Q869" s="986">
        <v>0</v>
      </c>
      <c r="R869" s="1022">
        <v>2020</v>
      </c>
      <c r="S869" s="1017">
        <v>2023</v>
      </c>
    </row>
    <row r="870" spans="1:19" ht="40.9" customHeight="1">
      <c r="A870" s="1319">
        <v>340</v>
      </c>
      <c r="B870" s="1143" t="s">
        <v>2132</v>
      </c>
      <c r="C870" s="1154">
        <v>1969</v>
      </c>
      <c r="D870" s="1009"/>
      <c r="E870" s="1009" t="s">
        <v>218</v>
      </c>
      <c r="F870" s="1009">
        <v>4</v>
      </c>
      <c r="G870" s="1009">
        <v>3</v>
      </c>
      <c r="H870" s="1023">
        <v>2694</v>
      </c>
      <c r="I870" s="1023">
        <v>2694</v>
      </c>
      <c r="J870" s="1023">
        <v>2005.1</v>
      </c>
      <c r="K870" s="1009">
        <v>82</v>
      </c>
      <c r="L870" s="985">
        <v>2720952.52</v>
      </c>
      <c r="M870" s="986">
        <v>0</v>
      </c>
      <c r="N870" s="986">
        <v>0</v>
      </c>
      <c r="O870" s="985">
        <v>2720952.52</v>
      </c>
      <c r="P870" s="993">
        <v>0</v>
      </c>
      <c r="Q870" s="986">
        <v>0</v>
      </c>
      <c r="R870" s="1022">
        <v>2020</v>
      </c>
      <c r="S870" s="1017">
        <v>2023</v>
      </c>
    </row>
    <row r="871" spans="1:19" ht="40.9" customHeight="1">
      <c r="A871" s="1319">
        <v>341</v>
      </c>
      <c r="B871" s="1143" t="s">
        <v>1272</v>
      </c>
      <c r="C871" s="1154">
        <v>1972</v>
      </c>
      <c r="D871" s="1009"/>
      <c r="E871" s="1009" t="s">
        <v>218</v>
      </c>
      <c r="F871" s="1009">
        <v>2</v>
      </c>
      <c r="G871" s="1009">
        <v>2</v>
      </c>
      <c r="H871" s="1023">
        <v>574.4</v>
      </c>
      <c r="I871" s="1023">
        <v>574.4</v>
      </c>
      <c r="J871" s="1023">
        <v>525</v>
      </c>
      <c r="K871" s="1009">
        <v>22</v>
      </c>
      <c r="L871" s="985">
        <v>1722085</v>
      </c>
      <c r="M871" s="986">
        <v>0</v>
      </c>
      <c r="N871" s="986">
        <v>0</v>
      </c>
      <c r="O871" s="985">
        <v>1722085</v>
      </c>
      <c r="P871" s="993">
        <v>0</v>
      </c>
      <c r="Q871" s="986">
        <v>0</v>
      </c>
      <c r="R871" s="1009">
        <v>2021</v>
      </c>
      <c r="S871" s="1017">
        <v>2023</v>
      </c>
    </row>
    <row r="872" spans="1:19" ht="40.9" customHeight="1">
      <c r="A872" s="1319">
        <v>342</v>
      </c>
      <c r="B872" s="1216" t="s">
        <v>2133</v>
      </c>
      <c r="C872" s="1022">
        <v>1980</v>
      </c>
      <c r="D872" s="1022"/>
      <c r="E872" s="1009" t="s">
        <v>218</v>
      </c>
      <c r="F872" s="1022">
        <v>5</v>
      </c>
      <c r="G872" s="1022">
        <v>5</v>
      </c>
      <c r="H872" s="1025">
        <v>3502.1</v>
      </c>
      <c r="I872" s="1025">
        <v>3502.1</v>
      </c>
      <c r="J872" s="1025">
        <v>2091.9</v>
      </c>
      <c r="K872" s="1022">
        <v>129</v>
      </c>
      <c r="L872" s="985">
        <v>3723730.37</v>
      </c>
      <c r="M872" s="986">
        <v>0</v>
      </c>
      <c r="N872" s="986">
        <v>0</v>
      </c>
      <c r="O872" s="985">
        <v>3723730.37</v>
      </c>
      <c r="P872" s="993">
        <v>0</v>
      </c>
      <c r="Q872" s="986">
        <v>0</v>
      </c>
      <c r="R872" s="1022">
        <v>2022</v>
      </c>
      <c r="S872" s="1017">
        <v>2023</v>
      </c>
    </row>
    <row r="873" spans="1:19" ht="40.9" customHeight="1">
      <c r="A873" s="1319">
        <v>343</v>
      </c>
      <c r="B873" s="1144" t="s">
        <v>2134</v>
      </c>
      <c r="C873" s="1021" t="s">
        <v>190</v>
      </c>
      <c r="D873" s="1022"/>
      <c r="E873" s="1009" t="s">
        <v>218</v>
      </c>
      <c r="F873" s="1022">
        <v>1</v>
      </c>
      <c r="G873" s="1022">
        <v>1</v>
      </c>
      <c r="H873" s="1025">
        <v>148.6</v>
      </c>
      <c r="I873" s="1025">
        <v>148.6</v>
      </c>
      <c r="J873" s="1025">
        <v>88</v>
      </c>
      <c r="K873" s="1022">
        <v>5</v>
      </c>
      <c r="L873" s="985">
        <v>807936.93</v>
      </c>
      <c r="M873" s="986">
        <v>0</v>
      </c>
      <c r="N873" s="986">
        <v>0</v>
      </c>
      <c r="O873" s="985">
        <v>807936.93</v>
      </c>
      <c r="P873" s="993">
        <v>0</v>
      </c>
      <c r="Q873" s="986">
        <v>0</v>
      </c>
      <c r="R873" s="1022">
        <v>2022</v>
      </c>
      <c r="S873" s="1017">
        <v>2023</v>
      </c>
    </row>
    <row r="874" spans="1:19" ht="39.6" customHeight="1">
      <c r="A874" s="1319">
        <v>344</v>
      </c>
      <c r="B874" s="1139" t="s">
        <v>2135</v>
      </c>
      <c r="C874" s="1021">
        <v>1968</v>
      </c>
      <c r="D874" s="1021"/>
      <c r="E874" s="1009" t="s">
        <v>218</v>
      </c>
      <c r="F874" s="1021">
        <v>5</v>
      </c>
      <c r="G874" s="1021">
        <v>4</v>
      </c>
      <c r="H874" s="1157">
        <v>4073.8</v>
      </c>
      <c r="I874" s="1157">
        <v>4073.8</v>
      </c>
      <c r="J874" s="1157">
        <v>3309.9</v>
      </c>
      <c r="K874" s="1021">
        <v>126</v>
      </c>
      <c r="L874" s="993">
        <v>3322791.08</v>
      </c>
      <c r="M874" s="986">
        <v>0</v>
      </c>
      <c r="N874" s="986">
        <v>0</v>
      </c>
      <c r="O874" s="993">
        <v>3322791.08</v>
      </c>
      <c r="P874" s="993">
        <v>0</v>
      </c>
      <c r="Q874" s="986">
        <v>0</v>
      </c>
      <c r="R874" s="1022">
        <v>2022</v>
      </c>
      <c r="S874" s="1021">
        <v>2023</v>
      </c>
    </row>
    <row r="875" spans="1:19" ht="39.6" customHeight="1">
      <c r="A875" s="1319">
        <v>345</v>
      </c>
      <c r="B875" s="1216" t="s">
        <v>2136</v>
      </c>
      <c r="C875" s="1022">
        <v>1971</v>
      </c>
      <c r="D875" s="1022"/>
      <c r="E875" s="1009" t="s">
        <v>218</v>
      </c>
      <c r="F875" s="1022">
        <v>5</v>
      </c>
      <c r="G875" s="1022">
        <v>4</v>
      </c>
      <c r="H875" s="1025">
        <v>4334.6000000000004</v>
      </c>
      <c r="I875" s="1025">
        <v>4334.6000000000004</v>
      </c>
      <c r="J875" s="1025">
        <v>3379.1</v>
      </c>
      <c r="K875" s="1131">
        <v>122</v>
      </c>
      <c r="L875" s="985">
        <v>3323513.82</v>
      </c>
      <c r="M875" s="986">
        <v>0</v>
      </c>
      <c r="N875" s="986">
        <v>0</v>
      </c>
      <c r="O875" s="985">
        <v>3323513.82</v>
      </c>
      <c r="P875" s="993">
        <v>0</v>
      </c>
      <c r="Q875" s="986">
        <v>0</v>
      </c>
      <c r="R875" s="1022">
        <v>2022</v>
      </c>
      <c r="S875" s="1017">
        <v>2023</v>
      </c>
    </row>
    <row r="876" spans="1:19" ht="39.6" customHeight="1">
      <c r="A876" s="1319">
        <v>346</v>
      </c>
      <c r="B876" s="1144" t="s">
        <v>2137</v>
      </c>
      <c r="C876" s="1021">
        <v>1981</v>
      </c>
      <c r="D876" s="1022"/>
      <c r="E876" s="1009" t="s">
        <v>218</v>
      </c>
      <c r="F876" s="1022">
        <v>5</v>
      </c>
      <c r="G876" s="1022">
        <v>2</v>
      </c>
      <c r="H876" s="1025">
        <v>2000.8</v>
      </c>
      <c r="I876" s="1025">
        <v>2000.8</v>
      </c>
      <c r="J876" s="1025">
        <v>1846.6</v>
      </c>
      <c r="K876" s="1022">
        <v>61</v>
      </c>
      <c r="L876" s="985">
        <v>1822385.58</v>
      </c>
      <c r="M876" s="986">
        <v>0</v>
      </c>
      <c r="N876" s="986">
        <v>0</v>
      </c>
      <c r="O876" s="985">
        <v>1822385.58</v>
      </c>
      <c r="P876" s="993">
        <v>0</v>
      </c>
      <c r="Q876" s="986">
        <v>0</v>
      </c>
      <c r="R876" s="1022">
        <v>2022</v>
      </c>
      <c r="S876" s="1017">
        <v>2023</v>
      </c>
    </row>
    <row r="877" spans="1:19" ht="42" customHeight="1">
      <c r="A877" s="1319">
        <v>347</v>
      </c>
      <c r="B877" s="1144" t="s">
        <v>2138</v>
      </c>
      <c r="C877" s="1021">
        <v>1960</v>
      </c>
      <c r="D877" s="1022"/>
      <c r="E877" s="1009" t="s">
        <v>218</v>
      </c>
      <c r="F877" s="1022">
        <v>2</v>
      </c>
      <c r="G877" s="1022">
        <v>1</v>
      </c>
      <c r="H877" s="1025">
        <v>324.60000000000002</v>
      </c>
      <c r="I877" s="1025">
        <v>324.60000000000002</v>
      </c>
      <c r="J877" s="1025">
        <v>293.89999999999998</v>
      </c>
      <c r="K877" s="1022">
        <v>14</v>
      </c>
      <c r="L877" s="985">
        <v>1256032.82</v>
      </c>
      <c r="M877" s="986">
        <v>0</v>
      </c>
      <c r="N877" s="986">
        <v>0</v>
      </c>
      <c r="O877" s="985">
        <v>1256032.82</v>
      </c>
      <c r="P877" s="993">
        <v>0</v>
      </c>
      <c r="Q877" s="986">
        <v>0</v>
      </c>
      <c r="R877" s="1022">
        <v>2022</v>
      </c>
      <c r="S877" s="1017">
        <v>2023</v>
      </c>
    </row>
    <row r="878" spans="1:19" ht="42" customHeight="1">
      <c r="A878" s="1319">
        <v>348</v>
      </c>
      <c r="B878" s="1216" t="s">
        <v>1532</v>
      </c>
      <c r="C878" s="1009">
        <v>1973</v>
      </c>
      <c r="D878" s="1009"/>
      <c r="E878" s="1009" t="s">
        <v>218</v>
      </c>
      <c r="F878" s="1009">
        <v>5</v>
      </c>
      <c r="G878" s="1009">
        <v>4</v>
      </c>
      <c r="H878" s="1023">
        <v>4431.2</v>
      </c>
      <c r="I878" s="1023">
        <v>4431.2</v>
      </c>
      <c r="J878" s="1023">
        <v>3259.3</v>
      </c>
      <c r="K878" s="1009">
        <v>125</v>
      </c>
      <c r="L878" s="993">
        <v>3329657.1</v>
      </c>
      <c r="M878" s="986">
        <v>0</v>
      </c>
      <c r="N878" s="986">
        <v>0</v>
      </c>
      <c r="O878" s="993">
        <v>3329657.1</v>
      </c>
      <c r="P878" s="993">
        <v>0</v>
      </c>
      <c r="Q878" s="986">
        <v>0</v>
      </c>
      <c r="R878" s="1022">
        <v>2022</v>
      </c>
      <c r="S878" s="1009">
        <v>2023</v>
      </c>
    </row>
    <row r="879" spans="1:19" ht="45" customHeight="1">
      <c r="A879" s="1319">
        <v>349</v>
      </c>
      <c r="B879" s="1139" t="s">
        <v>1533</v>
      </c>
      <c r="C879" s="1017">
        <v>1991</v>
      </c>
      <c r="D879" s="1095"/>
      <c r="E879" s="1009" t="s">
        <v>218</v>
      </c>
      <c r="F879" s="1017">
        <v>2</v>
      </c>
      <c r="G879" s="1017">
        <v>2</v>
      </c>
      <c r="H879" s="1018">
        <v>1347.5</v>
      </c>
      <c r="I879" s="1018">
        <v>1347.5</v>
      </c>
      <c r="J879" s="1018">
        <v>527.5</v>
      </c>
      <c r="K879" s="1017">
        <v>25</v>
      </c>
      <c r="L879" s="985">
        <v>2425090</v>
      </c>
      <c r="M879" s="986">
        <v>0</v>
      </c>
      <c r="N879" s="986">
        <v>0</v>
      </c>
      <c r="O879" s="985">
        <f t="shared" ref="O879" si="194">L879</f>
        <v>2425090</v>
      </c>
      <c r="P879" s="993">
        <v>0</v>
      </c>
      <c r="Q879" s="986">
        <v>0</v>
      </c>
      <c r="R879" s="1022">
        <v>2022</v>
      </c>
      <c r="S879" s="1017">
        <v>2023</v>
      </c>
    </row>
    <row r="880" spans="1:19" ht="40.15" customHeight="1">
      <c r="A880" s="1319">
        <v>350</v>
      </c>
      <c r="B880" s="1316" t="s">
        <v>1534</v>
      </c>
      <c r="C880" s="1319">
        <v>1933</v>
      </c>
      <c r="D880" s="1321"/>
      <c r="E880" s="1328" t="s">
        <v>221</v>
      </c>
      <c r="F880" s="1321">
        <v>2</v>
      </c>
      <c r="G880" s="1321">
        <v>1</v>
      </c>
      <c r="H880" s="985">
        <v>249.5</v>
      </c>
      <c r="I880" s="985">
        <v>249.5</v>
      </c>
      <c r="J880" s="985">
        <v>141.80000000000001</v>
      </c>
      <c r="K880" s="1321">
        <v>8</v>
      </c>
      <c r="L880" s="985">
        <v>1040298.73</v>
      </c>
      <c r="M880" s="986">
        <v>0</v>
      </c>
      <c r="N880" s="986">
        <v>0</v>
      </c>
      <c r="O880" s="985">
        <v>1040298.73</v>
      </c>
      <c r="P880" s="993">
        <v>0</v>
      </c>
      <c r="Q880" s="986">
        <v>0</v>
      </c>
      <c r="R880" s="1022">
        <v>2022</v>
      </c>
      <c r="S880" s="1017">
        <v>2023</v>
      </c>
    </row>
    <row r="881" spans="1:19" ht="37.15" customHeight="1">
      <c r="A881" s="1319"/>
      <c r="B881" s="1426" t="s">
        <v>1243</v>
      </c>
      <c r="C881" s="1426"/>
      <c r="D881" s="1426"/>
      <c r="E881" s="1426"/>
      <c r="F881" s="1426"/>
      <c r="G881" s="1426"/>
      <c r="H881" s="985">
        <f>SUM(H882:H887)</f>
        <v>6389.5</v>
      </c>
      <c r="I881" s="985">
        <f t="shared" ref="I881:Q881" si="195">SUM(I882:I887)</f>
        <v>6247.58</v>
      </c>
      <c r="J881" s="985">
        <f t="shared" si="195"/>
        <v>5640.58</v>
      </c>
      <c r="K881" s="985">
        <f t="shared" si="195"/>
        <v>213</v>
      </c>
      <c r="L881" s="985">
        <f t="shared" si="195"/>
        <v>15617979.109999999</v>
      </c>
      <c r="M881" s="985">
        <f t="shared" si="195"/>
        <v>0</v>
      </c>
      <c r="N881" s="985">
        <f t="shared" si="195"/>
        <v>0</v>
      </c>
      <c r="O881" s="985">
        <f t="shared" si="195"/>
        <v>15617979.109999999</v>
      </c>
      <c r="P881" s="985">
        <f t="shared" si="195"/>
        <v>0</v>
      </c>
      <c r="Q881" s="985">
        <f t="shared" si="195"/>
        <v>0</v>
      </c>
      <c r="R881" s="991" t="s">
        <v>40</v>
      </c>
      <c r="S881" s="991" t="s">
        <v>40</v>
      </c>
    </row>
    <row r="882" spans="1:19" ht="40.9" customHeight="1">
      <c r="A882" s="1319">
        <v>351</v>
      </c>
      <c r="B882" s="1318" t="s">
        <v>1321</v>
      </c>
      <c r="C882" s="987">
        <v>1959</v>
      </c>
      <c r="D882" s="1320"/>
      <c r="E882" s="1320" t="s">
        <v>218</v>
      </c>
      <c r="F882" s="987">
        <v>2</v>
      </c>
      <c r="G882" s="987">
        <v>3</v>
      </c>
      <c r="H882" s="993">
        <v>973.8</v>
      </c>
      <c r="I882" s="993">
        <v>880.5</v>
      </c>
      <c r="J882" s="993">
        <v>742.1</v>
      </c>
      <c r="K882" s="987">
        <v>46</v>
      </c>
      <c r="L882" s="993">
        <v>962024.44</v>
      </c>
      <c r="M882" s="986">
        <v>0</v>
      </c>
      <c r="N882" s="986">
        <v>0</v>
      </c>
      <c r="O882" s="985">
        <v>962024.44</v>
      </c>
      <c r="P882" s="986">
        <v>0</v>
      </c>
      <c r="Q882" s="986">
        <v>0</v>
      </c>
      <c r="R882" s="1008">
        <v>2018</v>
      </c>
      <c r="S882" s="1008">
        <v>2023</v>
      </c>
    </row>
    <row r="883" spans="1:19" ht="42" customHeight="1">
      <c r="A883" s="1319">
        <v>352</v>
      </c>
      <c r="B883" s="1318" t="s">
        <v>1587</v>
      </c>
      <c r="C883" s="987">
        <v>1957</v>
      </c>
      <c r="D883" s="1320"/>
      <c r="E883" s="1320" t="s">
        <v>218</v>
      </c>
      <c r="F883" s="987">
        <v>2</v>
      </c>
      <c r="G883" s="987">
        <v>2</v>
      </c>
      <c r="H883" s="993">
        <v>747.7</v>
      </c>
      <c r="I883" s="993">
        <v>747.7</v>
      </c>
      <c r="J883" s="993">
        <v>694.9</v>
      </c>
      <c r="K883" s="987">
        <v>18</v>
      </c>
      <c r="L883" s="993">
        <v>2608077.64</v>
      </c>
      <c r="M883" s="986">
        <v>0</v>
      </c>
      <c r="N883" s="986">
        <v>0</v>
      </c>
      <c r="O883" s="985">
        <v>2608077.64</v>
      </c>
      <c r="P883" s="986">
        <v>0</v>
      </c>
      <c r="Q883" s="986">
        <v>0</v>
      </c>
      <c r="R883" s="1008">
        <v>2022</v>
      </c>
      <c r="S883" s="1008">
        <v>2023</v>
      </c>
    </row>
    <row r="884" spans="1:19" ht="43.9" customHeight="1">
      <c r="A884" s="1319">
        <v>353</v>
      </c>
      <c r="B884" s="1318" t="s">
        <v>1588</v>
      </c>
      <c r="C884" s="987">
        <v>1962</v>
      </c>
      <c r="D884" s="1320"/>
      <c r="E884" s="1320" t="s">
        <v>218</v>
      </c>
      <c r="F884" s="987">
        <v>2</v>
      </c>
      <c r="G884" s="987">
        <v>2</v>
      </c>
      <c r="H884" s="993">
        <v>704.6</v>
      </c>
      <c r="I884" s="993">
        <v>655.98</v>
      </c>
      <c r="J884" s="993">
        <v>655.98</v>
      </c>
      <c r="K884" s="987">
        <v>14</v>
      </c>
      <c r="L884" s="993">
        <v>2320892.54</v>
      </c>
      <c r="M884" s="986">
        <v>0</v>
      </c>
      <c r="N884" s="986">
        <v>0</v>
      </c>
      <c r="O884" s="985">
        <v>2320892.54</v>
      </c>
      <c r="P884" s="986">
        <v>0</v>
      </c>
      <c r="Q884" s="986">
        <v>0</v>
      </c>
      <c r="R884" s="1008">
        <v>2022</v>
      </c>
      <c r="S884" s="1008">
        <v>2023</v>
      </c>
    </row>
    <row r="885" spans="1:19" ht="44.45" customHeight="1">
      <c r="A885" s="1319">
        <v>354</v>
      </c>
      <c r="B885" s="1318" t="s">
        <v>1589</v>
      </c>
      <c r="C885" s="987">
        <v>1985</v>
      </c>
      <c r="D885" s="1320"/>
      <c r="E885" s="1320" t="s">
        <v>218</v>
      </c>
      <c r="F885" s="987">
        <v>5</v>
      </c>
      <c r="G885" s="987">
        <v>1</v>
      </c>
      <c r="H885" s="993">
        <v>1614.5</v>
      </c>
      <c r="I885" s="993">
        <v>1614.5</v>
      </c>
      <c r="J885" s="993">
        <v>1198.7</v>
      </c>
      <c r="K885" s="987">
        <v>45</v>
      </c>
      <c r="L885" s="993">
        <v>1989713.29</v>
      </c>
      <c r="M885" s="986">
        <v>0</v>
      </c>
      <c r="N885" s="986">
        <v>0</v>
      </c>
      <c r="O885" s="985">
        <v>1989713.29</v>
      </c>
      <c r="P885" s="986">
        <v>0</v>
      </c>
      <c r="Q885" s="986">
        <v>0</v>
      </c>
      <c r="R885" s="1008">
        <v>2022</v>
      </c>
      <c r="S885" s="1008">
        <v>2023</v>
      </c>
    </row>
    <row r="886" spans="1:19" ht="44.45" customHeight="1">
      <c r="A886" s="1319">
        <v>355</v>
      </c>
      <c r="B886" s="1315" t="s">
        <v>2034</v>
      </c>
      <c r="C886" s="1149" t="s">
        <v>600</v>
      </c>
      <c r="D886" s="1149"/>
      <c r="E886" s="1319" t="s">
        <v>218</v>
      </c>
      <c r="F886" s="1149" t="s">
        <v>2035</v>
      </c>
      <c r="G886" s="1149" t="s">
        <v>2035</v>
      </c>
      <c r="H886" s="1025">
        <v>529.9</v>
      </c>
      <c r="I886" s="1025">
        <v>529.9</v>
      </c>
      <c r="J886" s="1025">
        <v>529.9</v>
      </c>
      <c r="K886" s="1032">
        <v>9</v>
      </c>
      <c r="L886" s="1025">
        <v>3246439.14</v>
      </c>
      <c r="M886" s="1025">
        <v>0</v>
      </c>
      <c r="N886" s="1025">
        <v>0</v>
      </c>
      <c r="O886" s="1018">
        <v>3246439.14</v>
      </c>
      <c r="P886" s="1025">
        <v>0</v>
      </c>
      <c r="Q886" s="1025">
        <v>0</v>
      </c>
      <c r="R886" s="1149" t="s">
        <v>2036</v>
      </c>
      <c r="S886" s="1149" t="s">
        <v>2036</v>
      </c>
    </row>
    <row r="887" spans="1:19" ht="55.5" customHeight="1">
      <c r="A887" s="1319">
        <v>356</v>
      </c>
      <c r="B887" s="1315" t="s">
        <v>2037</v>
      </c>
      <c r="C887" s="1149" t="s">
        <v>876</v>
      </c>
      <c r="D887" s="1149"/>
      <c r="E887" s="1319" t="s">
        <v>218</v>
      </c>
      <c r="F887" s="1149" t="s">
        <v>73</v>
      </c>
      <c r="G887" s="1149" t="s">
        <v>73</v>
      </c>
      <c r="H887" s="1025">
        <v>1819</v>
      </c>
      <c r="I887" s="1025">
        <v>1819</v>
      </c>
      <c r="J887" s="1025">
        <v>1819</v>
      </c>
      <c r="K887" s="1032">
        <v>81</v>
      </c>
      <c r="L887" s="1025">
        <v>4490832.0599999996</v>
      </c>
      <c r="M887" s="1025">
        <v>0</v>
      </c>
      <c r="N887" s="1025">
        <v>0</v>
      </c>
      <c r="O887" s="1018">
        <v>4490832.0599999996</v>
      </c>
      <c r="P887" s="1025">
        <v>0</v>
      </c>
      <c r="Q887" s="1025">
        <v>0</v>
      </c>
      <c r="R887" s="1149" t="s">
        <v>2036</v>
      </c>
      <c r="S887" s="1149" t="s">
        <v>2036</v>
      </c>
    </row>
    <row r="888" spans="1:19" ht="36.6" customHeight="1">
      <c r="A888" s="1319"/>
      <c r="B888" s="1313" t="s">
        <v>53</v>
      </c>
      <c r="C888" s="1321"/>
      <c r="D888" s="1096"/>
      <c r="E888" s="1319"/>
      <c r="F888" s="1321"/>
      <c r="G888" s="1321"/>
      <c r="H888" s="985">
        <f>H889+H904+H908+H902+H911+H919+H921+H925+H927</f>
        <v>78926.3</v>
      </c>
      <c r="I888" s="985">
        <f t="shared" ref="I888:Q888" si="196">I889+I904+I908+I902+I911+I919+I921+I925+I927</f>
        <v>64641.999999999993</v>
      </c>
      <c r="J888" s="985">
        <f t="shared" si="196"/>
        <v>58421.19999999999</v>
      </c>
      <c r="K888" s="985">
        <f t="shared" si="196"/>
        <v>2881</v>
      </c>
      <c r="L888" s="985">
        <f t="shared" si="196"/>
        <v>131439315.75000001</v>
      </c>
      <c r="M888" s="985">
        <f t="shared" si="196"/>
        <v>0</v>
      </c>
      <c r="N888" s="985">
        <f t="shared" si="196"/>
        <v>0</v>
      </c>
      <c r="O888" s="985">
        <f t="shared" si="196"/>
        <v>131439315.75000001</v>
      </c>
      <c r="P888" s="985">
        <f t="shared" si="196"/>
        <v>0</v>
      </c>
      <c r="Q888" s="985">
        <f t="shared" si="196"/>
        <v>0</v>
      </c>
      <c r="R888" s="991" t="s">
        <v>40</v>
      </c>
      <c r="S888" s="991" t="s">
        <v>40</v>
      </c>
    </row>
    <row r="889" spans="1:19" ht="36.6" customHeight="1">
      <c r="A889" s="1319"/>
      <c r="B889" s="1313" t="s">
        <v>1029</v>
      </c>
      <c r="C889" s="1321"/>
      <c r="D889" s="1096"/>
      <c r="E889" s="1319"/>
      <c r="F889" s="1321"/>
      <c r="G889" s="1321"/>
      <c r="H889" s="985">
        <f t="shared" ref="H889:Q889" si="197">SUM(H890:H901)</f>
        <v>59418.400000000001</v>
      </c>
      <c r="I889" s="985">
        <f t="shared" si="197"/>
        <v>47036.2</v>
      </c>
      <c r="J889" s="985">
        <f t="shared" si="197"/>
        <v>42343.499999999993</v>
      </c>
      <c r="K889" s="1030">
        <f t="shared" si="197"/>
        <v>2070</v>
      </c>
      <c r="L889" s="985">
        <f t="shared" si="197"/>
        <v>95852292.800000012</v>
      </c>
      <c r="M889" s="985">
        <f t="shared" si="197"/>
        <v>0</v>
      </c>
      <c r="N889" s="985">
        <f t="shared" si="197"/>
        <v>0</v>
      </c>
      <c r="O889" s="985">
        <f t="shared" si="197"/>
        <v>95852292.800000012</v>
      </c>
      <c r="P889" s="985">
        <f t="shared" si="197"/>
        <v>0</v>
      </c>
      <c r="Q889" s="985">
        <f t="shared" si="197"/>
        <v>0</v>
      </c>
      <c r="R889" s="991" t="s">
        <v>40</v>
      </c>
      <c r="S889" s="991" t="s">
        <v>40</v>
      </c>
    </row>
    <row r="890" spans="1:19" ht="36.6" customHeight="1">
      <c r="A890" s="1321">
        <v>357</v>
      </c>
      <c r="B890" s="1169" t="s">
        <v>1644</v>
      </c>
      <c r="C890" s="1321">
        <v>1965</v>
      </c>
      <c r="D890" s="1321"/>
      <c r="E890" s="1319" t="s">
        <v>219</v>
      </c>
      <c r="F890" s="1321">
        <v>5</v>
      </c>
      <c r="G890" s="1321">
        <v>4</v>
      </c>
      <c r="H890" s="1217">
        <v>3948.7</v>
      </c>
      <c r="I890" s="1217">
        <v>3538.7</v>
      </c>
      <c r="J890" s="1217">
        <v>3223.3</v>
      </c>
      <c r="K890" s="1030">
        <v>147</v>
      </c>
      <c r="L890" s="985">
        <v>4252462.49</v>
      </c>
      <c r="M890" s="985">
        <v>0</v>
      </c>
      <c r="N890" s="985">
        <v>0</v>
      </c>
      <c r="O890" s="985">
        <f t="shared" ref="O890:O901" si="198">L890</f>
        <v>4252462.49</v>
      </c>
      <c r="P890" s="985">
        <v>0</v>
      </c>
      <c r="Q890" s="985">
        <v>0</v>
      </c>
      <c r="R890" s="1321">
        <v>2019</v>
      </c>
      <c r="S890" s="1321">
        <v>2023</v>
      </c>
    </row>
    <row r="891" spans="1:19" ht="40.9" customHeight="1">
      <c r="A891" s="1321">
        <v>358</v>
      </c>
      <c r="B891" s="1218" t="s">
        <v>1650</v>
      </c>
      <c r="C891" s="987">
        <v>1977</v>
      </c>
      <c r="D891" s="987"/>
      <c r="E891" s="1319" t="s">
        <v>218</v>
      </c>
      <c r="F891" s="1319">
        <v>5</v>
      </c>
      <c r="G891" s="1319">
        <v>2</v>
      </c>
      <c r="H891" s="1219">
        <v>5500.4</v>
      </c>
      <c r="I891" s="1219">
        <v>5315</v>
      </c>
      <c r="J891" s="1219">
        <v>2102.1</v>
      </c>
      <c r="K891" s="987">
        <v>314</v>
      </c>
      <c r="L891" s="985">
        <v>7729973.2400000002</v>
      </c>
      <c r="M891" s="985">
        <v>0</v>
      </c>
      <c r="N891" s="985">
        <v>0</v>
      </c>
      <c r="O891" s="985">
        <f>L891</f>
        <v>7729973.2400000002</v>
      </c>
      <c r="P891" s="985">
        <v>0</v>
      </c>
      <c r="Q891" s="985">
        <v>0</v>
      </c>
      <c r="R891" s="1321">
        <v>2019</v>
      </c>
      <c r="S891" s="1321">
        <v>2023</v>
      </c>
    </row>
    <row r="892" spans="1:19" ht="42" customHeight="1">
      <c r="A892" s="1321">
        <v>359</v>
      </c>
      <c r="B892" s="1218" t="s">
        <v>1651</v>
      </c>
      <c r="C892" s="987">
        <v>1967</v>
      </c>
      <c r="D892" s="987"/>
      <c r="E892" s="1319" t="s">
        <v>220</v>
      </c>
      <c r="F892" s="1319">
        <v>5</v>
      </c>
      <c r="G892" s="1319">
        <v>4</v>
      </c>
      <c r="H892" s="1220">
        <v>5411.6</v>
      </c>
      <c r="I892" s="1220">
        <v>3495.5</v>
      </c>
      <c r="J892" s="1220">
        <v>3362.2</v>
      </c>
      <c r="K892" s="987">
        <v>114</v>
      </c>
      <c r="L892" s="985">
        <v>17471730.68</v>
      </c>
      <c r="M892" s="986">
        <v>0</v>
      </c>
      <c r="N892" s="986">
        <v>0</v>
      </c>
      <c r="O892" s="985">
        <f t="shared" si="198"/>
        <v>17471730.68</v>
      </c>
      <c r="P892" s="993">
        <v>0</v>
      </c>
      <c r="Q892" s="986">
        <v>0</v>
      </c>
      <c r="R892" s="1321">
        <v>2021</v>
      </c>
      <c r="S892" s="1321">
        <v>2023</v>
      </c>
    </row>
    <row r="893" spans="1:19" ht="39" customHeight="1">
      <c r="A893" s="1321">
        <v>360</v>
      </c>
      <c r="B893" s="1218" t="s">
        <v>1652</v>
      </c>
      <c r="C893" s="987">
        <v>1957</v>
      </c>
      <c r="D893" s="987"/>
      <c r="E893" s="1319" t="s">
        <v>218</v>
      </c>
      <c r="F893" s="1319">
        <v>1</v>
      </c>
      <c r="G893" s="1319">
        <v>2</v>
      </c>
      <c r="H893" s="1219">
        <v>461.3</v>
      </c>
      <c r="I893" s="1220">
        <v>407.4</v>
      </c>
      <c r="J893" s="1220">
        <v>314.60000000000002</v>
      </c>
      <c r="K893" s="987">
        <v>24</v>
      </c>
      <c r="L893" s="985">
        <v>2999749.36</v>
      </c>
      <c r="M893" s="986">
        <v>0</v>
      </c>
      <c r="N893" s="986">
        <v>0</v>
      </c>
      <c r="O893" s="985">
        <f t="shared" si="198"/>
        <v>2999749.36</v>
      </c>
      <c r="P893" s="993">
        <v>0</v>
      </c>
      <c r="Q893" s="986">
        <v>0</v>
      </c>
      <c r="R893" s="1321">
        <v>2021</v>
      </c>
      <c r="S893" s="1321">
        <v>2023</v>
      </c>
    </row>
    <row r="894" spans="1:19" ht="39" customHeight="1">
      <c r="A894" s="1321">
        <v>361</v>
      </c>
      <c r="B894" s="1218" t="s">
        <v>1653</v>
      </c>
      <c r="C894" s="987">
        <v>1975</v>
      </c>
      <c r="D894" s="987"/>
      <c r="E894" s="1319" t="s">
        <v>218</v>
      </c>
      <c r="F894" s="1319">
        <v>12</v>
      </c>
      <c r="G894" s="1319">
        <v>1</v>
      </c>
      <c r="H894" s="1220">
        <v>5393.6</v>
      </c>
      <c r="I894" s="1220">
        <v>3815.1</v>
      </c>
      <c r="J894" s="1220">
        <v>3741.2</v>
      </c>
      <c r="K894" s="987">
        <v>116</v>
      </c>
      <c r="L894" s="985">
        <v>4150636.91</v>
      </c>
      <c r="M894" s="986">
        <v>0</v>
      </c>
      <c r="N894" s="986">
        <v>0</v>
      </c>
      <c r="O894" s="985">
        <f t="shared" si="198"/>
        <v>4150636.91</v>
      </c>
      <c r="P894" s="993">
        <v>0</v>
      </c>
      <c r="Q894" s="986">
        <v>0</v>
      </c>
      <c r="R894" s="1321">
        <v>2022</v>
      </c>
      <c r="S894" s="1321">
        <v>2023</v>
      </c>
    </row>
    <row r="895" spans="1:19" ht="39" customHeight="1">
      <c r="A895" s="1321">
        <v>362</v>
      </c>
      <c r="B895" s="1218" t="s">
        <v>1654</v>
      </c>
      <c r="C895" s="987">
        <v>1973</v>
      </c>
      <c r="D895" s="987"/>
      <c r="E895" s="1319" t="s">
        <v>219</v>
      </c>
      <c r="F895" s="1319">
        <v>5</v>
      </c>
      <c r="G895" s="1319">
        <v>4</v>
      </c>
      <c r="H895" s="1220">
        <v>4703.8</v>
      </c>
      <c r="I895" s="1220">
        <v>3511.9</v>
      </c>
      <c r="J895" s="1220">
        <v>3307.8</v>
      </c>
      <c r="K895" s="987">
        <v>240</v>
      </c>
      <c r="L895" s="985">
        <v>3605381.91</v>
      </c>
      <c r="M895" s="986">
        <v>0</v>
      </c>
      <c r="N895" s="986">
        <v>0</v>
      </c>
      <c r="O895" s="985">
        <f t="shared" si="198"/>
        <v>3605381.91</v>
      </c>
      <c r="P895" s="993">
        <v>0</v>
      </c>
      <c r="Q895" s="986">
        <v>0</v>
      </c>
      <c r="R895" s="1321">
        <v>2022</v>
      </c>
      <c r="S895" s="1321">
        <v>2023</v>
      </c>
    </row>
    <row r="896" spans="1:19" ht="41.45" customHeight="1">
      <c r="A896" s="1321">
        <v>363</v>
      </c>
      <c r="B896" s="1218" t="s">
        <v>1655</v>
      </c>
      <c r="C896" s="987">
        <v>1967</v>
      </c>
      <c r="D896" s="987"/>
      <c r="E896" s="1319" t="s">
        <v>218</v>
      </c>
      <c r="F896" s="1319">
        <v>5</v>
      </c>
      <c r="G896" s="1319">
        <v>4</v>
      </c>
      <c r="H896" s="1220">
        <v>3573.8</v>
      </c>
      <c r="I896" s="1220">
        <v>2630</v>
      </c>
      <c r="J896" s="1220">
        <v>2630</v>
      </c>
      <c r="K896" s="987">
        <v>104</v>
      </c>
      <c r="L896" s="985">
        <v>7702135.8099999996</v>
      </c>
      <c r="M896" s="986">
        <v>0</v>
      </c>
      <c r="N896" s="986">
        <v>0</v>
      </c>
      <c r="O896" s="985">
        <f t="shared" si="198"/>
        <v>7702135.8099999996</v>
      </c>
      <c r="P896" s="993">
        <v>0</v>
      </c>
      <c r="Q896" s="986">
        <v>0</v>
      </c>
      <c r="R896" s="1321">
        <v>2022</v>
      </c>
      <c r="S896" s="1321">
        <v>2023</v>
      </c>
    </row>
    <row r="897" spans="1:19" ht="45" customHeight="1">
      <c r="A897" s="1321">
        <v>364</v>
      </c>
      <c r="B897" s="1218" t="s">
        <v>1656</v>
      </c>
      <c r="C897" s="987">
        <v>1953</v>
      </c>
      <c r="D897" s="987"/>
      <c r="E897" s="1319" t="s">
        <v>218</v>
      </c>
      <c r="F897" s="1319">
        <v>1</v>
      </c>
      <c r="G897" s="1319">
        <v>2</v>
      </c>
      <c r="H897" s="1219">
        <v>486.4</v>
      </c>
      <c r="I897" s="1220">
        <v>443.6</v>
      </c>
      <c r="J897" s="1220">
        <v>335.3</v>
      </c>
      <c r="K897" s="987">
        <v>25</v>
      </c>
      <c r="L897" s="985">
        <v>3365622.21</v>
      </c>
      <c r="M897" s="986">
        <v>0</v>
      </c>
      <c r="N897" s="986">
        <v>0</v>
      </c>
      <c r="O897" s="985">
        <f t="shared" si="198"/>
        <v>3365622.21</v>
      </c>
      <c r="P897" s="993">
        <v>0</v>
      </c>
      <c r="Q897" s="986">
        <v>0</v>
      </c>
      <c r="R897" s="1321">
        <v>2022</v>
      </c>
      <c r="S897" s="1321">
        <v>2023</v>
      </c>
    </row>
    <row r="898" spans="1:19" ht="48" customHeight="1">
      <c r="A898" s="1321">
        <v>365</v>
      </c>
      <c r="B898" s="1218" t="s">
        <v>1657</v>
      </c>
      <c r="C898" s="987">
        <v>1980</v>
      </c>
      <c r="D898" s="987"/>
      <c r="E898" s="1319" t="s">
        <v>218</v>
      </c>
      <c r="F898" s="1319">
        <v>5</v>
      </c>
      <c r="G898" s="1319">
        <v>6</v>
      </c>
      <c r="H898" s="1220">
        <v>5366.9</v>
      </c>
      <c r="I898" s="1220">
        <v>3813.5</v>
      </c>
      <c r="J898" s="1220">
        <v>3708.9</v>
      </c>
      <c r="K898" s="987">
        <v>193</v>
      </c>
      <c r="L898" s="985">
        <v>5891020.71</v>
      </c>
      <c r="M898" s="986">
        <v>0</v>
      </c>
      <c r="N898" s="986">
        <v>0</v>
      </c>
      <c r="O898" s="985">
        <f>L898</f>
        <v>5891020.71</v>
      </c>
      <c r="P898" s="993">
        <v>0</v>
      </c>
      <c r="Q898" s="986">
        <v>0</v>
      </c>
      <c r="R898" s="1321">
        <v>2022</v>
      </c>
      <c r="S898" s="1321">
        <v>2023</v>
      </c>
    </row>
    <row r="899" spans="1:19" ht="45.6" customHeight="1">
      <c r="A899" s="1321">
        <v>366</v>
      </c>
      <c r="B899" s="1218" t="s">
        <v>1658</v>
      </c>
      <c r="C899" s="987">
        <v>1994</v>
      </c>
      <c r="D899" s="987"/>
      <c r="E899" s="1319" t="s">
        <v>219</v>
      </c>
      <c r="F899" s="1319">
        <v>9</v>
      </c>
      <c r="G899" s="1319">
        <v>5</v>
      </c>
      <c r="H899" s="1220">
        <v>12100.9</v>
      </c>
      <c r="I899" s="1220">
        <v>10253.799999999999</v>
      </c>
      <c r="J899" s="1220">
        <v>10013.4</v>
      </c>
      <c r="K899" s="987">
        <v>423</v>
      </c>
      <c r="L899" s="985">
        <v>14449200.52</v>
      </c>
      <c r="M899" s="986">
        <v>0</v>
      </c>
      <c r="N899" s="986">
        <v>0</v>
      </c>
      <c r="O899" s="985">
        <f>L899</f>
        <v>14449200.52</v>
      </c>
      <c r="P899" s="993">
        <v>0</v>
      </c>
      <c r="Q899" s="986">
        <v>0</v>
      </c>
      <c r="R899" s="1321">
        <v>2022</v>
      </c>
      <c r="S899" s="1321">
        <v>2023</v>
      </c>
    </row>
    <row r="900" spans="1:19" ht="40.15" customHeight="1">
      <c r="A900" s="1321">
        <v>367</v>
      </c>
      <c r="B900" s="1218" t="s">
        <v>1659</v>
      </c>
      <c r="C900" s="987">
        <v>1993</v>
      </c>
      <c r="D900" s="987"/>
      <c r="E900" s="1319" t="s">
        <v>220</v>
      </c>
      <c r="F900" s="1319">
        <v>5</v>
      </c>
      <c r="G900" s="1319">
        <v>4</v>
      </c>
      <c r="H900" s="1220">
        <v>5425.3</v>
      </c>
      <c r="I900" s="1220">
        <v>3461.7</v>
      </c>
      <c r="J900" s="1220">
        <v>3390.1</v>
      </c>
      <c r="K900" s="987">
        <v>126</v>
      </c>
      <c r="L900" s="985">
        <v>15564858.65</v>
      </c>
      <c r="M900" s="986">
        <v>0</v>
      </c>
      <c r="N900" s="986">
        <v>0</v>
      </c>
      <c r="O900" s="985">
        <f>L900</f>
        <v>15564858.65</v>
      </c>
      <c r="P900" s="993">
        <v>0</v>
      </c>
      <c r="Q900" s="986">
        <v>0</v>
      </c>
      <c r="R900" s="1321">
        <v>2022</v>
      </c>
      <c r="S900" s="1321">
        <v>2023</v>
      </c>
    </row>
    <row r="901" spans="1:19" ht="42" customHeight="1">
      <c r="A901" s="1321">
        <v>368</v>
      </c>
      <c r="B901" s="1218" t="s">
        <v>1660</v>
      </c>
      <c r="C901" s="987">
        <v>1993</v>
      </c>
      <c r="D901" s="987"/>
      <c r="E901" s="1319" t="s">
        <v>219</v>
      </c>
      <c r="F901" s="1319">
        <v>9</v>
      </c>
      <c r="G901" s="1319">
        <v>3</v>
      </c>
      <c r="H901" s="1219">
        <v>7045.7</v>
      </c>
      <c r="I901" s="1220">
        <v>6350</v>
      </c>
      <c r="J901" s="1220">
        <v>6214.6</v>
      </c>
      <c r="K901" s="987">
        <v>244</v>
      </c>
      <c r="L901" s="985">
        <v>8669520.3100000005</v>
      </c>
      <c r="M901" s="986">
        <v>0</v>
      </c>
      <c r="N901" s="986">
        <v>0</v>
      </c>
      <c r="O901" s="985">
        <f t="shared" si="198"/>
        <v>8669520.3100000005</v>
      </c>
      <c r="P901" s="993">
        <v>0</v>
      </c>
      <c r="Q901" s="986">
        <v>0</v>
      </c>
      <c r="R901" s="1321">
        <v>2022</v>
      </c>
      <c r="S901" s="1321">
        <v>2023</v>
      </c>
    </row>
    <row r="902" spans="1:19" ht="42" customHeight="1">
      <c r="A902" s="1319"/>
      <c r="B902" s="1428" t="s">
        <v>1096</v>
      </c>
      <c r="C902" s="1428"/>
      <c r="D902" s="1428"/>
      <c r="E902" s="1428"/>
      <c r="F902" s="1428"/>
      <c r="G902" s="1428"/>
      <c r="H902" s="985">
        <f>H903</f>
        <v>525.4</v>
      </c>
      <c r="I902" s="985">
        <f t="shared" ref="I902:Q902" si="199">I903</f>
        <v>525.4</v>
      </c>
      <c r="J902" s="985">
        <f t="shared" si="199"/>
        <v>293.7</v>
      </c>
      <c r="K902" s="985">
        <f t="shared" si="199"/>
        <v>24</v>
      </c>
      <c r="L902" s="985">
        <f t="shared" si="199"/>
        <v>1992274</v>
      </c>
      <c r="M902" s="985">
        <f t="shared" si="199"/>
        <v>0</v>
      </c>
      <c r="N902" s="985">
        <f t="shared" si="199"/>
        <v>0</v>
      </c>
      <c r="O902" s="985">
        <f t="shared" si="199"/>
        <v>1992274</v>
      </c>
      <c r="P902" s="985">
        <f t="shared" si="199"/>
        <v>0</v>
      </c>
      <c r="Q902" s="985">
        <f t="shared" si="199"/>
        <v>0</v>
      </c>
      <c r="R902" s="991" t="s">
        <v>40</v>
      </c>
      <c r="S902" s="991" t="s">
        <v>40</v>
      </c>
    </row>
    <row r="903" spans="1:19" ht="43.9" customHeight="1">
      <c r="A903" s="1319">
        <v>369</v>
      </c>
      <c r="B903" s="1313" t="s">
        <v>1097</v>
      </c>
      <c r="C903" s="1321">
        <v>1967</v>
      </c>
      <c r="D903" s="1313"/>
      <c r="E903" s="1319" t="s">
        <v>218</v>
      </c>
      <c r="F903" s="1321">
        <v>2</v>
      </c>
      <c r="G903" s="1321">
        <v>2</v>
      </c>
      <c r="H903" s="985">
        <v>525.4</v>
      </c>
      <c r="I903" s="985">
        <v>525.4</v>
      </c>
      <c r="J903" s="985">
        <v>293.7</v>
      </c>
      <c r="K903" s="1030">
        <v>24</v>
      </c>
      <c r="L903" s="986">
        <v>1992274</v>
      </c>
      <c r="M903" s="986">
        <v>0</v>
      </c>
      <c r="N903" s="986">
        <v>0</v>
      </c>
      <c r="O903" s="986">
        <v>1992274</v>
      </c>
      <c r="P903" s="993">
        <v>0</v>
      </c>
      <c r="Q903" s="986">
        <v>0</v>
      </c>
      <c r="R903" s="987">
        <v>2022</v>
      </c>
      <c r="S903" s="987">
        <v>2023</v>
      </c>
    </row>
    <row r="904" spans="1:19" ht="43.15" customHeight="1">
      <c r="A904" s="1319"/>
      <c r="B904" s="1313" t="s">
        <v>1030</v>
      </c>
      <c r="C904" s="1321"/>
      <c r="D904" s="1096"/>
      <c r="E904" s="1319"/>
      <c r="F904" s="1321"/>
      <c r="G904" s="1321"/>
      <c r="H904" s="985">
        <f>SUM(H905:H907)</f>
        <v>2543.3999999999996</v>
      </c>
      <c r="I904" s="985">
        <f t="shared" ref="I904:Q904" si="200">SUM(I905:I907)</f>
        <v>2328.5</v>
      </c>
      <c r="J904" s="985">
        <f t="shared" si="200"/>
        <v>2129.1999999999998</v>
      </c>
      <c r="K904" s="985">
        <f t="shared" si="200"/>
        <v>87</v>
      </c>
      <c r="L904" s="985">
        <f t="shared" si="200"/>
        <v>6487484</v>
      </c>
      <c r="M904" s="985">
        <f t="shared" si="200"/>
        <v>0</v>
      </c>
      <c r="N904" s="985">
        <f t="shared" si="200"/>
        <v>0</v>
      </c>
      <c r="O904" s="985">
        <f t="shared" si="200"/>
        <v>6487484</v>
      </c>
      <c r="P904" s="985">
        <f t="shared" si="200"/>
        <v>0</v>
      </c>
      <c r="Q904" s="985">
        <f t="shared" si="200"/>
        <v>0</v>
      </c>
      <c r="R904" s="991" t="s">
        <v>40</v>
      </c>
      <c r="S904" s="991" t="s">
        <v>40</v>
      </c>
    </row>
    <row r="905" spans="1:19" ht="43.9" customHeight="1">
      <c r="A905" s="1319">
        <v>370</v>
      </c>
      <c r="B905" s="1316" t="s">
        <v>1441</v>
      </c>
      <c r="C905" s="1321">
        <v>1984</v>
      </c>
      <c r="D905" s="1321"/>
      <c r="E905" s="1319" t="s">
        <v>218</v>
      </c>
      <c r="F905" s="1321">
        <v>3</v>
      </c>
      <c r="G905" s="1321">
        <v>2</v>
      </c>
      <c r="H905" s="985">
        <v>1130.0999999999999</v>
      </c>
      <c r="I905" s="985">
        <v>1039.4000000000001</v>
      </c>
      <c r="J905" s="985">
        <v>923.5</v>
      </c>
      <c r="K905" s="1030">
        <v>48</v>
      </c>
      <c r="L905" s="986">
        <v>1256949</v>
      </c>
      <c r="M905" s="986">
        <v>0</v>
      </c>
      <c r="N905" s="986">
        <v>0</v>
      </c>
      <c r="O905" s="986">
        <v>1256949</v>
      </c>
      <c r="P905" s="993">
        <f t="shared" ref="P905" si="201">Q905</f>
        <v>0</v>
      </c>
      <c r="Q905" s="986">
        <v>0</v>
      </c>
      <c r="R905" s="987">
        <v>2022</v>
      </c>
      <c r="S905" s="987">
        <v>2023</v>
      </c>
    </row>
    <row r="906" spans="1:19" ht="54.75" customHeight="1">
      <c r="A906" s="1319">
        <v>371</v>
      </c>
      <c r="B906" s="1316" t="s">
        <v>1442</v>
      </c>
      <c r="C906" s="1321">
        <v>1972</v>
      </c>
      <c r="D906" s="1321"/>
      <c r="E906" s="1319" t="s">
        <v>218</v>
      </c>
      <c r="F906" s="1321">
        <v>2</v>
      </c>
      <c r="G906" s="1321">
        <v>2</v>
      </c>
      <c r="H906" s="985">
        <v>781</v>
      </c>
      <c r="I906" s="985">
        <v>720.8</v>
      </c>
      <c r="J906" s="985">
        <v>637.4</v>
      </c>
      <c r="K906" s="1030">
        <v>22</v>
      </c>
      <c r="L906" s="986">
        <v>1150330</v>
      </c>
      <c r="M906" s="986">
        <v>0</v>
      </c>
      <c r="N906" s="986">
        <v>0</v>
      </c>
      <c r="O906" s="986">
        <v>1150330</v>
      </c>
      <c r="P906" s="993">
        <v>0</v>
      </c>
      <c r="Q906" s="986">
        <v>0</v>
      </c>
      <c r="R906" s="987">
        <v>2022</v>
      </c>
      <c r="S906" s="987">
        <v>2023</v>
      </c>
    </row>
    <row r="907" spans="1:19" ht="41.45" customHeight="1">
      <c r="A907" s="1319">
        <v>372</v>
      </c>
      <c r="B907" s="1316" t="s">
        <v>1116</v>
      </c>
      <c r="C907" s="1321">
        <v>1989</v>
      </c>
      <c r="D907" s="1321"/>
      <c r="E907" s="1319" t="s">
        <v>218</v>
      </c>
      <c r="F907" s="1321">
        <v>2</v>
      </c>
      <c r="G907" s="1321">
        <v>2</v>
      </c>
      <c r="H907" s="985">
        <v>632.29999999999995</v>
      </c>
      <c r="I907" s="985">
        <v>568.29999999999995</v>
      </c>
      <c r="J907" s="985">
        <v>568.29999999999995</v>
      </c>
      <c r="K907" s="1030">
        <v>17</v>
      </c>
      <c r="L907" s="986">
        <v>4080205</v>
      </c>
      <c r="M907" s="986">
        <v>0</v>
      </c>
      <c r="N907" s="986">
        <v>0</v>
      </c>
      <c r="O907" s="986">
        <v>4080205</v>
      </c>
      <c r="P907" s="993">
        <v>0</v>
      </c>
      <c r="Q907" s="986">
        <v>0</v>
      </c>
      <c r="R907" s="987">
        <v>2022</v>
      </c>
      <c r="S907" s="987">
        <v>2023</v>
      </c>
    </row>
    <row r="908" spans="1:19" ht="41.45" customHeight="1">
      <c r="A908" s="1319"/>
      <c r="B908" s="1316" t="s">
        <v>1284</v>
      </c>
      <c r="C908" s="1321"/>
      <c r="D908" s="1096"/>
      <c r="E908" s="1319"/>
      <c r="F908" s="1321"/>
      <c r="G908" s="1321"/>
      <c r="H908" s="985">
        <f t="shared" ref="H908:Q908" si="202">SUM(H909:H910)</f>
        <v>1179.0999999999999</v>
      </c>
      <c r="I908" s="985">
        <f t="shared" si="202"/>
        <v>1178.7</v>
      </c>
      <c r="J908" s="985">
        <f t="shared" si="202"/>
        <v>1090.3000000000002</v>
      </c>
      <c r="K908" s="1030">
        <f t="shared" si="202"/>
        <v>42</v>
      </c>
      <c r="L908" s="985">
        <f t="shared" si="202"/>
        <v>3195064</v>
      </c>
      <c r="M908" s="985">
        <f t="shared" si="202"/>
        <v>0</v>
      </c>
      <c r="N908" s="985">
        <f t="shared" si="202"/>
        <v>0</v>
      </c>
      <c r="O908" s="985">
        <f t="shared" si="202"/>
        <v>3195064</v>
      </c>
      <c r="P908" s="985">
        <f t="shared" si="202"/>
        <v>0</v>
      </c>
      <c r="Q908" s="985">
        <f t="shared" si="202"/>
        <v>0</v>
      </c>
      <c r="R908" s="991" t="s">
        <v>40</v>
      </c>
      <c r="S908" s="991" t="s">
        <v>40</v>
      </c>
    </row>
    <row r="909" spans="1:19" ht="41.45" customHeight="1">
      <c r="A909" s="1021">
        <v>373</v>
      </c>
      <c r="B909" s="1144" t="s">
        <v>1709</v>
      </c>
      <c r="C909" s="1022">
        <v>1961</v>
      </c>
      <c r="D909" s="1022"/>
      <c r="E909" s="1319" t="s">
        <v>218</v>
      </c>
      <c r="F909" s="1221">
        <v>2</v>
      </c>
      <c r="G909" s="1221">
        <v>2</v>
      </c>
      <c r="H909" s="1018">
        <v>592.6</v>
      </c>
      <c r="I909" s="1018">
        <v>592.20000000000005</v>
      </c>
      <c r="J909" s="1018">
        <v>552.20000000000005</v>
      </c>
      <c r="K909" s="1008">
        <v>23</v>
      </c>
      <c r="L909" s="986">
        <v>1705839</v>
      </c>
      <c r="M909" s="986">
        <v>0</v>
      </c>
      <c r="N909" s="986">
        <v>0</v>
      </c>
      <c r="O909" s="986">
        <v>1705839</v>
      </c>
      <c r="P909" s="1023">
        <v>0</v>
      </c>
      <c r="Q909" s="986">
        <v>0</v>
      </c>
      <c r="R909" s="987">
        <v>2022</v>
      </c>
      <c r="S909" s="987">
        <v>2023</v>
      </c>
    </row>
    <row r="910" spans="1:19" ht="53.45" customHeight="1">
      <c r="A910" s="1021">
        <v>374</v>
      </c>
      <c r="B910" s="1204" t="s">
        <v>1710</v>
      </c>
      <c r="C910" s="1022">
        <v>1963</v>
      </c>
      <c r="D910" s="1022"/>
      <c r="E910" s="1319" t="s">
        <v>221</v>
      </c>
      <c r="F910" s="1221">
        <v>2</v>
      </c>
      <c r="G910" s="1221">
        <v>2</v>
      </c>
      <c r="H910" s="1018">
        <v>586.5</v>
      </c>
      <c r="I910" s="1018">
        <v>586.5</v>
      </c>
      <c r="J910" s="1018">
        <v>538.1</v>
      </c>
      <c r="K910" s="1008">
        <v>19</v>
      </c>
      <c r="L910" s="986">
        <v>1489225</v>
      </c>
      <c r="M910" s="986">
        <v>0</v>
      </c>
      <c r="N910" s="986">
        <v>0</v>
      </c>
      <c r="O910" s="986">
        <v>1489225</v>
      </c>
      <c r="P910" s="1023">
        <v>0</v>
      </c>
      <c r="Q910" s="986">
        <v>0</v>
      </c>
      <c r="R910" s="987">
        <v>2022</v>
      </c>
      <c r="S910" s="987">
        <v>2023</v>
      </c>
    </row>
    <row r="911" spans="1:19" ht="53.45" customHeight="1">
      <c r="A911" s="1319"/>
      <c r="B911" s="1313" t="s">
        <v>2017</v>
      </c>
      <c r="C911" s="1321"/>
      <c r="D911" s="1096"/>
      <c r="E911" s="1319"/>
      <c r="F911" s="1321"/>
      <c r="G911" s="1321"/>
      <c r="H911" s="985">
        <f>SUM(H912:H918)</f>
        <v>5460.2000000000007</v>
      </c>
      <c r="I911" s="985">
        <f t="shared" ref="I911:Q911" si="203">SUM(I912:I918)</f>
        <v>5001</v>
      </c>
      <c r="J911" s="985">
        <f t="shared" si="203"/>
        <v>5001</v>
      </c>
      <c r="K911" s="985">
        <f t="shared" si="203"/>
        <v>268</v>
      </c>
      <c r="L911" s="985">
        <f t="shared" si="203"/>
        <v>9482659.9500000011</v>
      </c>
      <c r="M911" s="985">
        <f t="shared" si="203"/>
        <v>0</v>
      </c>
      <c r="N911" s="985">
        <f t="shared" si="203"/>
        <v>0</v>
      </c>
      <c r="O911" s="985">
        <f t="shared" si="203"/>
        <v>9482659.9500000011</v>
      </c>
      <c r="P911" s="985">
        <f t="shared" si="203"/>
        <v>0</v>
      </c>
      <c r="Q911" s="985">
        <f t="shared" si="203"/>
        <v>0</v>
      </c>
      <c r="R911" s="991" t="s">
        <v>40</v>
      </c>
      <c r="S911" s="991" t="s">
        <v>40</v>
      </c>
    </row>
    <row r="912" spans="1:19" ht="53.45" customHeight="1">
      <c r="A912" s="1319">
        <v>375</v>
      </c>
      <c r="B912" s="1143" t="s">
        <v>2018</v>
      </c>
      <c r="C912" s="1022">
        <v>1968</v>
      </c>
      <c r="D912" s="1022"/>
      <c r="E912" s="1319" t="s">
        <v>218</v>
      </c>
      <c r="F912" s="1022">
        <v>3</v>
      </c>
      <c r="G912" s="1022">
        <v>2</v>
      </c>
      <c r="H912" s="1025">
        <v>1044.5</v>
      </c>
      <c r="I912" s="1025">
        <v>971.9</v>
      </c>
      <c r="J912" s="1025">
        <v>971.9</v>
      </c>
      <c r="K912" s="1032">
        <v>53</v>
      </c>
      <c r="L912" s="986">
        <v>1866925.32</v>
      </c>
      <c r="M912" s="986">
        <v>0</v>
      </c>
      <c r="N912" s="986">
        <v>0</v>
      </c>
      <c r="O912" s="986">
        <f t="shared" ref="O912:O917" si="204">L912</f>
        <v>1866925.32</v>
      </c>
      <c r="P912" s="1023">
        <v>0</v>
      </c>
      <c r="Q912" s="986">
        <v>0</v>
      </c>
      <c r="R912" s="987">
        <v>2016</v>
      </c>
      <c r="S912" s="987">
        <v>2023</v>
      </c>
    </row>
    <row r="913" spans="1:19" ht="43.9" customHeight="1">
      <c r="A913" s="1319">
        <v>376</v>
      </c>
      <c r="B913" s="1316" t="s">
        <v>680</v>
      </c>
      <c r="C913" s="1321">
        <v>1964</v>
      </c>
      <c r="D913" s="1321"/>
      <c r="E913" s="1319" t="s">
        <v>218</v>
      </c>
      <c r="F913" s="1321">
        <v>2</v>
      </c>
      <c r="G913" s="1321">
        <v>2</v>
      </c>
      <c r="H913" s="993">
        <v>571.29999999999995</v>
      </c>
      <c r="I913" s="985">
        <v>522.9</v>
      </c>
      <c r="J913" s="985">
        <v>522.9</v>
      </c>
      <c r="K913" s="1030">
        <v>29</v>
      </c>
      <c r="L913" s="986">
        <v>734707</v>
      </c>
      <c r="M913" s="986">
        <v>0</v>
      </c>
      <c r="N913" s="986">
        <v>0</v>
      </c>
      <c r="O913" s="986">
        <f t="shared" si="204"/>
        <v>734707</v>
      </c>
      <c r="P913" s="993">
        <f t="shared" ref="P913:P914" si="205">Q913</f>
        <v>0</v>
      </c>
      <c r="Q913" s="986">
        <v>0</v>
      </c>
      <c r="R913" s="987">
        <v>2017</v>
      </c>
      <c r="S913" s="987">
        <v>2023</v>
      </c>
    </row>
    <row r="914" spans="1:19" ht="55.15" customHeight="1">
      <c r="A914" s="1319">
        <v>377</v>
      </c>
      <c r="B914" s="1316" t="s">
        <v>681</v>
      </c>
      <c r="C914" s="1321">
        <v>1964</v>
      </c>
      <c r="D914" s="1321"/>
      <c r="E914" s="1319" t="s">
        <v>218</v>
      </c>
      <c r="F914" s="1321">
        <v>2</v>
      </c>
      <c r="G914" s="1321">
        <v>2</v>
      </c>
      <c r="H914" s="985">
        <v>578.79999999999995</v>
      </c>
      <c r="I914" s="985">
        <v>530.6</v>
      </c>
      <c r="J914" s="985">
        <v>530.6</v>
      </c>
      <c r="K914" s="1030">
        <v>29</v>
      </c>
      <c r="L914" s="986">
        <v>738725.94</v>
      </c>
      <c r="M914" s="986">
        <v>0</v>
      </c>
      <c r="N914" s="986">
        <v>0</v>
      </c>
      <c r="O914" s="986">
        <f t="shared" si="204"/>
        <v>738725.94</v>
      </c>
      <c r="P914" s="993">
        <f t="shared" si="205"/>
        <v>0</v>
      </c>
      <c r="Q914" s="986">
        <v>0</v>
      </c>
      <c r="R914" s="987">
        <v>2017</v>
      </c>
      <c r="S914" s="987">
        <v>2023</v>
      </c>
    </row>
    <row r="915" spans="1:19" ht="45" customHeight="1">
      <c r="A915" s="1319">
        <v>378</v>
      </c>
      <c r="B915" s="1316" t="s">
        <v>682</v>
      </c>
      <c r="C915" s="1321">
        <v>1972</v>
      </c>
      <c r="D915" s="1321"/>
      <c r="E915" s="1319" t="s">
        <v>218</v>
      </c>
      <c r="F915" s="1321">
        <v>3</v>
      </c>
      <c r="G915" s="1321">
        <v>2</v>
      </c>
      <c r="H915" s="993">
        <v>1028</v>
      </c>
      <c r="I915" s="985">
        <v>955</v>
      </c>
      <c r="J915" s="985">
        <v>955</v>
      </c>
      <c r="K915" s="1030">
        <v>47</v>
      </c>
      <c r="L915" s="986">
        <v>1857131.23</v>
      </c>
      <c r="M915" s="986">
        <v>0</v>
      </c>
      <c r="N915" s="986">
        <v>0</v>
      </c>
      <c r="O915" s="986">
        <f t="shared" si="204"/>
        <v>1857131.23</v>
      </c>
      <c r="P915" s="993">
        <v>0</v>
      </c>
      <c r="Q915" s="986">
        <v>0</v>
      </c>
      <c r="R915" s="987">
        <v>2018</v>
      </c>
      <c r="S915" s="987">
        <v>2023</v>
      </c>
    </row>
    <row r="916" spans="1:19" ht="45" customHeight="1">
      <c r="A916" s="1319">
        <v>379</v>
      </c>
      <c r="B916" s="1144" t="s">
        <v>2019</v>
      </c>
      <c r="C916" s="1325">
        <v>1962</v>
      </c>
      <c r="D916" s="1325"/>
      <c r="E916" s="1319" t="s">
        <v>218</v>
      </c>
      <c r="F916" s="1325">
        <v>3</v>
      </c>
      <c r="G916" s="1325">
        <v>2</v>
      </c>
      <c r="H916" s="993">
        <v>1039.2</v>
      </c>
      <c r="I916" s="985">
        <v>967.8</v>
      </c>
      <c r="J916" s="985">
        <v>967.8</v>
      </c>
      <c r="K916" s="1030">
        <v>48</v>
      </c>
      <c r="L916" s="986">
        <v>1936330.91</v>
      </c>
      <c r="M916" s="986">
        <v>0</v>
      </c>
      <c r="N916" s="986">
        <v>0</v>
      </c>
      <c r="O916" s="986">
        <f t="shared" si="204"/>
        <v>1936330.91</v>
      </c>
      <c r="P916" s="993">
        <v>0</v>
      </c>
      <c r="Q916" s="986">
        <v>0</v>
      </c>
      <c r="R916" s="987">
        <v>2019</v>
      </c>
      <c r="S916" s="987">
        <v>2023</v>
      </c>
    </row>
    <row r="917" spans="1:19" ht="47.45" customHeight="1">
      <c r="A917" s="1319">
        <v>380</v>
      </c>
      <c r="B917" s="1144" t="s">
        <v>2020</v>
      </c>
      <c r="C917" s="1325">
        <v>1969</v>
      </c>
      <c r="D917" s="1325"/>
      <c r="E917" s="1319" t="s">
        <v>218</v>
      </c>
      <c r="F917" s="1325">
        <v>2</v>
      </c>
      <c r="G917" s="1325">
        <v>2</v>
      </c>
      <c r="H917" s="993">
        <v>571.29999999999995</v>
      </c>
      <c r="I917" s="985">
        <v>522.70000000000005</v>
      </c>
      <c r="J917" s="985">
        <v>522.70000000000005</v>
      </c>
      <c r="K917" s="1030">
        <v>29</v>
      </c>
      <c r="L917" s="986">
        <v>1309256.55</v>
      </c>
      <c r="M917" s="986">
        <v>0</v>
      </c>
      <c r="N917" s="986">
        <v>0</v>
      </c>
      <c r="O917" s="986">
        <f t="shared" si="204"/>
        <v>1309256.55</v>
      </c>
      <c r="P917" s="993">
        <v>0</v>
      </c>
      <c r="Q917" s="986">
        <v>0</v>
      </c>
      <c r="R917" s="987">
        <v>2019</v>
      </c>
      <c r="S917" s="987">
        <v>2023</v>
      </c>
    </row>
    <row r="918" spans="1:19" ht="47.45" customHeight="1">
      <c r="A918" s="1319">
        <v>381</v>
      </c>
      <c r="B918" s="1316" t="s">
        <v>2057</v>
      </c>
      <c r="C918" s="1321">
        <v>1986</v>
      </c>
      <c r="D918" s="1321"/>
      <c r="E918" s="1319" t="s">
        <v>219</v>
      </c>
      <c r="F918" s="1321">
        <v>2</v>
      </c>
      <c r="G918" s="1321">
        <v>2</v>
      </c>
      <c r="H918" s="993">
        <v>627.1</v>
      </c>
      <c r="I918" s="985">
        <v>530.1</v>
      </c>
      <c r="J918" s="985">
        <v>530.1</v>
      </c>
      <c r="K918" s="1030">
        <v>33</v>
      </c>
      <c r="L918" s="986">
        <v>1039583</v>
      </c>
      <c r="M918" s="986">
        <v>0</v>
      </c>
      <c r="N918" s="986">
        <v>0</v>
      </c>
      <c r="O918" s="986">
        <v>1039583</v>
      </c>
      <c r="P918" s="993">
        <v>0</v>
      </c>
      <c r="Q918" s="986">
        <v>0</v>
      </c>
      <c r="R918" s="987">
        <v>2022</v>
      </c>
      <c r="S918" s="987">
        <v>2022</v>
      </c>
    </row>
    <row r="919" spans="1:19" ht="47.45" customHeight="1">
      <c r="A919" s="1319"/>
      <c r="B919" s="1316" t="s">
        <v>2026</v>
      </c>
      <c r="C919" s="1321"/>
      <c r="D919" s="1096"/>
      <c r="E919" s="1319"/>
      <c r="F919" s="1321"/>
      <c r="G919" s="1321"/>
      <c r="H919" s="993">
        <f>H920</f>
        <v>5924.3</v>
      </c>
      <c r="I919" s="993">
        <f t="shared" ref="I919:Q919" si="206">I920</f>
        <v>5373.7</v>
      </c>
      <c r="J919" s="993">
        <f t="shared" si="206"/>
        <v>4875.2</v>
      </c>
      <c r="K919" s="993">
        <f t="shared" si="206"/>
        <v>217</v>
      </c>
      <c r="L919" s="993">
        <f t="shared" si="206"/>
        <v>4707741</v>
      </c>
      <c r="M919" s="993">
        <f t="shared" si="206"/>
        <v>0</v>
      </c>
      <c r="N919" s="993">
        <f t="shared" si="206"/>
        <v>0</v>
      </c>
      <c r="O919" s="993">
        <f t="shared" si="206"/>
        <v>4707741</v>
      </c>
      <c r="P919" s="993">
        <f t="shared" si="206"/>
        <v>0</v>
      </c>
      <c r="Q919" s="993">
        <f t="shared" si="206"/>
        <v>0</v>
      </c>
      <c r="R919" s="991" t="s">
        <v>40</v>
      </c>
      <c r="S919" s="991" t="s">
        <v>40</v>
      </c>
    </row>
    <row r="920" spans="1:19" ht="39" customHeight="1">
      <c r="A920" s="1319">
        <v>382</v>
      </c>
      <c r="B920" s="1144" t="s">
        <v>2066</v>
      </c>
      <c r="C920" s="1321">
        <v>1989</v>
      </c>
      <c r="D920" s="1325"/>
      <c r="E920" s="1319" t="s">
        <v>219</v>
      </c>
      <c r="F920" s="1321">
        <v>5</v>
      </c>
      <c r="G920" s="1321">
        <v>7</v>
      </c>
      <c r="H920" s="993">
        <v>5924.3</v>
      </c>
      <c r="I920" s="985">
        <v>5373.7</v>
      </c>
      <c r="J920" s="985">
        <v>4875.2</v>
      </c>
      <c r="K920" s="1030">
        <v>217</v>
      </c>
      <c r="L920" s="986">
        <v>4707741</v>
      </c>
      <c r="M920" s="986">
        <v>0</v>
      </c>
      <c r="N920" s="986">
        <v>0</v>
      </c>
      <c r="O920" s="986">
        <f t="shared" ref="O920" si="207">L920</f>
        <v>4707741</v>
      </c>
      <c r="P920" s="993">
        <v>0</v>
      </c>
      <c r="Q920" s="986">
        <v>0</v>
      </c>
      <c r="R920" s="987">
        <v>2019</v>
      </c>
      <c r="S920" s="987">
        <v>2020</v>
      </c>
    </row>
    <row r="921" spans="1:19" ht="42" customHeight="1">
      <c r="A921" s="1319"/>
      <c r="B921" s="1434" t="s">
        <v>2030</v>
      </c>
      <c r="C921" s="1434"/>
      <c r="D921" s="1434"/>
      <c r="E921" s="1434"/>
      <c r="F921" s="1434"/>
      <c r="G921" s="1434"/>
      <c r="H921" s="993">
        <f>H922+H923+H924</f>
        <v>2698</v>
      </c>
      <c r="I921" s="993">
        <f t="shared" ref="I921:Q921" si="208">I922+I923+I924</f>
        <v>2321.6000000000004</v>
      </c>
      <c r="J921" s="993">
        <f t="shared" si="208"/>
        <v>1811.4</v>
      </c>
      <c r="K921" s="993">
        <f t="shared" si="208"/>
        <v>132</v>
      </c>
      <c r="L921" s="993">
        <f t="shared" si="208"/>
        <v>7101699</v>
      </c>
      <c r="M921" s="993">
        <f t="shared" si="208"/>
        <v>0</v>
      </c>
      <c r="N921" s="993">
        <f t="shared" si="208"/>
        <v>0</v>
      </c>
      <c r="O921" s="993">
        <f t="shared" si="208"/>
        <v>7101699</v>
      </c>
      <c r="P921" s="993">
        <f t="shared" si="208"/>
        <v>0</v>
      </c>
      <c r="Q921" s="993">
        <f t="shared" si="208"/>
        <v>0</v>
      </c>
      <c r="R921" s="991" t="s">
        <v>40</v>
      </c>
      <c r="S921" s="991" t="s">
        <v>40</v>
      </c>
    </row>
    <row r="922" spans="1:19" ht="34.9" customHeight="1">
      <c r="A922" s="1319">
        <v>383</v>
      </c>
      <c r="B922" s="1324" t="s">
        <v>2067</v>
      </c>
      <c r="C922" s="1321">
        <v>1952</v>
      </c>
      <c r="D922" s="1321"/>
      <c r="E922" s="1319" t="s">
        <v>218</v>
      </c>
      <c r="F922" s="1321">
        <v>2</v>
      </c>
      <c r="G922" s="1321">
        <v>3</v>
      </c>
      <c r="H922" s="985">
        <v>858.4</v>
      </c>
      <c r="I922" s="985">
        <v>810.4</v>
      </c>
      <c r="J922" s="985">
        <v>592.20000000000005</v>
      </c>
      <c r="K922" s="1030">
        <v>43</v>
      </c>
      <c r="L922" s="986">
        <v>3410816</v>
      </c>
      <c r="M922" s="986">
        <v>0</v>
      </c>
      <c r="N922" s="986">
        <v>0</v>
      </c>
      <c r="O922" s="986">
        <v>3410816</v>
      </c>
      <c r="P922" s="993">
        <v>0</v>
      </c>
      <c r="Q922" s="986">
        <v>0</v>
      </c>
      <c r="R922" s="987">
        <v>2022</v>
      </c>
      <c r="S922" s="987">
        <v>2023</v>
      </c>
    </row>
    <row r="923" spans="1:19" ht="49.5" customHeight="1">
      <c r="A923" s="1319">
        <v>384</v>
      </c>
      <c r="B923" s="1324" t="s">
        <v>2068</v>
      </c>
      <c r="C923" s="1321">
        <v>1955</v>
      </c>
      <c r="D923" s="1321"/>
      <c r="E923" s="1319" t="s">
        <v>218</v>
      </c>
      <c r="F923" s="1321">
        <v>2</v>
      </c>
      <c r="G923" s="1321">
        <v>3</v>
      </c>
      <c r="H923" s="985">
        <v>870</v>
      </c>
      <c r="I923" s="985">
        <v>821</v>
      </c>
      <c r="J923" s="985">
        <v>612</v>
      </c>
      <c r="K923" s="1030">
        <v>37</v>
      </c>
      <c r="L923" s="986">
        <v>1883975</v>
      </c>
      <c r="M923" s="986">
        <v>0</v>
      </c>
      <c r="N923" s="986">
        <v>0</v>
      </c>
      <c r="O923" s="986">
        <v>1883975</v>
      </c>
      <c r="P923" s="993">
        <v>0</v>
      </c>
      <c r="Q923" s="986">
        <v>0</v>
      </c>
      <c r="R923" s="987">
        <v>2019</v>
      </c>
      <c r="S923" s="987">
        <v>2023</v>
      </c>
    </row>
    <row r="924" spans="1:19" ht="49.5" customHeight="1">
      <c r="A924" s="1319">
        <v>385</v>
      </c>
      <c r="B924" s="1324" t="s">
        <v>2069</v>
      </c>
      <c r="C924" s="1321">
        <v>1972</v>
      </c>
      <c r="D924" s="1321"/>
      <c r="E924" s="1319" t="s">
        <v>218</v>
      </c>
      <c r="F924" s="1321">
        <v>3</v>
      </c>
      <c r="G924" s="1321">
        <v>2</v>
      </c>
      <c r="H924" s="985">
        <v>969.6</v>
      </c>
      <c r="I924" s="985">
        <v>690.2</v>
      </c>
      <c r="J924" s="985">
        <v>607.20000000000005</v>
      </c>
      <c r="K924" s="1030">
        <v>52</v>
      </c>
      <c r="L924" s="986">
        <v>1806908</v>
      </c>
      <c r="M924" s="986">
        <v>0</v>
      </c>
      <c r="N924" s="986">
        <v>0</v>
      </c>
      <c r="O924" s="986">
        <v>1806908</v>
      </c>
      <c r="P924" s="993">
        <v>0</v>
      </c>
      <c r="Q924" s="986">
        <v>0</v>
      </c>
      <c r="R924" s="987">
        <v>2021</v>
      </c>
      <c r="S924" s="987">
        <v>2021</v>
      </c>
    </row>
    <row r="925" spans="1:19" ht="49.5" customHeight="1">
      <c r="A925" s="1319"/>
      <c r="B925" s="1427" t="s">
        <v>1032</v>
      </c>
      <c r="C925" s="1426"/>
      <c r="D925" s="1426"/>
      <c r="E925" s="1426"/>
      <c r="F925" s="1426"/>
      <c r="G925" s="1426"/>
      <c r="H925" s="985">
        <f>H926</f>
        <v>432.6</v>
      </c>
      <c r="I925" s="985">
        <f t="shared" ref="I925:Q925" si="209">I926</f>
        <v>392</v>
      </c>
      <c r="J925" s="985">
        <f t="shared" si="209"/>
        <v>392</v>
      </c>
      <c r="K925" s="1030">
        <f t="shared" si="209"/>
        <v>9</v>
      </c>
      <c r="L925" s="985">
        <f t="shared" si="209"/>
        <v>255847</v>
      </c>
      <c r="M925" s="985">
        <f t="shared" si="209"/>
        <v>0</v>
      </c>
      <c r="N925" s="985">
        <f t="shared" si="209"/>
        <v>0</v>
      </c>
      <c r="O925" s="985">
        <f t="shared" si="209"/>
        <v>255847</v>
      </c>
      <c r="P925" s="985">
        <f t="shared" si="209"/>
        <v>0</v>
      </c>
      <c r="Q925" s="985">
        <f t="shared" si="209"/>
        <v>0</v>
      </c>
      <c r="R925" s="991" t="s">
        <v>40</v>
      </c>
      <c r="S925" s="991" t="s">
        <v>40</v>
      </c>
    </row>
    <row r="926" spans="1:19" ht="39.6" customHeight="1">
      <c r="A926" s="1319">
        <v>386</v>
      </c>
      <c r="B926" s="1316" t="s">
        <v>2032</v>
      </c>
      <c r="C926" s="1319">
        <v>1957</v>
      </c>
      <c r="D926" s="1319"/>
      <c r="E926" s="1319" t="s">
        <v>218</v>
      </c>
      <c r="F926" s="1319">
        <v>2</v>
      </c>
      <c r="G926" s="1319">
        <v>1</v>
      </c>
      <c r="H926" s="985">
        <v>432.6</v>
      </c>
      <c r="I926" s="985">
        <v>392</v>
      </c>
      <c r="J926" s="985">
        <v>392</v>
      </c>
      <c r="K926" s="1030">
        <v>9</v>
      </c>
      <c r="L926" s="986">
        <v>255847</v>
      </c>
      <c r="M926" s="986">
        <v>0</v>
      </c>
      <c r="N926" s="986">
        <v>0</v>
      </c>
      <c r="O926" s="986">
        <v>255847</v>
      </c>
      <c r="P926" s="993">
        <v>0</v>
      </c>
      <c r="Q926" s="986">
        <v>0</v>
      </c>
      <c r="R926" s="987">
        <v>2020</v>
      </c>
      <c r="S926" s="987">
        <v>2020</v>
      </c>
    </row>
    <row r="927" spans="1:19" ht="39.6" customHeight="1">
      <c r="A927" s="1319"/>
      <c r="B927" s="1426" t="s">
        <v>2055</v>
      </c>
      <c r="C927" s="1426"/>
      <c r="D927" s="1426"/>
      <c r="E927" s="1426"/>
      <c r="F927" s="1426"/>
      <c r="G927" s="1426"/>
      <c r="H927" s="993">
        <f>H928</f>
        <v>744.9</v>
      </c>
      <c r="I927" s="993">
        <f t="shared" ref="I927:Q927" si="210">I928</f>
        <v>484.9</v>
      </c>
      <c r="J927" s="993">
        <f t="shared" si="210"/>
        <v>484.9</v>
      </c>
      <c r="K927" s="987">
        <f t="shared" si="210"/>
        <v>32</v>
      </c>
      <c r="L927" s="993">
        <f t="shared" si="210"/>
        <v>2364254</v>
      </c>
      <c r="M927" s="993">
        <f t="shared" si="210"/>
        <v>0</v>
      </c>
      <c r="N927" s="993">
        <f t="shared" si="210"/>
        <v>0</v>
      </c>
      <c r="O927" s="993">
        <f t="shared" si="210"/>
        <v>2364254</v>
      </c>
      <c r="P927" s="993">
        <f t="shared" si="210"/>
        <v>0</v>
      </c>
      <c r="Q927" s="993">
        <f t="shared" si="210"/>
        <v>0</v>
      </c>
      <c r="R927" s="991" t="s">
        <v>40</v>
      </c>
      <c r="S927" s="991" t="s">
        <v>40</v>
      </c>
    </row>
    <row r="928" spans="1:19" ht="39.6" customHeight="1">
      <c r="A928" s="1319">
        <v>387</v>
      </c>
      <c r="B928" s="1316" t="s">
        <v>2056</v>
      </c>
      <c r="C928" s="1321">
        <v>1974</v>
      </c>
      <c r="D928" s="1321"/>
      <c r="E928" s="1319" t="s">
        <v>218</v>
      </c>
      <c r="F928" s="1321">
        <v>2</v>
      </c>
      <c r="G928" s="1321">
        <v>2</v>
      </c>
      <c r="H928" s="993">
        <v>744.9</v>
      </c>
      <c r="I928" s="985">
        <v>484.9</v>
      </c>
      <c r="J928" s="985">
        <v>484.9</v>
      </c>
      <c r="K928" s="1030">
        <v>32</v>
      </c>
      <c r="L928" s="986">
        <v>2364254</v>
      </c>
      <c r="M928" s="986">
        <v>0</v>
      </c>
      <c r="N928" s="986">
        <v>0</v>
      </c>
      <c r="O928" s="986">
        <v>2364254</v>
      </c>
      <c r="P928" s="993">
        <v>0</v>
      </c>
      <c r="Q928" s="986">
        <v>0</v>
      </c>
      <c r="R928" s="987">
        <v>2022</v>
      </c>
      <c r="S928" s="987">
        <v>2022</v>
      </c>
    </row>
    <row r="929" spans="1:19" ht="39.6" customHeight="1">
      <c r="A929" s="1319"/>
      <c r="B929" s="1316" t="s">
        <v>1099</v>
      </c>
      <c r="C929" s="1319"/>
      <c r="D929" s="1319"/>
      <c r="E929" s="1319"/>
      <c r="F929" s="1319"/>
      <c r="G929" s="1319"/>
      <c r="H929" s="985">
        <f>H930+H931+H932+H933+H934+H935</f>
        <v>2797.7000000000003</v>
      </c>
      <c r="I929" s="985">
        <f t="shared" ref="I929:Q929" si="211">I930+I931+I932+I933+I934+I935</f>
        <v>2476.5</v>
      </c>
      <c r="J929" s="985">
        <f t="shared" si="211"/>
        <v>2064.5000000000005</v>
      </c>
      <c r="K929" s="985">
        <f t="shared" si="211"/>
        <v>110</v>
      </c>
      <c r="L929" s="985">
        <f t="shared" si="211"/>
        <v>13173642.190000001</v>
      </c>
      <c r="M929" s="985">
        <f t="shared" si="211"/>
        <v>0</v>
      </c>
      <c r="N929" s="985">
        <f t="shared" si="211"/>
        <v>0</v>
      </c>
      <c r="O929" s="985">
        <f t="shared" si="211"/>
        <v>13173642.190000001</v>
      </c>
      <c r="P929" s="985">
        <f t="shared" si="211"/>
        <v>0</v>
      </c>
      <c r="Q929" s="985">
        <f t="shared" si="211"/>
        <v>0</v>
      </c>
      <c r="R929" s="991" t="s">
        <v>40</v>
      </c>
      <c r="S929" s="991" t="s">
        <v>40</v>
      </c>
    </row>
    <row r="930" spans="1:19" ht="39.6" customHeight="1">
      <c r="A930" s="1319">
        <v>388</v>
      </c>
      <c r="B930" s="1316" t="s">
        <v>1285</v>
      </c>
      <c r="C930" s="1016" t="s">
        <v>1069</v>
      </c>
      <c r="D930" s="1321"/>
      <c r="E930" s="1319" t="s">
        <v>218</v>
      </c>
      <c r="F930" s="1321">
        <v>2</v>
      </c>
      <c r="G930" s="1321">
        <v>2</v>
      </c>
      <c r="H930" s="985">
        <v>842.6</v>
      </c>
      <c r="I930" s="985">
        <v>755.5</v>
      </c>
      <c r="J930" s="985">
        <v>755.5</v>
      </c>
      <c r="K930" s="1030">
        <v>26</v>
      </c>
      <c r="L930" s="986">
        <v>1555703.83</v>
      </c>
      <c r="M930" s="986">
        <v>0</v>
      </c>
      <c r="N930" s="986">
        <v>0</v>
      </c>
      <c r="O930" s="986">
        <v>1555703.83</v>
      </c>
      <c r="P930" s="993">
        <f t="shared" ref="P930:P1006" si="212">Q930</f>
        <v>0</v>
      </c>
      <c r="Q930" s="986">
        <v>0</v>
      </c>
      <c r="R930" s="987">
        <v>2017</v>
      </c>
      <c r="S930" s="987">
        <v>2023</v>
      </c>
    </row>
    <row r="931" spans="1:19" ht="39.6" customHeight="1">
      <c r="A931" s="1319">
        <v>389</v>
      </c>
      <c r="B931" s="1316" t="s">
        <v>1264</v>
      </c>
      <c r="C931" s="1016" t="s">
        <v>1559</v>
      </c>
      <c r="D931" s="1321"/>
      <c r="E931" s="1319" t="s">
        <v>218</v>
      </c>
      <c r="F931" s="1321">
        <v>2</v>
      </c>
      <c r="G931" s="1321">
        <v>2</v>
      </c>
      <c r="H931" s="985">
        <v>458.1</v>
      </c>
      <c r="I931" s="985">
        <v>457.2</v>
      </c>
      <c r="J931" s="985">
        <v>352.4</v>
      </c>
      <c r="K931" s="1030">
        <v>25</v>
      </c>
      <c r="L931" s="986">
        <v>3588646.46</v>
      </c>
      <c r="M931" s="986">
        <v>0</v>
      </c>
      <c r="N931" s="986">
        <v>0</v>
      </c>
      <c r="O931" s="986">
        <v>3588646.46</v>
      </c>
      <c r="P931" s="993">
        <f t="shared" si="212"/>
        <v>0</v>
      </c>
      <c r="Q931" s="986">
        <v>0</v>
      </c>
      <c r="R931" s="987">
        <v>2017</v>
      </c>
      <c r="S931" s="987">
        <v>2023</v>
      </c>
    </row>
    <row r="932" spans="1:19" ht="43.15" customHeight="1">
      <c r="A932" s="1319">
        <v>390</v>
      </c>
      <c r="B932" s="1316" t="s">
        <v>1263</v>
      </c>
      <c r="C932" s="1016" t="s">
        <v>1560</v>
      </c>
      <c r="D932" s="1321"/>
      <c r="E932" s="1319" t="s">
        <v>221</v>
      </c>
      <c r="F932" s="1321">
        <v>2</v>
      </c>
      <c r="G932" s="1321">
        <v>2</v>
      </c>
      <c r="H932" s="985">
        <v>140.9</v>
      </c>
      <c r="I932" s="985">
        <v>124.7</v>
      </c>
      <c r="J932" s="985">
        <v>124.7</v>
      </c>
      <c r="K932" s="1030">
        <v>5</v>
      </c>
      <c r="L932" s="986">
        <v>1659093.22</v>
      </c>
      <c r="M932" s="986">
        <v>0</v>
      </c>
      <c r="N932" s="986">
        <v>0</v>
      </c>
      <c r="O932" s="986">
        <v>1659093.22</v>
      </c>
      <c r="P932" s="993">
        <v>0</v>
      </c>
      <c r="Q932" s="986">
        <v>0</v>
      </c>
      <c r="R932" s="987">
        <v>2017</v>
      </c>
      <c r="S932" s="987">
        <v>2023</v>
      </c>
    </row>
    <row r="933" spans="1:19" ht="43.15" customHeight="1">
      <c r="A933" s="1319">
        <v>391</v>
      </c>
      <c r="B933" s="1316" t="s">
        <v>1265</v>
      </c>
      <c r="C933" s="1016" t="s">
        <v>1078</v>
      </c>
      <c r="D933" s="1321"/>
      <c r="E933" s="1319" t="s">
        <v>218</v>
      </c>
      <c r="F933" s="1321">
        <v>2</v>
      </c>
      <c r="G933" s="1321">
        <v>2</v>
      </c>
      <c r="H933" s="985">
        <v>563.20000000000005</v>
      </c>
      <c r="I933" s="985">
        <v>475</v>
      </c>
      <c r="J933" s="985">
        <v>228.4</v>
      </c>
      <c r="K933" s="1030">
        <v>14</v>
      </c>
      <c r="L933" s="986">
        <v>2479662.89</v>
      </c>
      <c r="M933" s="986">
        <v>0</v>
      </c>
      <c r="N933" s="986">
        <v>0</v>
      </c>
      <c r="O933" s="986">
        <v>2479662.89</v>
      </c>
      <c r="P933" s="993">
        <v>0</v>
      </c>
      <c r="Q933" s="986">
        <v>0</v>
      </c>
      <c r="R933" s="987">
        <v>2017</v>
      </c>
      <c r="S933" s="987">
        <v>2023</v>
      </c>
    </row>
    <row r="934" spans="1:19" ht="43.15" customHeight="1">
      <c r="A934" s="1319">
        <v>392</v>
      </c>
      <c r="B934" s="1316" t="s">
        <v>1135</v>
      </c>
      <c r="C934" s="1016" t="s">
        <v>1077</v>
      </c>
      <c r="D934" s="1321"/>
      <c r="E934" s="1319" t="s">
        <v>218</v>
      </c>
      <c r="F934" s="1321">
        <v>2</v>
      </c>
      <c r="G934" s="1321">
        <v>2</v>
      </c>
      <c r="H934" s="985">
        <v>577.9</v>
      </c>
      <c r="I934" s="985">
        <v>528.1</v>
      </c>
      <c r="J934" s="985">
        <v>474.7</v>
      </c>
      <c r="K934" s="1030">
        <v>30</v>
      </c>
      <c r="L934" s="986">
        <v>3688544.54</v>
      </c>
      <c r="M934" s="986">
        <v>0</v>
      </c>
      <c r="N934" s="986">
        <v>0</v>
      </c>
      <c r="O934" s="986">
        <v>3688544.54</v>
      </c>
      <c r="P934" s="993">
        <v>0</v>
      </c>
      <c r="Q934" s="986">
        <v>0</v>
      </c>
      <c r="R934" s="987">
        <v>2017</v>
      </c>
      <c r="S934" s="987">
        <v>2023</v>
      </c>
    </row>
    <row r="935" spans="1:19" ht="43.15" customHeight="1">
      <c r="A935" s="1319">
        <v>393</v>
      </c>
      <c r="B935" s="1316" t="s">
        <v>1298</v>
      </c>
      <c r="C935" s="1016" t="s">
        <v>1561</v>
      </c>
      <c r="D935" s="1321"/>
      <c r="E935" s="1319" t="s">
        <v>218</v>
      </c>
      <c r="F935" s="1321">
        <v>2</v>
      </c>
      <c r="G935" s="1321">
        <v>2</v>
      </c>
      <c r="H935" s="985">
        <v>215</v>
      </c>
      <c r="I935" s="985">
        <v>136</v>
      </c>
      <c r="J935" s="985">
        <v>128.80000000000001</v>
      </c>
      <c r="K935" s="1030">
        <v>10</v>
      </c>
      <c r="L935" s="986">
        <v>201991.25</v>
      </c>
      <c r="M935" s="986">
        <v>0</v>
      </c>
      <c r="N935" s="986">
        <v>0</v>
      </c>
      <c r="O935" s="986">
        <v>201991.25</v>
      </c>
      <c r="P935" s="993">
        <v>0</v>
      </c>
      <c r="Q935" s="986">
        <v>0</v>
      </c>
      <c r="R935" s="987">
        <v>2017</v>
      </c>
      <c r="S935" s="987">
        <v>2023</v>
      </c>
    </row>
    <row r="936" spans="1:19" ht="43.15" customHeight="1">
      <c r="A936" s="1319"/>
      <c r="B936" s="1313" t="s">
        <v>55</v>
      </c>
      <c r="C936" s="1321"/>
      <c r="D936" s="1096"/>
      <c r="E936" s="1319"/>
      <c r="F936" s="1321"/>
      <c r="G936" s="1321"/>
      <c r="H936" s="985">
        <f>H937</f>
        <v>4801.7</v>
      </c>
      <c r="I936" s="985">
        <f t="shared" ref="I936:Q936" si="213">I937</f>
        <v>4468.5999999999995</v>
      </c>
      <c r="J936" s="985">
        <f t="shared" si="213"/>
        <v>3317.4000000000005</v>
      </c>
      <c r="K936" s="1030">
        <f t="shared" si="213"/>
        <v>164</v>
      </c>
      <c r="L936" s="986">
        <f t="shared" si="213"/>
        <v>16464553.729999999</v>
      </c>
      <c r="M936" s="986">
        <f t="shared" si="213"/>
        <v>0</v>
      </c>
      <c r="N936" s="986">
        <f t="shared" si="213"/>
        <v>0</v>
      </c>
      <c r="O936" s="986">
        <f t="shared" si="213"/>
        <v>16464553.729999999</v>
      </c>
      <c r="P936" s="993">
        <f t="shared" si="212"/>
        <v>0</v>
      </c>
      <c r="Q936" s="986">
        <f t="shared" si="213"/>
        <v>0</v>
      </c>
      <c r="R936" s="991" t="s">
        <v>40</v>
      </c>
      <c r="S936" s="991" t="s">
        <v>40</v>
      </c>
    </row>
    <row r="937" spans="1:19" ht="43.15" customHeight="1">
      <c r="A937" s="1319"/>
      <c r="B937" s="1313" t="s">
        <v>1034</v>
      </c>
      <c r="C937" s="1321"/>
      <c r="D937" s="1096"/>
      <c r="E937" s="1319"/>
      <c r="F937" s="1321"/>
      <c r="G937" s="1321"/>
      <c r="H937" s="985">
        <f>SUM(H938:H945)</f>
        <v>4801.7</v>
      </c>
      <c r="I937" s="985">
        <f t="shared" ref="I937:Q937" si="214">SUM(I938:I945)</f>
        <v>4468.5999999999995</v>
      </c>
      <c r="J937" s="985">
        <f t="shared" si="214"/>
        <v>3317.4000000000005</v>
      </c>
      <c r="K937" s="985">
        <f t="shared" si="214"/>
        <v>164</v>
      </c>
      <c r="L937" s="985">
        <f t="shared" si="214"/>
        <v>16464553.729999999</v>
      </c>
      <c r="M937" s="985">
        <f t="shared" si="214"/>
        <v>0</v>
      </c>
      <c r="N937" s="985">
        <f t="shared" si="214"/>
        <v>0</v>
      </c>
      <c r="O937" s="985">
        <f t="shared" si="214"/>
        <v>16464553.729999999</v>
      </c>
      <c r="P937" s="985">
        <f t="shared" si="214"/>
        <v>0</v>
      </c>
      <c r="Q937" s="985">
        <f t="shared" si="214"/>
        <v>0</v>
      </c>
      <c r="R937" s="991" t="s">
        <v>40</v>
      </c>
      <c r="S937" s="991" t="s">
        <v>40</v>
      </c>
    </row>
    <row r="938" spans="1:19" ht="44.45" customHeight="1">
      <c r="A938" s="1319">
        <v>394</v>
      </c>
      <c r="B938" s="1143" t="s">
        <v>1546</v>
      </c>
      <c r="C938" s="1149" t="s">
        <v>1070</v>
      </c>
      <c r="D938" s="1022"/>
      <c r="E938" s="1319" t="s">
        <v>221</v>
      </c>
      <c r="F938" s="1022">
        <v>2</v>
      </c>
      <c r="G938" s="1022">
        <v>2</v>
      </c>
      <c r="H938" s="1025">
        <v>560</v>
      </c>
      <c r="I938" s="1025">
        <v>485.2</v>
      </c>
      <c r="J938" s="1025">
        <v>427.8</v>
      </c>
      <c r="K938" s="1032">
        <v>16</v>
      </c>
      <c r="L938" s="986">
        <v>1620385.19</v>
      </c>
      <c r="M938" s="986">
        <v>0</v>
      </c>
      <c r="N938" s="986">
        <v>0</v>
      </c>
      <c r="O938" s="986">
        <v>1620385.19</v>
      </c>
      <c r="P938" s="1023">
        <v>0</v>
      </c>
      <c r="Q938" s="986">
        <v>0</v>
      </c>
      <c r="R938" s="987">
        <v>2016</v>
      </c>
      <c r="S938" s="987">
        <v>2023</v>
      </c>
    </row>
    <row r="939" spans="1:19" ht="37.15" customHeight="1">
      <c r="A939" s="1319">
        <v>395</v>
      </c>
      <c r="B939" s="1143" t="s">
        <v>1547</v>
      </c>
      <c r="C939" s="1149" t="s">
        <v>1070</v>
      </c>
      <c r="D939" s="1022"/>
      <c r="E939" s="1319" t="s">
        <v>221</v>
      </c>
      <c r="F939" s="1022">
        <v>2</v>
      </c>
      <c r="G939" s="1022">
        <v>1</v>
      </c>
      <c r="H939" s="1025">
        <v>422.6</v>
      </c>
      <c r="I939" s="1025">
        <v>385.4</v>
      </c>
      <c r="J939" s="1025">
        <v>385.4</v>
      </c>
      <c r="K939" s="1032">
        <v>28</v>
      </c>
      <c r="L939" s="986">
        <v>2170679.02</v>
      </c>
      <c r="M939" s="986">
        <v>0</v>
      </c>
      <c r="N939" s="986">
        <v>0</v>
      </c>
      <c r="O939" s="986">
        <v>2170679.02</v>
      </c>
      <c r="P939" s="1023">
        <v>0</v>
      </c>
      <c r="Q939" s="986">
        <v>0</v>
      </c>
      <c r="R939" s="987">
        <v>2016</v>
      </c>
      <c r="S939" s="987">
        <v>2023</v>
      </c>
    </row>
    <row r="940" spans="1:19" ht="43.15" customHeight="1">
      <c r="A940" s="1319">
        <v>396</v>
      </c>
      <c r="B940" s="1316" t="s">
        <v>1548</v>
      </c>
      <c r="C940" s="1016" t="s">
        <v>600</v>
      </c>
      <c r="D940" s="1321"/>
      <c r="E940" s="1319" t="s">
        <v>218</v>
      </c>
      <c r="F940" s="1321">
        <v>2</v>
      </c>
      <c r="G940" s="1321">
        <v>2</v>
      </c>
      <c r="H940" s="985">
        <v>542.5</v>
      </c>
      <c r="I940" s="985">
        <v>490.5</v>
      </c>
      <c r="J940" s="985">
        <v>460.2</v>
      </c>
      <c r="K940" s="1030">
        <v>16</v>
      </c>
      <c r="L940" s="986">
        <v>3430328.66</v>
      </c>
      <c r="M940" s="986">
        <v>0</v>
      </c>
      <c r="N940" s="986">
        <v>0</v>
      </c>
      <c r="O940" s="986">
        <v>3430328.66</v>
      </c>
      <c r="P940" s="993">
        <f t="shared" si="212"/>
        <v>0</v>
      </c>
      <c r="Q940" s="986">
        <v>0</v>
      </c>
      <c r="R940" s="987">
        <v>2017</v>
      </c>
      <c r="S940" s="987">
        <v>2023</v>
      </c>
    </row>
    <row r="941" spans="1:19" ht="40.9" customHeight="1">
      <c r="A941" s="1319">
        <v>397</v>
      </c>
      <c r="B941" s="1316" t="s">
        <v>1549</v>
      </c>
      <c r="C941" s="1016" t="s">
        <v>601</v>
      </c>
      <c r="D941" s="1321"/>
      <c r="E941" s="1319" t="s">
        <v>218</v>
      </c>
      <c r="F941" s="1321">
        <v>2</v>
      </c>
      <c r="G941" s="1321">
        <v>1</v>
      </c>
      <c r="H941" s="985">
        <v>369.6</v>
      </c>
      <c r="I941" s="985">
        <v>369.6</v>
      </c>
      <c r="J941" s="985">
        <v>304.39999999999998</v>
      </c>
      <c r="K941" s="1030">
        <v>23</v>
      </c>
      <c r="L941" s="986">
        <v>2881461.08</v>
      </c>
      <c r="M941" s="986">
        <v>0</v>
      </c>
      <c r="N941" s="986">
        <v>0</v>
      </c>
      <c r="O941" s="986">
        <f>L941</f>
        <v>2881461.08</v>
      </c>
      <c r="P941" s="993">
        <f t="shared" si="212"/>
        <v>0</v>
      </c>
      <c r="Q941" s="986">
        <v>0</v>
      </c>
      <c r="R941" s="987">
        <v>2017</v>
      </c>
      <c r="S941" s="987">
        <v>2023</v>
      </c>
    </row>
    <row r="942" spans="1:19" ht="40.15" customHeight="1">
      <c r="A942" s="1319">
        <v>398</v>
      </c>
      <c r="B942" s="1316" t="s">
        <v>1550</v>
      </c>
      <c r="C942" s="1016" t="s">
        <v>603</v>
      </c>
      <c r="D942" s="1321"/>
      <c r="E942" s="1319" t="s">
        <v>220</v>
      </c>
      <c r="F942" s="1321">
        <v>2</v>
      </c>
      <c r="G942" s="1321">
        <v>2</v>
      </c>
      <c r="H942" s="985">
        <v>561.4</v>
      </c>
      <c r="I942" s="985">
        <v>513.79999999999995</v>
      </c>
      <c r="J942" s="985">
        <v>450.8</v>
      </c>
      <c r="K942" s="1030">
        <v>19</v>
      </c>
      <c r="L942" s="986">
        <v>375421.78</v>
      </c>
      <c r="M942" s="986">
        <v>0</v>
      </c>
      <c r="N942" s="986">
        <v>0</v>
      </c>
      <c r="O942" s="986">
        <v>375421.78</v>
      </c>
      <c r="P942" s="993">
        <v>0</v>
      </c>
      <c r="Q942" s="986">
        <v>0</v>
      </c>
      <c r="R942" s="987">
        <v>2018</v>
      </c>
      <c r="S942" s="987">
        <v>2023</v>
      </c>
    </row>
    <row r="943" spans="1:19" ht="42" customHeight="1">
      <c r="A943" s="1319">
        <v>399</v>
      </c>
      <c r="B943" s="1316" t="s">
        <v>1551</v>
      </c>
      <c r="C943" s="1016" t="s">
        <v>1089</v>
      </c>
      <c r="D943" s="1321"/>
      <c r="E943" s="1319" t="s">
        <v>218</v>
      </c>
      <c r="F943" s="1321">
        <v>3</v>
      </c>
      <c r="G943" s="1321">
        <v>1</v>
      </c>
      <c r="H943" s="985">
        <v>819.4</v>
      </c>
      <c r="I943" s="985">
        <v>819.4</v>
      </c>
      <c r="J943" s="985">
        <v>460.5</v>
      </c>
      <c r="K943" s="1030">
        <v>33</v>
      </c>
      <c r="L943" s="986">
        <v>2114314</v>
      </c>
      <c r="M943" s="986">
        <v>0</v>
      </c>
      <c r="N943" s="986">
        <v>0</v>
      </c>
      <c r="O943" s="986">
        <v>2114314</v>
      </c>
      <c r="P943" s="993">
        <v>0</v>
      </c>
      <c r="Q943" s="986">
        <v>0</v>
      </c>
      <c r="R943" s="987">
        <v>2022</v>
      </c>
      <c r="S943" s="987">
        <v>2023</v>
      </c>
    </row>
    <row r="944" spans="1:19" ht="43.15" customHeight="1">
      <c r="A944" s="1319">
        <v>400</v>
      </c>
      <c r="B944" s="1316" t="s">
        <v>1552</v>
      </c>
      <c r="C944" s="1016" t="s">
        <v>604</v>
      </c>
      <c r="D944" s="1321"/>
      <c r="E944" s="1319" t="s">
        <v>218</v>
      </c>
      <c r="F944" s="1321">
        <v>2</v>
      </c>
      <c r="G944" s="1321">
        <v>3</v>
      </c>
      <c r="H944" s="985">
        <v>1110.3</v>
      </c>
      <c r="I944" s="985">
        <v>988.8</v>
      </c>
      <c r="J944" s="985">
        <v>525.79999999999995</v>
      </c>
      <c r="K944" s="1030">
        <v>14</v>
      </c>
      <c r="L944" s="986">
        <v>2954489</v>
      </c>
      <c r="M944" s="986">
        <v>0</v>
      </c>
      <c r="N944" s="986">
        <v>0</v>
      </c>
      <c r="O944" s="986">
        <v>2954489</v>
      </c>
      <c r="P944" s="993">
        <v>0</v>
      </c>
      <c r="Q944" s="986">
        <v>0</v>
      </c>
      <c r="R944" s="987">
        <v>2022</v>
      </c>
      <c r="S944" s="987">
        <v>2023</v>
      </c>
    </row>
    <row r="945" spans="1:19" ht="38.450000000000003" customHeight="1">
      <c r="A945" s="1319">
        <v>401</v>
      </c>
      <c r="B945" s="1143" t="s">
        <v>1553</v>
      </c>
      <c r="C945" s="1016" t="s">
        <v>1070</v>
      </c>
      <c r="D945" s="1321">
        <v>2017</v>
      </c>
      <c r="E945" s="1319" t="s">
        <v>221</v>
      </c>
      <c r="F945" s="1321">
        <v>2</v>
      </c>
      <c r="G945" s="1321">
        <v>2</v>
      </c>
      <c r="H945" s="985">
        <v>415.9</v>
      </c>
      <c r="I945" s="985">
        <v>415.9</v>
      </c>
      <c r="J945" s="985">
        <v>302.5</v>
      </c>
      <c r="K945" s="1030">
        <v>15</v>
      </c>
      <c r="L945" s="986">
        <v>917475</v>
      </c>
      <c r="M945" s="986">
        <v>0</v>
      </c>
      <c r="N945" s="986">
        <v>0</v>
      </c>
      <c r="O945" s="986">
        <v>917475</v>
      </c>
      <c r="P945" s="993">
        <v>0</v>
      </c>
      <c r="Q945" s="986">
        <v>0</v>
      </c>
      <c r="R945" s="987">
        <v>2022</v>
      </c>
      <c r="S945" s="987">
        <v>2023</v>
      </c>
    </row>
    <row r="946" spans="1:19" ht="45" customHeight="1">
      <c r="A946" s="1319"/>
      <c r="B946" s="1313" t="s">
        <v>1119</v>
      </c>
      <c r="C946" s="1321"/>
      <c r="D946" s="1096"/>
      <c r="E946" s="1319"/>
      <c r="F946" s="1321"/>
      <c r="G946" s="1321"/>
      <c r="H946" s="985">
        <f t="shared" ref="H946:Q946" si="215">SUM(H947:H970)</f>
        <v>32867.800000000003</v>
      </c>
      <c r="I946" s="985">
        <f t="shared" si="215"/>
        <v>24239.400000000005</v>
      </c>
      <c r="J946" s="985">
        <f t="shared" si="215"/>
        <v>20391.400000000001</v>
      </c>
      <c r="K946" s="985">
        <f t="shared" si="215"/>
        <v>1395</v>
      </c>
      <c r="L946" s="985">
        <f t="shared" si="215"/>
        <v>60215452.650000006</v>
      </c>
      <c r="M946" s="985">
        <f t="shared" si="215"/>
        <v>0</v>
      </c>
      <c r="N946" s="985">
        <f t="shared" si="215"/>
        <v>0</v>
      </c>
      <c r="O946" s="985">
        <f t="shared" si="215"/>
        <v>60215452.650000006</v>
      </c>
      <c r="P946" s="985">
        <f t="shared" si="215"/>
        <v>0</v>
      </c>
      <c r="Q946" s="985">
        <f t="shared" si="215"/>
        <v>0</v>
      </c>
      <c r="R946" s="991" t="s">
        <v>40</v>
      </c>
      <c r="S946" s="991" t="s">
        <v>40</v>
      </c>
    </row>
    <row r="947" spans="1:19" ht="40.15" customHeight="1">
      <c r="A947" s="1319">
        <v>402</v>
      </c>
      <c r="B947" s="1316" t="s">
        <v>1286</v>
      </c>
      <c r="C947" s="1319">
        <v>1955</v>
      </c>
      <c r="D947" s="1319"/>
      <c r="E947" s="1319" t="s">
        <v>218</v>
      </c>
      <c r="F947" s="1319">
        <v>2</v>
      </c>
      <c r="G947" s="1319">
        <v>2</v>
      </c>
      <c r="H947" s="985">
        <v>436.8</v>
      </c>
      <c r="I947" s="985">
        <v>391.3</v>
      </c>
      <c r="J947" s="985">
        <v>391.3</v>
      </c>
      <c r="K947" s="1030">
        <v>18</v>
      </c>
      <c r="L947" s="985">
        <v>2905442.49</v>
      </c>
      <c r="M947" s="985">
        <v>0</v>
      </c>
      <c r="N947" s="985">
        <v>0</v>
      </c>
      <c r="O947" s="985">
        <v>2905442.49</v>
      </c>
      <c r="P947" s="985">
        <v>0</v>
      </c>
      <c r="Q947" s="985">
        <v>0</v>
      </c>
      <c r="R947" s="1030">
        <v>2016</v>
      </c>
      <c r="S947" s="1030">
        <v>2023</v>
      </c>
    </row>
    <row r="948" spans="1:19" ht="43.15" customHeight="1">
      <c r="A948" s="1319">
        <v>403</v>
      </c>
      <c r="B948" s="1316" t="s">
        <v>1172</v>
      </c>
      <c r="C948" s="1319">
        <v>1963</v>
      </c>
      <c r="D948" s="1319"/>
      <c r="E948" s="1319" t="s">
        <v>218</v>
      </c>
      <c r="F948" s="1319">
        <v>3</v>
      </c>
      <c r="G948" s="1319">
        <v>3</v>
      </c>
      <c r="H948" s="993">
        <v>2235.5</v>
      </c>
      <c r="I948" s="993">
        <v>1556</v>
      </c>
      <c r="J948" s="993">
        <v>1556</v>
      </c>
      <c r="K948" s="987">
        <v>50</v>
      </c>
      <c r="L948" s="993">
        <v>2742740.33</v>
      </c>
      <c r="M948" s="993">
        <v>0</v>
      </c>
      <c r="N948" s="993">
        <v>0</v>
      </c>
      <c r="O948" s="993">
        <v>2742740.33</v>
      </c>
      <c r="P948" s="993">
        <f t="shared" ref="P948:P950" si="216">Q948</f>
        <v>0</v>
      </c>
      <c r="Q948" s="993">
        <v>0</v>
      </c>
      <c r="R948" s="987">
        <v>2017</v>
      </c>
      <c r="S948" s="987">
        <v>2023</v>
      </c>
    </row>
    <row r="949" spans="1:19" ht="48" customHeight="1">
      <c r="A949" s="1319">
        <v>404</v>
      </c>
      <c r="B949" s="1316" t="s">
        <v>1198</v>
      </c>
      <c r="C949" s="1319">
        <v>1962</v>
      </c>
      <c r="D949" s="1319"/>
      <c r="E949" s="1319" t="s">
        <v>218</v>
      </c>
      <c r="F949" s="1319">
        <v>2</v>
      </c>
      <c r="G949" s="1319">
        <v>2</v>
      </c>
      <c r="H949" s="993">
        <v>522.5</v>
      </c>
      <c r="I949" s="993">
        <v>458.9</v>
      </c>
      <c r="J949" s="993">
        <v>422.1</v>
      </c>
      <c r="K949" s="987">
        <v>21</v>
      </c>
      <c r="L949" s="993">
        <v>313233.65000000002</v>
      </c>
      <c r="M949" s="993">
        <v>0</v>
      </c>
      <c r="N949" s="993">
        <v>0</v>
      </c>
      <c r="O949" s="993">
        <v>313233.65000000002</v>
      </c>
      <c r="P949" s="993">
        <f t="shared" si="216"/>
        <v>0</v>
      </c>
      <c r="Q949" s="993">
        <v>0</v>
      </c>
      <c r="R949" s="987">
        <v>2017</v>
      </c>
      <c r="S949" s="987">
        <v>2023</v>
      </c>
    </row>
    <row r="950" spans="1:19" ht="48" customHeight="1">
      <c r="A950" s="1319">
        <v>405</v>
      </c>
      <c r="B950" s="1313" t="s">
        <v>1173</v>
      </c>
      <c r="C950" s="1319">
        <v>1956</v>
      </c>
      <c r="D950" s="1319"/>
      <c r="E950" s="1319" t="s">
        <v>218</v>
      </c>
      <c r="F950" s="1319">
        <v>2</v>
      </c>
      <c r="G950" s="1319">
        <v>1</v>
      </c>
      <c r="H950" s="993">
        <v>424.4</v>
      </c>
      <c r="I950" s="993">
        <v>390.4</v>
      </c>
      <c r="J950" s="993">
        <v>270</v>
      </c>
      <c r="K950" s="987">
        <v>25</v>
      </c>
      <c r="L950" s="993">
        <f t="shared" ref="L950" si="217">O950</f>
        <v>1887048</v>
      </c>
      <c r="M950" s="993">
        <v>0</v>
      </c>
      <c r="N950" s="993">
        <v>0</v>
      </c>
      <c r="O950" s="993">
        <v>1887048</v>
      </c>
      <c r="P950" s="993">
        <f t="shared" si="216"/>
        <v>0</v>
      </c>
      <c r="Q950" s="993">
        <v>0</v>
      </c>
      <c r="R950" s="987">
        <v>2017</v>
      </c>
      <c r="S950" s="987">
        <v>2023</v>
      </c>
    </row>
    <row r="951" spans="1:19" ht="48" customHeight="1">
      <c r="A951" s="1319">
        <v>406</v>
      </c>
      <c r="B951" s="1316" t="s">
        <v>1174</v>
      </c>
      <c r="C951" s="1319" t="s">
        <v>714</v>
      </c>
      <c r="D951" s="1319"/>
      <c r="E951" s="1319" t="s">
        <v>218</v>
      </c>
      <c r="F951" s="1319">
        <v>2</v>
      </c>
      <c r="G951" s="1319">
        <v>1</v>
      </c>
      <c r="H951" s="993">
        <v>496.4</v>
      </c>
      <c r="I951" s="993">
        <v>286.2</v>
      </c>
      <c r="J951" s="993">
        <v>286.2</v>
      </c>
      <c r="K951" s="987">
        <v>10</v>
      </c>
      <c r="L951" s="993">
        <v>712812.07</v>
      </c>
      <c r="M951" s="993">
        <v>0</v>
      </c>
      <c r="N951" s="993">
        <v>0</v>
      </c>
      <c r="O951" s="993">
        <v>712812.07</v>
      </c>
      <c r="P951" s="993">
        <v>0</v>
      </c>
      <c r="Q951" s="993">
        <v>0</v>
      </c>
      <c r="R951" s="987">
        <v>2018</v>
      </c>
      <c r="S951" s="987">
        <v>2023</v>
      </c>
    </row>
    <row r="952" spans="1:19" ht="48" customHeight="1">
      <c r="A952" s="1319">
        <v>407</v>
      </c>
      <c r="B952" s="1316" t="s">
        <v>1197</v>
      </c>
      <c r="C952" s="1319">
        <v>1963</v>
      </c>
      <c r="D952" s="1319"/>
      <c r="E952" s="1319" t="s">
        <v>218</v>
      </c>
      <c r="F952" s="1319">
        <v>2</v>
      </c>
      <c r="G952" s="1319">
        <v>2</v>
      </c>
      <c r="H952" s="993">
        <v>403.2</v>
      </c>
      <c r="I952" s="993">
        <v>356.4</v>
      </c>
      <c r="J952" s="993">
        <v>356.4</v>
      </c>
      <c r="K952" s="987">
        <v>26</v>
      </c>
      <c r="L952" s="993">
        <v>898439.81</v>
      </c>
      <c r="M952" s="993">
        <v>0</v>
      </c>
      <c r="N952" s="993">
        <v>0</v>
      </c>
      <c r="O952" s="993">
        <v>898439.81</v>
      </c>
      <c r="P952" s="993">
        <v>0</v>
      </c>
      <c r="Q952" s="993">
        <v>0</v>
      </c>
      <c r="R952" s="987">
        <v>2018</v>
      </c>
      <c r="S952" s="987">
        <v>2023</v>
      </c>
    </row>
    <row r="953" spans="1:19" ht="48" customHeight="1">
      <c r="A953" s="1319">
        <v>408</v>
      </c>
      <c r="B953" s="1313" t="s">
        <v>1175</v>
      </c>
      <c r="C953" s="1319">
        <v>1970</v>
      </c>
      <c r="D953" s="1319"/>
      <c r="E953" s="1319" t="s">
        <v>218</v>
      </c>
      <c r="F953" s="1319">
        <v>4</v>
      </c>
      <c r="G953" s="1319">
        <v>1</v>
      </c>
      <c r="H953" s="993">
        <v>2534.4</v>
      </c>
      <c r="I953" s="993">
        <v>1689.5</v>
      </c>
      <c r="J953" s="993">
        <v>1377.1</v>
      </c>
      <c r="K953" s="987">
        <v>131</v>
      </c>
      <c r="L953" s="993">
        <v>2201411.69</v>
      </c>
      <c r="M953" s="993">
        <v>0</v>
      </c>
      <c r="N953" s="993">
        <v>0</v>
      </c>
      <c r="O953" s="993">
        <v>2201411.69</v>
      </c>
      <c r="P953" s="993">
        <v>0</v>
      </c>
      <c r="Q953" s="993">
        <v>0</v>
      </c>
      <c r="R953" s="987">
        <v>2018</v>
      </c>
      <c r="S953" s="987">
        <v>2023</v>
      </c>
    </row>
    <row r="954" spans="1:19" ht="48" customHeight="1">
      <c r="A954" s="1319">
        <v>409</v>
      </c>
      <c r="B954" s="1313" t="s">
        <v>1498</v>
      </c>
      <c r="C954" s="1319">
        <v>1968</v>
      </c>
      <c r="D954" s="1319"/>
      <c r="E954" s="1319" t="s">
        <v>218</v>
      </c>
      <c r="F954" s="1319">
        <v>2</v>
      </c>
      <c r="G954" s="1319">
        <v>1</v>
      </c>
      <c r="H954" s="993">
        <v>329.5</v>
      </c>
      <c r="I954" s="993">
        <v>299.10000000000002</v>
      </c>
      <c r="J954" s="993">
        <v>299.10000000000002</v>
      </c>
      <c r="K954" s="987">
        <v>22</v>
      </c>
      <c r="L954" s="993">
        <v>205467.04</v>
      </c>
      <c r="M954" s="993">
        <v>0</v>
      </c>
      <c r="N954" s="993">
        <v>0</v>
      </c>
      <c r="O954" s="993">
        <v>205467.04</v>
      </c>
      <c r="P954" s="993">
        <v>0</v>
      </c>
      <c r="Q954" s="993">
        <v>0</v>
      </c>
      <c r="R954" s="987">
        <v>2018</v>
      </c>
      <c r="S954" s="987">
        <v>2023</v>
      </c>
    </row>
    <row r="955" spans="1:19" ht="48" customHeight="1">
      <c r="A955" s="1319">
        <v>410</v>
      </c>
      <c r="B955" s="1316" t="s">
        <v>1137</v>
      </c>
      <c r="C955" s="1319">
        <v>1984</v>
      </c>
      <c r="D955" s="1321"/>
      <c r="E955" s="1319" t="s">
        <v>218</v>
      </c>
      <c r="F955" s="1321">
        <v>5</v>
      </c>
      <c r="G955" s="1321">
        <v>1</v>
      </c>
      <c r="H955" s="985">
        <v>3948.8</v>
      </c>
      <c r="I955" s="985">
        <v>2687.9</v>
      </c>
      <c r="J955" s="985">
        <v>1667.1</v>
      </c>
      <c r="K955" s="1030">
        <v>175</v>
      </c>
      <c r="L955" s="986">
        <v>1834915.9</v>
      </c>
      <c r="M955" s="986">
        <v>0</v>
      </c>
      <c r="N955" s="986">
        <v>0</v>
      </c>
      <c r="O955" s="986">
        <v>1834915.9</v>
      </c>
      <c r="P955" s="993">
        <v>0</v>
      </c>
      <c r="Q955" s="986">
        <v>0</v>
      </c>
      <c r="R955" s="987">
        <v>2018</v>
      </c>
      <c r="S955" s="987">
        <v>2023</v>
      </c>
    </row>
    <row r="956" spans="1:19" ht="48" customHeight="1">
      <c r="A956" s="1319">
        <v>411</v>
      </c>
      <c r="B956" s="1313" t="s">
        <v>1499</v>
      </c>
      <c r="C956" s="1319">
        <v>1976</v>
      </c>
      <c r="D956" s="1319"/>
      <c r="E956" s="1319" t="s">
        <v>218</v>
      </c>
      <c r="F956" s="1319">
        <v>2</v>
      </c>
      <c r="G956" s="1319">
        <v>2</v>
      </c>
      <c r="H956" s="993">
        <v>1011.9</v>
      </c>
      <c r="I956" s="993">
        <v>686.6</v>
      </c>
      <c r="J956" s="993">
        <v>603</v>
      </c>
      <c r="K956" s="987">
        <v>62</v>
      </c>
      <c r="L956" s="993">
        <v>2742263.53</v>
      </c>
      <c r="M956" s="993">
        <v>0</v>
      </c>
      <c r="N956" s="993">
        <v>0</v>
      </c>
      <c r="O956" s="993">
        <v>2742263.53</v>
      </c>
      <c r="P956" s="993">
        <v>0</v>
      </c>
      <c r="Q956" s="993">
        <v>0</v>
      </c>
      <c r="R956" s="987">
        <v>2019</v>
      </c>
      <c r="S956" s="987">
        <v>2023</v>
      </c>
    </row>
    <row r="957" spans="1:19" ht="48" customHeight="1">
      <c r="A957" s="1319">
        <v>412</v>
      </c>
      <c r="B957" s="1316" t="s">
        <v>1287</v>
      </c>
      <c r="C957" s="1319">
        <v>1983</v>
      </c>
      <c r="D957" s="1319"/>
      <c r="E957" s="1319" t="s">
        <v>218</v>
      </c>
      <c r="F957" s="1319">
        <v>2</v>
      </c>
      <c r="G957" s="1319">
        <v>2</v>
      </c>
      <c r="H957" s="993">
        <v>1325.6</v>
      </c>
      <c r="I957" s="993">
        <v>781.4</v>
      </c>
      <c r="J957" s="993">
        <v>694.1</v>
      </c>
      <c r="K957" s="987">
        <v>54</v>
      </c>
      <c r="L957" s="993">
        <v>2901725.36</v>
      </c>
      <c r="M957" s="993">
        <v>0</v>
      </c>
      <c r="N957" s="993">
        <v>0</v>
      </c>
      <c r="O957" s="993">
        <v>2901725.36</v>
      </c>
      <c r="P957" s="993">
        <v>0</v>
      </c>
      <c r="Q957" s="993">
        <v>0</v>
      </c>
      <c r="R957" s="987">
        <v>2019</v>
      </c>
      <c r="S957" s="987">
        <v>2023</v>
      </c>
    </row>
    <row r="958" spans="1:19" ht="48" customHeight="1">
      <c r="A958" s="1319">
        <v>413</v>
      </c>
      <c r="B958" s="1316" t="s">
        <v>1176</v>
      </c>
      <c r="C958" s="1319">
        <v>1982</v>
      </c>
      <c r="D958" s="1321"/>
      <c r="E958" s="1319" t="s">
        <v>219</v>
      </c>
      <c r="F958" s="1321">
        <v>5</v>
      </c>
      <c r="G958" s="1321">
        <v>4</v>
      </c>
      <c r="H958" s="985">
        <v>3954</v>
      </c>
      <c r="I958" s="985">
        <v>3051.5</v>
      </c>
      <c r="J958" s="985">
        <v>2833.5</v>
      </c>
      <c r="K958" s="1030">
        <v>93</v>
      </c>
      <c r="L958" s="986">
        <v>2924734.08</v>
      </c>
      <c r="M958" s="986">
        <v>0</v>
      </c>
      <c r="N958" s="986">
        <v>0</v>
      </c>
      <c r="O958" s="986">
        <v>2924734.08</v>
      </c>
      <c r="P958" s="993">
        <v>0</v>
      </c>
      <c r="Q958" s="986">
        <v>0</v>
      </c>
      <c r="R958" s="987">
        <v>2019</v>
      </c>
      <c r="S958" s="987">
        <v>2023</v>
      </c>
    </row>
    <row r="959" spans="1:19" ht="48" customHeight="1">
      <c r="A959" s="1319">
        <v>414</v>
      </c>
      <c r="B959" s="1313" t="s">
        <v>1499</v>
      </c>
      <c r="C959" s="1319">
        <v>1976</v>
      </c>
      <c r="D959" s="1319"/>
      <c r="E959" s="1319" t="s">
        <v>218</v>
      </c>
      <c r="F959" s="1319">
        <v>2</v>
      </c>
      <c r="G959" s="1319">
        <v>2</v>
      </c>
      <c r="H959" s="993">
        <v>1011.9</v>
      </c>
      <c r="I959" s="993">
        <v>686.6</v>
      </c>
      <c r="J959" s="993">
        <v>603</v>
      </c>
      <c r="K959" s="987">
        <v>62</v>
      </c>
      <c r="L959" s="993">
        <v>2084014.67</v>
      </c>
      <c r="M959" s="993">
        <v>0</v>
      </c>
      <c r="N959" s="993">
        <v>0</v>
      </c>
      <c r="O959" s="993">
        <v>2084014.67</v>
      </c>
      <c r="P959" s="993">
        <v>0</v>
      </c>
      <c r="Q959" s="993">
        <v>0</v>
      </c>
      <c r="R959" s="987">
        <v>2020</v>
      </c>
      <c r="S959" s="987">
        <v>2023</v>
      </c>
    </row>
    <row r="960" spans="1:19" ht="36" customHeight="1">
      <c r="A960" s="1319">
        <v>415</v>
      </c>
      <c r="B960" s="1316" t="s">
        <v>1288</v>
      </c>
      <c r="C960" s="1319">
        <v>1966</v>
      </c>
      <c r="D960" s="1319"/>
      <c r="E960" s="1319" t="s">
        <v>218</v>
      </c>
      <c r="F960" s="1319">
        <v>3</v>
      </c>
      <c r="G960" s="1319">
        <v>2</v>
      </c>
      <c r="H960" s="993">
        <v>892.3</v>
      </c>
      <c r="I960" s="993">
        <v>581.6</v>
      </c>
      <c r="J960" s="993">
        <v>427.1</v>
      </c>
      <c r="K960" s="987">
        <v>50</v>
      </c>
      <c r="L960" s="993">
        <v>1373658.47</v>
      </c>
      <c r="M960" s="993">
        <v>0</v>
      </c>
      <c r="N960" s="993">
        <v>0</v>
      </c>
      <c r="O960" s="993">
        <v>1373658.47</v>
      </c>
      <c r="P960" s="993">
        <v>0</v>
      </c>
      <c r="Q960" s="993">
        <v>0</v>
      </c>
      <c r="R960" s="987">
        <v>2020</v>
      </c>
      <c r="S960" s="987">
        <v>2023</v>
      </c>
    </row>
    <row r="961" spans="1:19" ht="42.6" customHeight="1">
      <c r="A961" s="1319">
        <v>416</v>
      </c>
      <c r="B961" s="1316" t="s">
        <v>1500</v>
      </c>
      <c r="C961" s="1319">
        <v>1970</v>
      </c>
      <c r="D961" s="1319"/>
      <c r="E961" s="1319" t="s">
        <v>218</v>
      </c>
      <c r="F961" s="1319">
        <v>2</v>
      </c>
      <c r="G961" s="1319">
        <v>2</v>
      </c>
      <c r="H961" s="993">
        <v>541.9</v>
      </c>
      <c r="I961" s="993">
        <v>493.7</v>
      </c>
      <c r="J961" s="993">
        <v>452.5</v>
      </c>
      <c r="K961" s="987">
        <v>21</v>
      </c>
      <c r="L961" s="993">
        <v>2145232.42</v>
      </c>
      <c r="M961" s="993">
        <v>0</v>
      </c>
      <c r="N961" s="993">
        <v>0</v>
      </c>
      <c r="O961" s="993">
        <v>2145232.42</v>
      </c>
      <c r="P961" s="993">
        <v>0</v>
      </c>
      <c r="Q961" s="993">
        <v>0</v>
      </c>
      <c r="R961" s="987">
        <v>2020</v>
      </c>
      <c r="S961" s="987">
        <v>2023</v>
      </c>
    </row>
    <row r="962" spans="1:19" ht="43.9" customHeight="1">
      <c r="A962" s="1319">
        <v>417</v>
      </c>
      <c r="B962" s="1316" t="s">
        <v>1198</v>
      </c>
      <c r="C962" s="1319">
        <v>1962</v>
      </c>
      <c r="D962" s="1319"/>
      <c r="E962" s="1319" t="s">
        <v>218</v>
      </c>
      <c r="F962" s="1319">
        <v>2</v>
      </c>
      <c r="G962" s="1319">
        <v>2</v>
      </c>
      <c r="H962" s="993">
        <v>522.5</v>
      </c>
      <c r="I962" s="993">
        <v>458.9</v>
      </c>
      <c r="J962" s="993">
        <v>422.1</v>
      </c>
      <c r="K962" s="987">
        <v>21</v>
      </c>
      <c r="L962" s="993">
        <v>5109821.33</v>
      </c>
      <c r="M962" s="993">
        <v>0</v>
      </c>
      <c r="N962" s="993">
        <v>0</v>
      </c>
      <c r="O962" s="993">
        <v>5109821.33</v>
      </c>
      <c r="P962" s="993">
        <f t="shared" ref="P962" si="218">Q962</f>
        <v>0</v>
      </c>
      <c r="Q962" s="993">
        <v>0</v>
      </c>
      <c r="R962" s="987">
        <v>2020</v>
      </c>
      <c r="S962" s="987">
        <v>2023</v>
      </c>
    </row>
    <row r="963" spans="1:19" ht="36.6" customHeight="1">
      <c r="A963" s="1319">
        <v>418</v>
      </c>
      <c r="B963" s="1316" t="s">
        <v>1174</v>
      </c>
      <c r="C963" s="1319" t="s">
        <v>714</v>
      </c>
      <c r="D963" s="1319"/>
      <c r="E963" s="1319" t="s">
        <v>218</v>
      </c>
      <c r="F963" s="1319">
        <v>2</v>
      </c>
      <c r="G963" s="1319">
        <v>1</v>
      </c>
      <c r="H963" s="993">
        <v>496.4</v>
      </c>
      <c r="I963" s="993">
        <v>286.2</v>
      </c>
      <c r="J963" s="993">
        <v>286.2</v>
      </c>
      <c r="K963" s="987">
        <v>10</v>
      </c>
      <c r="L963" s="993">
        <v>1462875.34</v>
      </c>
      <c r="M963" s="993">
        <v>0</v>
      </c>
      <c r="N963" s="993">
        <v>0</v>
      </c>
      <c r="O963" s="993">
        <v>1462875.34</v>
      </c>
      <c r="P963" s="993">
        <v>0</v>
      </c>
      <c r="Q963" s="993">
        <v>0</v>
      </c>
      <c r="R963" s="987">
        <v>2020</v>
      </c>
      <c r="S963" s="987">
        <v>2023</v>
      </c>
    </row>
    <row r="964" spans="1:19" ht="43.15" customHeight="1">
      <c r="A964" s="1319">
        <v>419</v>
      </c>
      <c r="B964" s="1316" t="s">
        <v>1501</v>
      </c>
      <c r="C964" s="1319">
        <v>1978</v>
      </c>
      <c r="D964" s="1316"/>
      <c r="E964" s="1319" t="s">
        <v>219</v>
      </c>
      <c r="F964" s="1319">
        <v>5</v>
      </c>
      <c r="G964" s="1319">
        <v>4</v>
      </c>
      <c r="H964" s="985">
        <v>3049.3</v>
      </c>
      <c r="I964" s="985">
        <v>1832.9</v>
      </c>
      <c r="J964" s="985">
        <v>1682.3</v>
      </c>
      <c r="K964" s="1030">
        <v>122</v>
      </c>
      <c r="L964" s="986">
        <v>6250068.7599999998</v>
      </c>
      <c r="M964" s="986">
        <v>0</v>
      </c>
      <c r="N964" s="986">
        <v>0</v>
      </c>
      <c r="O964" s="986">
        <v>6250068.7599999998</v>
      </c>
      <c r="P964" s="993">
        <v>0</v>
      </c>
      <c r="Q964" s="986">
        <v>0</v>
      </c>
      <c r="R964" s="987">
        <v>2020</v>
      </c>
      <c r="S964" s="987">
        <v>2023</v>
      </c>
    </row>
    <row r="965" spans="1:19" ht="42.6" customHeight="1">
      <c r="A965" s="1319">
        <v>420</v>
      </c>
      <c r="B965" s="1316" t="s">
        <v>1079</v>
      </c>
      <c r="C965" s="1319">
        <v>1980</v>
      </c>
      <c r="D965" s="1316"/>
      <c r="E965" s="1319" t="s">
        <v>219</v>
      </c>
      <c r="F965" s="1319">
        <v>3</v>
      </c>
      <c r="G965" s="1319">
        <v>3</v>
      </c>
      <c r="H965" s="985">
        <v>1386.7</v>
      </c>
      <c r="I965" s="985">
        <v>1386.7</v>
      </c>
      <c r="J965" s="985">
        <v>798.4</v>
      </c>
      <c r="K965" s="1030">
        <v>73</v>
      </c>
      <c r="L965" s="986">
        <v>1014866.08</v>
      </c>
      <c r="M965" s="986">
        <v>0</v>
      </c>
      <c r="N965" s="986">
        <v>0</v>
      </c>
      <c r="O965" s="986">
        <v>1014866.08</v>
      </c>
      <c r="P965" s="993">
        <v>0</v>
      </c>
      <c r="Q965" s="986">
        <v>0</v>
      </c>
      <c r="R965" s="987">
        <v>2020</v>
      </c>
      <c r="S965" s="987">
        <v>2023</v>
      </c>
    </row>
    <row r="966" spans="1:19" ht="42.6" customHeight="1">
      <c r="A966" s="1319">
        <v>421</v>
      </c>
      <c r="B966" s="1316" t="s">
        <v>1273</v>
      </c>
      <c r="C966" s="1319">
        <v>1965</v>
      </c>
      <c r="D966" s="1316"/>
      <c r="E966" s="1319" t="s">
        <v>218</v>
      </c>
      <c r="F966" s="1319">
        <v>5</v>
      </c>
      <c r="G966" s="1319">
        <v>2</v>
      </c>
      <c r="H966" s="985" t="s">
        <v>1502</v>
      </c>
      <c r="I966" s="985" t="s">
        <v>1503</v>
      </c>
      <c r="J966" s="985" t="s">
        <v>1503</v>
      </c>
      <c r="K966" s="1030">
        <v>56</v>
      </c>
      <c r="L966" s="986">
        <v>6788652.3799999999</v>
      </c>
      <c r="M966" s="986">
        <v>0</v>
      </c>
      <c r="N966" s="986">
        <v>0</v>
      </c>
      <c r="O966" s="986">
        <v>6788652.3799999999</v>
      </c>
      <c r="P966" s="993">
        <v>0</v>
      </c>
      <c r="Q966" s="986">
        <v>0</v>
      </c>
      <c r="R966" s="987">
        <v>2021</v>
      </c>
      <c r="S966" s="987">
        <v>2023</v>
      </c>
    </row>
    <row r="967" spans="1:19" ht="43.15" customHeight="1">
      <c r="A967" s="1319">
        <v>422</v>
      </c>
      <c r="B967" s="1316" t="s">
        <v>1274</v>
      </c>
      <c r="C967" s="1319">
        <v>1965</v>
      </c>
      <c r="D967" s="1316"/>
      <c r="E967" s="1319" t="s">
        <v>222</v>
      </c>
      <c r="F967" s="1319">
        <v>1</v>
      </c>
      <c r="G967" s="1319">
        <v>4</v>
      </c>
      <c r="H967" s="985">
        <v>235.5</v>
      </c>
      <c r="I967" s="985">
        <v>212.5</v>
      </c>
      <c r="J967" s="985">
        <v>212.5</v>
      </c>
      <c r="K967" s="1030">
        <v>10</v>
      </c>
      <c r="L967" s="986">
        <v>199642.52</v>
      </c>
      <c r="M967" s="986">
        <v>0</v>
      </c>
      <c r="N967" s="986">
        <v>0</v>
      </c>
      <c r="O967" s="986">
        <v>199642.52</v>
      </c>
      <c r="P967" s="993">
        <v>0</v>
      </c>
      <c r="Q967" s="986">
        <v>0</v>
      </c>
      <c r="R967" s="987">
        <v>2021</v>
      </c>
      <c r="S967" s="987">
        <v>2023</v>
      </c>
    </row>
    <row r="968" spans="1:19" ht="42.6" customHeight="1">
      <c r="A968" s="1319">
        <v>423</v>
      </c>
      <c r="B968" s="1316" t="s">
        <v>1294</v>
      </c>
      <c r="C968" s="1319">
        <v>1974</v>
      </c>
      <c r="D968" s="1316"/>
      <c r="E968" s="1319" t="s">
        <v>219</v>
      </c>
      <c r="F968" s="1319">
        <v>5</v>
      </c>
      <c r="G968" s="1319">
        <v>6</v>
      </c>
      <c r="H968" s="985">
        <v>4189.5</v>
      </c>
      <c r="I968" s="985">
        <v>2919.4</v>
      </c>
      <c r="J968" s="985">
        <v>2665.7</v>
      </c>
      <c r="K968" s="1030">
        <v>160</v>
      </c>
      <c r="L968" s="986">
        <v>8465841.5099999998</v>
      </c>
      <c r="M968" s="986">
        <v>0</v>
      </c>
      <c r="N968" s="986">
        <v>0</v>
      </c>
      <c r="O968" s="986">
        <v>8465841.5099999998</v>
      </c>
      <c r="P968" s="993">
        <v>0</v>
      </c>
      <c r="Q968" s="986">
        <v>0</v>
      </c>
      <c r="R968" s="987">
        <v>2022</v>
      </c>
      <c r="S968" s="987">
        <v>2023</v>
      </c>
    </row>
    <row r="969" spans="1:19" ht="41.45" customHeight="1">
      <c r="A969" s="1319">
        <v>424</v>
      </c>
      <c r="B969" s="1316" t="s">
        <v>1122</v>
      </c>
      <c r="C969" s="1319">
        <v>1983</v>
      </c>
      <c r="D969" s="1316"/>
      <c r="E969" s="1319" t="s">
        <v>219</v>
      </c>
      <c r="F969" s="1319">
        <v>3</v>
      </c>
      <c r="G969" s="1319">
        <v>3</v>
      </c>
      <c r="H969" s="985">
        <v>1529.5</v>
      </c>
      <c r="I969" s="985">
        <v>1356.4</v>
      </c>
      <c r="J969" s="985">
        <v>1356.4</v>
      </c>
      <c r="K969" s="1030">
        <v>61</v>
      </c>
      <c r="L969" s="986">
        <v>2034509</v>
      </c>
      <c r="M969" s="986">
        <v>0</v>
      </c>
      <c r="N969" s="986">
        <v>0</v>
      </c>
      <c r="O969" s="986">
        <v>2034509</v>
      </c>
      <c r="P969" s="993">
        <v>0</v>
      </c>
      <c r="Q969" s="986">
        <v>0</v>
      </c>
      <c r="R969" s="987">
        <v>2022</v>
      </c>
      <c r="S969" s="987">
        <v>2023</v>
      </c>
    </row>
    <row r="970" spans="1:19" ht="39.6" customHeight="1">
      <c r="A970" s="1319">
        <v>425</v>
      </c>
      <c r="B970" s="1316" t="s">
        <v>1080</v>
      </c>
      <c r="C970" s="1319">
        <v>1985</v>
      </c>
      <c r="D970" s="1316"/>
      <c r="E970" s="1319" t="s">
        <v>219</v>
      </c>
      <c r="F970" s="1319">
        <v>3</v>
      </c>
      <c r="G970" s="1319">
        <v>3</v>
      </c>
      <c r="H970" s="985">
        <v>1389.3</v>
      </c>
      <c r="I970" s="985">
        <v>1389.3</v>
      </c>
      <c r="J970" s="985">
        <v>729.3</v>
      </c>
      <c r="K970" s="1030">
        <v>62</v>
      </c>
      <c r="L970" s="986">
        <v>1016036.22</v>
      </c>
      <c r="M970" s="986">
        <v>0</v>
      </c>
      <c r="N970" s="986">
        <v>0</v>
      </c>
      <c r="O970" s="986">
        <v>1016036.22</v>
      </c>
      <c r="P970" s="993">
        <v>0</v>
      </c>
      <c r="Q970" s="986">
        <v>0</v>
      </c>
      <c r="R970" s="987">
        <v>2022</v>
      </c>
      <c r="S970" s="987">
        <v>2023</v>
      </c>
    </row>
    <row r="971" spans="1:19" ht="39.6" customHeight="1">
      <c r="A971" s="1319"/>
      <c r="B971" s="1426" t="s">
        <v>2059</v>
      </c>
      <c r="C971" s="1426"/>
      <c r="D971" s="1426"/>
      <c r="E971" s="1426"/>
      <c r="F971" s="1426"/>
      <c r="G971" s="1426"/>
      <c r="H971" s="985">
        <f>H972</f>
        <v>808</v>
      </c>
      <c r="I971" s="985">
        <f t="shared" ref="I971:Q971" si="219">I972</f>
        <v>471</v>
      </c>
      <c r="J971" s="985">
        <f t="shared" si="219"/>
        <v>471</v>
      </c>
      <c r="K971" s="1030">
        <f t="shared" si="219"/>
        <v>25</v>
      </c>
      <c r="L971" s="985">
        <f t="shared" si="219"/>
        <v>3004703.75</v>
      </c>
      <c r="M971" s="985">
        <f t="shared" si="219"/>
        <v>0</v>
      </c>
      <c r="N971" s="985">
        <f t="shared" si="219"/>
        <v>0</v>
      </c>
      <c r="O971" s="985">
        <f t="shared" si="219"/>
        <v>3004703.75</v>
      </c>
      <c r="P971" s="985">
        <f t="shared" si="219"/>
        <v>0</v>
      </c>
      <c r="Q971" s="985">
        <f t="shared" si="219"/>
        <v>0</v>
      </c>
      <c r="R971" s="991" t="s">
        <v>40</v>
      </c>
      <c r="S971" s="991" t="s">
        <v>40</v>
      </c>
    </row>
    <row r="972" spans="1:19" ht="39.6" customHeight="1">
      <c r="A972" s="1319">
        <v>426</v>
      </c>
      <c r="B972" s="1316" t="s">
        <v>2060</v>
      </c>
      <c r="C972" s="1319">
        <v>1978</v>
      </c>
      <c r="D972" s="1321"/>
      <c r="E972" s="1319" t="s">
        <v>218</v>
      </c>
      <c r="F972" s="1321">
        <v>2</v>
      </c>
      <c r="G972" s="1321">
        <v>2</v>
      </c>
      <c r="H972" s="985">
        <v>808</v>
      </c>
      <c r="I972" s="985">
        <v>471</v>
      </c>
      <c r="J972" s="985">
        <v>471</v>
      </c>
      <c r="K972" s="1030">
        <v>25</v>
      </c>
      <c r="L972" s="986">
        <v>3004703.75</v>
      </c>
      <c r="M972" s="986">
        <v>0</v>
      </c>
      <c r="N972" s="986">
        <v>0</v>
      </c>
      <c r="O972" s="986">
        <f>L972</f>
        <v>3004703.75</v>
      </c>
      <c r="P972" s="993">
        <v>0</v>
      </c>
      <c r="Q972" s="986">
        <v>0</v>
      </c>
      <c r="R972" s="987">
        <v>2022</v>
      </c>
      <c r="S972" s="987">
        <v>2022</v>
      </c>
    </row>
    <row r="973" spans="1:19" ht="45" customHeight="1">
      <c r="A973" s="1319"/>
      <c r="B973" s="1313" t="s">
        <v>1066</v>
      </c>
      <c r="C973" s="1321"/>
      <c r="D973" s="1096"/>
      <c r="E973" s="1319"/>
      <c r="F973" s="1321"/>
      <c r="G973" s="1321"/>
      <c r="H973" s="985">
        <f>H974+H975+H976+H977+H978+H979+H980+H981</f>
        <v>6992.2</v>
      </c>
      <c r="I973" s="985">
        <f t="shared" ref="I973:Q973" si="220">I974+I975+I976+I977+I978+I979+I980+I981</f>
        <v>6441.1</v>
      </c>
      <c r="J973" s="985">
        <f t="shared" si="220"/>
        <v>5373.7</v>
      </c>
      <c r="K973" s="985">
        <f t="shared" si="220"/>
        <v>215</v>
      </c>
      <c r="L973" s="985">
        <f t="shared" si="220"/>
        <v>18759633.469999999</v>
      </c>
      <c r="M973" s="985">
        <f t="shared" si="220"/>
        <v>0</v>
      </c>
      <c r="N973" s="985">
        <f t="shared" si="220"/>
        <v>0</v>
      </c>
      <c r="O973" s="985">
        <f t="shared" si="220"/>
        <v>18759633.469999999</v>
      </c>
      <c r="P973" s="985">
        <f t="shared" si="220"/>
        <v>0</v>
      </c>
      <c r="Q973" s="985">
        <f t="shared" si="220"/>
        <v>0</v>
      </c>
      <c r="R973" s="991" t="s">
        <v>40</v>
      </c>
      <c r="S973" s="991" t="s">
        <v>40</v>
      </c>
    </row>
    <row r="974" spans="1:19" ht="39" customHeight="1">
      <c r="A974" s="1021">
        <v>427</v>
      </c>
      <c r="B974" s="1139" t="s">
        <v>1138</v>
      </c>
      <c r="C974" s="1017">
        <v>1959</v>
      </c>
      <c r="D974" s="1319"/>
      <c r="E974" s="1319" t="s">
        <v>218</v>
      </c>
      <c r="F974" s="1017">
        <v>2</v>
      </c>
      <c r="G974" s="1017">
        <v>2</v>
      </c>
      <c r="H974" s="1025">
        <v>686.6</v>
      </c>
      <c r="I974" s="1025">
        <v>637.5</v>
      </c>
      <c r="J974" s="1025">
        <v>594.29999999999995</v>
      </c>
      <c r="K974" s="1221">
        <v>32</v>
      </c>
      <c r="L974" s="1025">
        <v>505008</v>
      </c>
      <c r="M974" s="1025">
        <v>0</v>
      </c>
      <c r="N974" s="1025">
        <v>0</v>
      </c>
      <c r="O974" s="1025">
        <v>505008</v>
      </c>
      <c r="P974" s="1025">
        <v>0</v>
      </c>
      <c r="Q974" s="1025">
        <v>0</v>
      </c>
      <c r="R974" s="987">
        <v>2022</v>
      </c>
      <c r="S974" s="1032">
        <v>2023</v>
      </c>
    </row>
    <row r="975" spans="1:19" ht="39" customHeight="1">
      <c r="A975" s="1021">
        <v>428</v>
      </c>
      <c r="B975" s="1316" t="s">
        <v>1139</v>
      </c>
      <c r="C975" s="1319">
        <v>1953</v>
      </c>
      <c r="D975" s="1316"/>
      <c r="E975" s="1319" t="s">
        <v>218</v>
      </c>
      <c r="F975" s="1319">
        <v>4</v>
      </c>
      <c r="G975" s="1319">
        <v>2</v>
      </c>
      <c r="H975" s="1152">
        <v>1396.5</v>
      </c>
      <c r="I975" s="1152">
        <v>1298.0999999999999</v>
      </c>
      <c r="J975" s="1152">
        <v>1178.5999999999999</v>
      </c>
      <c r="K975" s="1222">
        <v>39</v>
      </c>
      <c r="L975" s="1223">
        <v>2089124.51</v>
      </c>
      <c r="M975" s="1223">
        <v>0</v>
      </c>
      <c r="N975" s="1223">
        <v>0</v>
      </c>
      <c r="O975" s="1223">
        <v>2089124.51</v>
      </c>
      <c r="P975" s="1152">
        <v>0</v>
      </c>
      <c r="Q975" s="1223">
        <v>0</v>
      </c>
      <c r="R975" s="987">
        <v>2022</v>
      </c>
      <c r="S975" s="1032">
        <v>2023</v>
      </c>
    </row>
    <row r="976" spans="1:19" ht="39" customHeight="1">
      <c r="A976" s="1021">
        <v>429</v>
      </c>
      <c r="B976" s="1178" t="s">
        <v>1141</v>
      </c>
      <c r="C976" s="1017">
        <v>1953</v>
      </c>
      <c r="D976" s="1319"/>
      <c r="E976" s="1319" t="s">
        <v>218</v>
      </c>
      <c r="F976" s="1017">
        <v>2</v>
      </c>
      <c r="G976" s="1017">
        <v>2</v>
      </c>
      <c r="H976" s="1025">
        <v>412.1</v>
      </c>
      <c r="I976" s="1025">
        <v>371.5</v>
      </c>
      <c r="J976" s="1025">
        <v>330.6</v>
      </c>
      <c r="K976" s="1221">
        <v>12</v>
      </c>
      <c r="L976" s="1025">
        <v>2196085.86</v>
      </c>
      <c r="M976" s="1025">
        <v>0</v>
      </c>
      <c r="N976" s="1025">
        <v>0</v>
      </c>
      <c r="O976" s="1025">
        <v>2196085.86</v>
      </c>
      <c r="P976" s="1025">
        <v>0</v>
      </c>
      <c r="Q976" s="1025">
        <v>0</v>
      </c>
      <c r="R976" s="987">
        <v>2022</v>
      </c>
      <c r="S976" s="1032">
        <v>2023</v>
      </c>
    </row>
    <row r="977" spans="1:19" ht="39" customHeight="1">
      <c r="A977" s="1021">
        <v>430</v>
      </c>
      <c r="B977" s="1178" t="s">
        <v>1152</v>
      </c>
      <c r="C977" s="1017">
        <v>1979</v>
      </c>
      <c r="D977" s="1319"/>
      <c r="E977" s="1319" t="s">
        <v>218</v>
      </c>
      <c r="F977" s="1017">
        <v>2</v>
      </c>
      <c r="G977" s="1017">
        <v>3</v>
      </c>
      <c r="H977" s="1025">
        <v>1347</v>
      </c>
      <c r="I977" s="1025">
        <v>1228.0999999999999</v>
      </c>
      <c r="J977" s="1025">
        <v>1112.7</v>
      </c>
      <c r="K977" s="1221">
        <v>33</v>
      </c>
      <c r="L977" s="1025">
        <v>3623991.49</v>
      </c>
      <c r="M977" s="1025">
        <v>0</v>
      </c>
      <c r="N977" s="1025">
        <v>0</v>
      </c>
      <c r="O977" s="1025">
        <v>3623991.49</v>
      </c>
      <c r="P977" s="1025">
        <v>0</v>
      </c>
      <c r="Q977" s="1025">
        <v>0</v>
      </c>
      <c r="R977" s="987">
        <v>2022</v>
      </c>
      <c r="S977" s="1032">
        <v>2023</v>
      </c>
    </row>
    <row r="978" spans="1:19" ht="40.9" customHeight="1">
      <c r="A978" s="1021">
        <v>431</v>
      </c>
      <c r="B978" s="1139" t="s">
        <v>1153</v>
      </c>
      <c r="C978" s="1017">
        <v>1959</v>
      </c>
      <c r="D978" s="1319"/>
      <c r="E978" s="1319" t="s">
        <v>218</v>
      </c>
      <c r="F978" s="1009">
        <v>3</v>
      </c>
      <c r="G978" s="1009">
        <v>3</v>
      </c>
      <c r="H978" s="1157">
        <v>1158.5</v>
      </c>
      <c r="I978" s="1157">
        <v>1067.3</v>
      </c>
      <c r="J978" s="1157">
        <v>703.3</v>
      </c>
      <c r="K978" s="1224">
        <v>25</v>
      </c>
      <c r="L978" s="1157">
        <v>1578213.79</v>
      </c>
      <c r="M978" s="1157">
        <v>0</v>
      </c>
      <c r="N978" s="1157">
        <v>0</v>
      </c>
      <c r="O978" s="1157">
        <v>1578213.79</v>
      </c>
      <c r="P978" s="1157">
        <v>0</v>
      </c>
      <c r="Q978" s="1157">
        <v>0</v>
      </c>
      <c r="R978" s="987">
        <v>2022</v>
      </c>
      <c r="S978" s="1032">
        <v>2023</v>
      </c>
    </row>
    <row r="979" spans="1:19" ht="40.9" customHeight="1">
      <c r="A979" s="1021">
        <v>432</v>
      </c>
      <c r="B979" s="1316" t="s">
        <v>1020</v>
      </c>
      <c r="C979" s="1319">
        <v>1979</v>
      </c>
      <c r="D979" s="1316"/>
      <c r="E979" s="1319" t="s">
        <v>218</v>
      </c>
      <c r="F979" s="1321">
        <v>2</v>
      </c>
      <c r="G979" s="1321">
        <v>1</v>
      </c>
      <c r="H979" s="1024">
        <v>398.3</v>
      </c>
      <c r="I979" s="1024">
        <v>366.3</v>
      </c>
      <c r="J979" s="1024">
        <v>322.8</v>
      </c>
      <c r="K979" s="1225">
        <v>20</v>
      </c>
      <c r="L979" s="1226">
        <v>2538046.25</v>
      </c>
      <c r="M979" s="1226">
        <v>0</v>
      </c>
      <c r="N979" s="1226">
        <v>0</v>
      </c>
      <c r="O979" s="1226">
        <v>2538046.25</v>
      </c>
      <c r="P979" s="1152">
        <v>0</v>
      </c>
      <c r="Q979" s="1226">
        <v>0</v>
      </c>
      <c r="R979" s="987">
        <v>2022</v>
      </c>
      <c r="S979" s="1032">
        <v>2023</v>
      </c>
    </row>
    <row r="980" spans="1:19" ht="40.9" customHeight="1">
      <c r="A980" s="1021">
        <v>433</v>
      </c>
      <c r="B980" s="1316" t="s">
        <v>1178</v>
      </c>
      <c r="C980" s="1319">
        <v>1953</v>
      </c>
      <c r="D980" s="1316"/>
      <c r="E980" s="1319" t="s">
        <v>220</v>
      </c>
      <c r="F980" s="1319">
        <v>2</v>
      </c>
      <c r="G980" s="1319">
        <v>2</v>
      </c>
      <c r="H980" s="1152">
        <v>790.9</v>
      </c>
      <c r="I980" s="1152">
        <v>723.2</v>
      </c>
      <c r="J980" s="1152">
        <v>416.9</v>
      </c>
      <c r="K980" s="1222">
        <v>31</v>
      </c>
      <c r="L980" s="1226">
        <v>1927617.46</v>
      </c>
      <c r="M980" s="1223">
        <v>0</v>
      </c>
      <c r="N980" s="1223">
        <v>0</v>
      </c>
      <c r="O980" s="1226">
        <v>1927617.46</v>
      </c>
      <c r="P980" s="1152">
        <v>0</v>
      </c>
      <c r="Q980" s="1223">
        <v>0</v>
      </c>
      <c r="R980" s="987">
        <v>2022</v>
      </c>
      <c r="S980" s="1032">
        <v>2023</v>
      </c>
    </row>
    <row r="981" spans="1:19" ht="40.9" customHeight="1">
      <c r="A981" s="1021">
        <v>434</v>
      </c>
      <c r="B981" s="1316" t="s">
        <v>1064</v>
      </c>
      <c r="C981" s="1319">
        <v>1974</v>
      </c>
      <c r="D981" s="1316"/>
      <c r="E981" s="1319" t="s">
        <v>218</v>
      </c>
      <c r="F981" s="1319">
        <v>2</v>
      </c>
      <c r="G981" s="1319">
        <v>2</v>
      </c>
      <c r="H981" s="1152">
        <v>802.3</v>
      </c>
      <c r="I981" s="1152">
        <v>749.1</v>
      </c>
      <c r="J981" s="1152">
        <v>714.5</v>
      </c>
      <c r="K981" s="1222">
        <v>23</v>
      </c>
      <c r="L981" s="1226">
        <v>4301546.1100000003</v>
      </c>
      <c r="M981" s="1223">
        <v>0</v>
      </c>
      <c r="N981" s="1223">
        <v>0</v>
      </c>
      <c r="O981" s="1226">
        <v>4301546.1100000003</v>
      </c>
      <c r="P981" s="1152">
        <v>0</v>
      </c>
      <c r="Q981" s="1223">
        <v>0</v>
      </c>
      <c r="R981" s="987">
        <v>2022</v>
      </c>
      <c r="S981" s="1032">
        <v>2023</v>
      </c>
    </row>
    <row r="982" spans="1:19" ht="43.15" customHeight="1">
      <c r="A982" s="1021"/>
      <c r="B982" s="1313" t="s">
        <v>1050</v>
      </c>
      <c r="C982" s="1321"/>
      <c r="D982" s="1096"/>
      <c r="E982" s="1319"/>
      <c r="F982" s="1321"/>
      <c r="G982" s="1321"/>
      <c r="H982" s="985">
        <f>SUM(H983:H994)</f>
        <v>20045.2</v>
      </c>
      <c r="I982" s="985">
        <f t="shared" ref="I982:Q982" si="221">SUM(I983:I994)</f>
        <v>19073.2</v>
      </c>
      <c r="J982" s="985">
        <f t="shared" si="221"/>
        <v>15393.3</v>
      </c>
      <c r="K982" s="1030">
        <f t="shared" si="221"/>
        <v>665</v>
      </c>
      <c r="L982" s="985">
        <f t="shared" si="221"/>
        <v>36389188.410000004</v>
      </c>
      <c r="M982" s="985">
        <f t="shared" si="221"/>
        <v>0</v>
      </c>
      <c r="N982" s="985">
        <f t="shared" si="221"/>
        <v>0</v>
      </c>
      <c r="O982" s="985">
        <f t="shared" si="221"/>
        <v>36389188.410000004</v>
      </c>
      <c r="P982" s="985">
        <f t="shared" si="221"/>
        <v>0</v>
      </c>
      <c r="Q982" s="985">
        <f t="shared" si="221"/>
        <v>0</v>
      </c>
      <c r="R982" s="991" t="s">
        <v>40</v>
      </c>
      <c r="S982" s="991" t="s">
        <v>40</v>
      </c>
    </row>
    <row r="983" spans="1:19" ht="36" customHeight="1">
      <c r="A983" s="1021">
        <v>435</v>
      </c>
      <c r="B983" s="1316" t="s">
        <v>1154</v>
      </c>
      <c r="C983" s="1321">
        <v>1968</v>
      </c>
      <c r="D983" s="1321"/>
      <c r="E983" s="1319" t="s">
        <v>218</v>
      </c>
      <c r="F983" s="1321">
        <v>2</v>
      </c>
      <c r="G983" s="1321">
        <v>1</v>
      </c>
      <c r="H983" s="1180">
        <v>452.6</v>
      </c>
      <c r="I983" s="1180">
        <v>452.6</v>
      </c>
      <c r="J983" s="1180">
        <v>250.7</v>
      </c>
      <c r="K983" s="1009">
        <v>12</v>
      </c>
      <c r="L983" s="1227">
        <v>942237.79</v>
      </c>
      <c r="M983" s="986">
        <v>0</v>
      </c>
      <c r="N983" s="986">
        <v>0</v>
      </c>
      <c r="O983" s="986">
        <f>L983</f>
        <v>942237.79</v>
      </c>
      <c r="P983" s="993">
        <f t="shared" si="212"/>
        <v>0</v>
      </c>
      <c r="Q983" s="986">
        <v>0</v>
      </c>
      <c r="R983" s="987">
        <v>2022</v>
      </c>
      <c r="S983" s="987">
        <v>2023</v>
      </c>
    </row>
    <row r="984" spans="1:19" ht="40.9" customHeight="1">
      <c r="A984" s="1021">
        <v>436</v>
      </c>
      <c r="B984" s="1316" t="s">
        <v>1379</v>
      </c>
      <c r="C984" s="1321">
        <v>1967</v>
      </c>
      <c r="D984" s="1321"/>
      <c r="E984" s="1319" t="s">
        <v>218</v>
      </c>
      <c r="F984" s="1321">
        <v>2</v>
      </c>
      <c r="G984" s="1321">
        <v>2</v>
      </c>
      <c r="H984" s="1180">
        <v>388.9</v>
      </c>
      <c r="I984" s="1180">
        <v>388.9</v>
      </c>
      <c r="J984" s="1180">
        <v>340.7</v>
      </c>
      <c r="K984" s="1009">
        <v>14</v>
      </c>
      <c r="L984" s="1227">
        <v>268565.7</v>
      </c>
      <c r="M984" s="986">
        <v>0</v>
      </c>
      <c r="N984" s="986">
        <v>0</v>
      </c>
      <c r="O984" s="986">
        <f>L984</f>
        <v>268565.7</v>
      </c>
      <c r="P984" s="993">
        <f t="shared" si="212"/>
        <v>0</v>
      </c>
      <c r="Q984" s="986">
        <v>0</v>
      </c>
      <c r="R984" s="987">
        <v>2022</v>
      </c>
      <c r="S984" s="987">
        <v>2023</v>
      </c>
    </row>
    <row r="985" spans="1:19" ht="39.6" customHeight="1">
      <c r="A985" s="1021">
        <v>437</v>
      </c>
      <c r="B985" s="1316" t="s">
        <v>1155</v>
      </c>
      <c r="C985" s="1321">
        <v>1937</v>
      </c>
      <c r="D985" s="1321"/>
      <c r="E985" s="1319" t="s">
        <v>218</v>
      </c>
      <c r="F985" s="1321">
        <v>4</v>
      </c>
      <c r="G985" s="1321">
        <v>5</v>
      </c>
      <c r="H985" s="1180">
        <v>2238.6</v>
      </c>
      <c r="I985" s="1180">
        <v>2238.6</v>
      </c>
      <c r="J985" s="1180">
        <v>1525.7</v>
      </c>
      <c r="K985" s="1009">
        <v>77</v>
      </c>
      <c r="L985" s="1227">
        <v>5530327.4400000004</v>
      </c>
      <c r="M985" s="986">
        <v>0</v>
      </c>
      <c r="N985" s="986">
        <v>0</v>
      </c>
      <c r="O985" s="986">
        <f>L985</f>
        <v>5530327.4400000004</v>
      </c>
      <c r="P985" s="993">
        <v>0</v>
      </c>
      <c r="Q985" s="986">
        <v>0</v>
      </c>
      <c r="R985" s="987">
        <v>2022</v>
      </c>
      <c r="S985" s="987">
        <v>2023</v>
      </c>
    </row>
    <row r="986" spans="1:19" ht="39.6" customHeight="1">
      <c r="A986" s="1021">
        <v>438</v>
      </c>
      <c r="B986" s="1316" t="s">
        <v>1258</v>
      </c>
      <c r="C986" s="1321">
        <v>1963</v>
      </c>
      <c r="D986" s="1321"/>
      <c r="E986" s="1319" t="s">
        <v>218</v>
      </c>
      <c r="F986" s="1321">
        <v>2</v>
      </c>
      <c r="G986" s="1321">
        <v>2</v>
      </c>
      <c r="H986" s="1180">
        <v>523.79999999999995</v>
      </c>
      <c r="I986" s="1180">
        <v>523.79999999999995</v>
      </c>
      <c r="J986" s="1180">
        <v>460.5</v>
      </c>
      <c r="K986" s="1009">
        <v>19</v>
      </c>
      <c r="L986" s="1227">
        <v>1449596.6</v>
      </c>
      <c r="M986" s="986">
        <v>0</v>
      </c>
      <c r="N986" s="986">
        <v>0</v>
      </c>
      <c r="O986" s="986">
        <f t="shared" ref="O986:O994" si="222">L986</f>
        <v>1449596.6</v>
      </c>
      <c r="P986" s="993">
        <f t="shared" ref="P986" si="223">Q986</f>
        <v>0</v>
      </c>
      <c r="Q986" s="986">
        <v>0</v>
      </c>
      <c r="R986" s="987">
        <v>2022</v>
      </c>
      <c r="S986" s="987">
        <v>2023</v>
      </c>
    </row>
    <row r="987" spans="1:19" ht="39.6" customHeight="1">
      <c r="A987" s="1021">
        <v>439</v>
      </c>
      <c r="B987" s="1316" t="s">
        <v>1156</v>
      </c>
      <c r="C987" s="1321">
        <v>1957</v>
      </c>
      <c r="D987" s="1321">
        <v>2016</v>
      </c>
      <c r="E987" s="1319" t="s">
        <v>218</v>
      </c>
      <c r="F987" s="1321">
        <v>3</v>
      </c>
      <c r="G987" s="1321">
        <v>2</v>
      </c>
      <c r="H987" s="1180">
        <v>1414</v>
      </c>
      <c r="I987" s="1180">
        <v>1414</v>
      </c>
      <c r="J987" s="1180">
        <v>1243</v>
      </c>
      <c r="K987" s="1009">
        <v>51</v>
      </c>
      <c r="L987" s="1227">
        <v>2521397.5699999998</v>
      </c>
      <c r="M987" s="986">
        <v>0</v>
      </c>
      <c r="N987" s="986">
        <v>0</v>
      </c>
      <c r="O987" s="986">
        <f t="shared" si="222"/>
        <v>2521397.5699999998</v>
      </c>
      <c r="P987" s="993">
        <v>0</v>
      </c>
      <c r="Q987" s="986">
        <v>0</v>
      </c>
      <c r="R987" s="987">
        <v>2022</v>
      </c>
      <c r="S987" s="987">
        <v>2023</v>
      </c>
    </row>
    <row r="988" spans="1:19" ht="39.6" customHeight="1">
      <c r="A988" s="1021">
        <v>440</v>
      </c>
      <c r="B988" s="1316" t="s">
        <v>1157</v>
      </c>
      <c r="C988" s="1321">
        <v>1957</v>
      </c>
      <c r="D988" s="1321">
        <v>2016</v>
      </c>
      <c r="E988" s="1319" t="s">
        <v>218</v>
      </c>
      <c r="F988" s="1321">
        <v>3</v>
      </c>
      <c r="G988" s="1321">
        <v>2</v>
      </c>
      <c r="H988" s="1180">
        <v>958</v>
      </c>
      <c r="I988" s="1180">
        <v>958</v>
      </c>
      <c r="J988" s="1180">
        <v>105</v>
      </c>
      <c r="K988" s="1009">
        <v>29</v>
      </c>
      <c r="L988" s="1227">
        <v>1046699.87</v>
      </c>
      <c r="M988" s="986">
        <v>0</v>
      </c>
      <c r="N988" s="986">
        <v>0</v>
      </c>
      <c r="O988" s="986">
        <f t="shared" si="222"/>
        <v>1046699.87</v>
      </c>
      <c r="P988" s="993">
        <f t="shared" ref="P988" si="224">Q988</f>
        <v>0</v>
      </c>
      <c r="Q988" s="986">
        <v>0</v>
      </c>
      <c r="R988" s="987">
        <v>2022</v>
      </c>
      <c r="S988" s="987">
        <v>2023</v>
      </c>
    </row>
    <row r="989" spans="1:19" ht="39.6" customHeight="1">
      <c r="A989" s="1021">
        <v>441</v>
      </c>
      <c r="B989" s="1316" t="s">
        <v>1143</v>
      </c>
      <c r="C989" s="1321">
        <v>1959</v>
      </c>
      <c r="D989" s="1321"/>
      <c r="E989" s="1319" t="s">
        <v>218</v>
      </c>
      <c r="F989" s="1321">
        <v>2</v>
      </c>
      <c r="G989" s="1321">
        <v>2</v>
      </c>
      <c r="H989" s="985">
        <v>306.60000000000002</v>
      </c>
      <c r="I989" s="985">
        <v>306.60000000000002</v>
      </c>
      <c r="J989" s="985">
        <v>273.60000000000002</v>
      </c>
      <c r="K989" s="1030">
        <v>22</v>
      </c>
      <c r="L989" s="986">
        <v>460270.38</v>
      </c>
      <c r="M989" s="986">
        <v>0</v>
      </c>
      <c r="N989" s="986">
        <v>0</v>
      </c>
      <c r="O989" s="986">
        <f t="shared" si="222"/>
        <v>460270.38</v>
      </c>
      <c r="P989" s="993">
        <v>0</v>
      </c>
      <c r="Q989" s="986">
        <v>0</v>
      </c>
      <c r="R989" s="987">
        <v>2022</v>
      </c>
      <c r="S989" s="987">
        <v>2023</v>
      </c>
    </row>
    <row r="990" spans="1:19" ht="39.6" customHeight="1">
      <c r="A990" s="1021">
        <v>442</v>
      </c>
      <c r="B990" s="1316" t="s">
        <v>1142</v>
      </c>
      <c r="C990" s="1321">
        <v>1981</v>
      </c>
      <c r="D990" s="1321"/>
      <c r="E990" s="1319" t="s">
        <v>218</v>
      </c>
      <c r="F990" s="1321">
        <v>5</v>
      </c>
      <c r="G990" s="1321">
        <v>4</v>
      </c>
      <c r="H990" s="985">
        <v>2903.6</v>
      </c>
      <c r="I990" s="985">
        <v>2903.6</v>
      </c>
      <c r="J990" s="985">
        <v>2603.5</v>
      </c>
      <c r="K990" s="1030">
        <v>106</v>
      </c>
      <c r="L990" s="986">
        <v>2801696.49</v>
      </c>
      <c r="M990" s="986">
        <v>0</v>
      </c>
      <c r="N990" s="986">
        <v>0</v>
      </c>
      <c r="O990" s="986">
        <f t="shared" si="222"/>
        <v>2801696.49</v>
      </c>
      <c r="P990" s="993">
        <v>0</v>
      </c>
      <c r="Q990" s="986">
        <v>0</v>
      </c>
      <c r="R990" s="987">
        <v>2022</v>
      </c>
      <c r="S990" s="987">
        <v>2023</v>
      </c>
    </row>
    <row r="991" spans="1:19" ht="39.6" customHeight="1">
      <c r="A991" s="1021">
        <v>443</v>
      </c>
      <c r="B991" s="1316" t="s">
        <v>1126</v>
      </c>
      <c r="C991" s="1321">
        <v>1937</v>
      </c>
      <c r="D991" s="1321"/>
      <c r="E991" s="1319" t="s">
        <v>218</v>
      </c>
      <c r="F991" s="1321">
        <v>4</v>
      </c>
      <c r="G991" s="1321">
        <v>3</v>
      </c>
      <c r="H991" s="985">
        <v>1985.8</v>
      </c>
      <c r="I991" s="985">
        <v>1985.8</v>
      </c>
      <c r="J991" s="985">
        <v>1327.8</v>
      </c>
      <c r="K991" s="1030">
        <v>42</v>
      </c>
      <c r="L991" s="986">
        <v>4007708.24</v>
      </c>
      <c r="M991" s="986">
        <v>0</v>
      </c>
      <c r="N991" s="986">
        <v>0</v>
      </c>
      <c r="O991" s="986">
        <f t="shared" si="222"/>
        <v>4007708.24</v>
      </c>
      <c r="P991" s="993">
        <v>0</v>
      </c>
      <c r="Q991" s="986">
        <v>0</v>
      </c>
      <c r="R991" s="987">
        <v>2022</v>
      </c>
      <c r="S991" s="987">
        <v>2023</v>
      </c>
    </row>
    <row r="992" spans="1:19" ht="45.6" customHeight="1">
      <c r="A992" s="1021">
        <v>444</v>
      </c>
      <c r="B992" s="1316" t="s">
        <v>1380</v>
      </c>
      <c r="C992" s="1321">
        <v>1917</v>
      </c>
      <c r="D992" s="1321"/>
      <c r="E992" s="1319" t="s">
        <v>218</v>
      </c>
      <c r="F992" s="1321">
        <v>2</v>
      </c>
      <c r="G992" s="1321">
        <v>1</v>
      </c>
      <c r="H992" s="985">
        <v>392</v>
      </c>
      <c r="I992" s="985">
        <v>392</v>
      </c>
      <c r="J992" s="985">
        <v>320.8</v>
      </c>
      <c r="K992" s="1030">
        <v>9</v>
      </c>
      <c r="L992" s="986">
        <v>1671299.6</v>
      </c>
      <c r="M992" s="986">
        <v>0</v>
      </c>
      <c r="N992" s="986">
        <v>0</v>
      </c>
      <c r="O992" s="986">
        <f t="shared" si="222"/>
        <v>1671299.6</v>
      </c>
      <c r="P992" s="993">
        <v>0</v>
      </c>
      <c r="Q992" s="986">
        <v>0</v>
      </c>
      <c r="R992" s="987">
        <v>2022</v>
      </c>
      <c r="S992" s="987">
        <v>2023</v>
      </c>
    </row>
    <row r="993" spans="1:19" ht="42" customHeight="1">
      <c r="A993" s="1021">
        <v>445</v>
      </c>
      <c r="B993" s="1316" t="s">
        <v>1289</v>
      </c>
      <c r="C993" s="1321">
        <v>1983</v>
      </c>
      <c r="D993" s="1321"/>
      <c r="E993" s="1319" t="s">
        <v>218</v>
      </c>
      <c r="F993" s="1321">
        <v>5</v>
      </c>
      <c r="G993" s="1321">
        <v>7</v>
      </c>
      <c r="H993" s="985">
        <v>5053.5</v>
      </c>
      <c r="I993" s="985">
        <v>4573.3999999999996</v>
      </c>
      <c r="J993" s="985">
        <v>4190.6000000000004</v>
      </c>
      <c r="K993" s="1030">
        <v>182</v>
      </c>
      <c r="L993" s="986">
        <v>11397253.15</v>
      </c>
      <c r="M993" s="986">
        <v>0</v>
      </c>
      <c r="N993" s="986">
        <v>0</v>
      </c>
      <c r="O993" s="986">
        <f t="shared" si="222"/>
        <v>11397253.15</v>
      </c>
      <c r="P993" s="993">
        <v>0</v>
      </c>
      <c r="Q993" s="986">
        <v>0</v>
      </c>
      <c r="R993" s="987">
        <v>2022</v>
      </c>
      <c r="S993" s="987">
        <v>2023</v>
      </c>
    </row>
    <row r="994" spans="1:19" ht="42.6" customHeight="1">
      <c r="A994" s="1021">
        <v>446</v>
      </c>
      <c r="B994" s="1316" t="s">
        <v>1179</v>
      </c>
      <c r="C994" s="1321">
        <v>1979</v>
      </c>
      <c r="D994" s="1321"/>
      <c r="E994" s="1319" t="s">
        <v>219</v>
      </c>
      <c r="F994" s="1321">
        <v>5</v>
      </c>
      <c r="G994" s="1321">
        <v>4</v>
      </c>
      <c r="H994" s="985">
        <v>3427.8</v>
      </c>
      <c r="I994" s="985">
        <v>2935.9</v>
      </c>
      <c r="J994" s="985">
        <v>2751.4</v>
      </c>
      <c r="K994" s="1030">
        <v>102</v>
      </c>
      <c r="L994" s="986">
        <v>4292135.58</v>
      </c>
      <c r="M994" s="986">
        <v>0</v>
      </c>
      <c r="N994" s="986">
        <v>0</v>
      </c>
      <c r="O994" s="986">
        <f t="shared" si="222"/>
        <v>4292135.58</v>
      </c>
      <c r="P994" s="993">
        <v>0</v>
      </c>
      <c r="Q994" s="986">
        <v>0</v>
      </c>
      <c r="R994" s="987">
        <v>2022</v>
      </c>
      <c r="S994" s="987">
        <v>2023</v>
      </c>
    </row>
    <row r="995" spans="1:19" ht="42.6" customHeight="1">
      <c r="A995" s="1319"/>
      <c r="B995" s="1427" t="s">
        <v>2046</v>
      </c>
      <c r="C995" s="1427"/>
      <c r="D995" s="1427"/>
      <c r="E995" s="1427"/>
      <c r="F995" s="1427"/>
      <c r="G995" s="1427"/>
      <c r="H995" s="985">
        <f>H996+H997</f>
        <v>1647</v>
      </c>
      <c r="I995" s="985">
        <f t="shared" ref="I995:Q995" si="225">I996+I997</f>
        <v>1518.5</v>
      </c>
      <c r="J995" s="985">
        <f t="shared" si="225"/>
        <v>1307.5999999999999</v>
      </c>
      <c r="K995" s="985">
        <f t="shared" si="225"/>
        <v>45</v>
      </c>
      <c r="L995" s="985">
        <f t="shared" si="225"/>
        <v>14648449.309999999</v>
      </c>
      <c r="M995" s="985">
        <f t="shared" si="225"/>
        <v>0</v>
      </c>
      <c r="N995" s="985">
        <f t="shared" si="225"/>
        <v>66475.100000000006</v>
      </c>
      <c r="O995" s="985">
        <f t="shared" si="225"/>
        <v>14581974.210000001</v>
      </c>
      <c r="P995" s="985">
        <f t="shared" si="225"/>
        <v>0</v>
      </c>
      <c r="Q995" s="985">
        <f t="shared" si="225"/>
        <v>0</v>
      </c>
      <c r="R995" s="991" t="s">
        <v>40</v>
      </c>
      <c r="S995" s="991" t="s">
        <v>40</v>
      </c>
    </row>
    <row r="996" spans="1:19" ht="42.6" customHeight="1">
      <c r="A996" s="1319">
        <v>447</v>
      </c>
      <c r="B996" s="1318" t="s">
        <v>2047</v>
      </c>
      <c r="C996" s="1321">
        <v>1974</v>
      </c>
      <c r="D996" s="1320"/>
      <c r="E996" s="1319" t="s">
        <v>218</v>
      </c>
      <c r="F996" s="1321">
        <v>2</v>
      </c>
      <c r="G996" s="1321">
        <v>2</v>
      </c>
      <c r="H996" s="985">
        <v>830.8</v>
      </c>
      <c r="I996" s="985">
        <v>764.7</v>
      </c>
      <c r="J996" s="985">
        <v>764.7</v>
      </c>
      <c r="K996" s="1030">
        <v>23</v>
      </c>
      <c r="L996" s="993">
        <v>6692193</v>
      </c>
      <c r="M996" s="985">
        <v>0</v>
      </c>
      <c r="N996" s="985">
        <v>0</v>
      </c>
      <c r="O996" s="993">
        <v>6692193</v>
      </c>
      <c r="P996" s="985">
        <v>0</v>
      </c>
      <c r="Q996" s="985">
        <v>0</v>
      </c>
      <c r="R996" s="1321">
        <v>2021</v>
      </c>
      <c r="S996" s="1321">
        <v>2021</v>
      </c>
    </row>
    <row r="997" spans="1:19" ht="42.6" customHeight="1">
      <c r="A997" s="1319">
        <v>448</v>
      </c>
      <c r="B997" s="1316" t="s">
        <v>2062</v>
      </c>
      <c r="C997" s="1321">
        <v>1980</v>
      </c>
      <c r="D997" s="1321"/>
      <c r="E997" s="1319" t="s">
        <v>218</v>
      </c>
      <c r="F997" s="1321">
        <v>2</v>
      </c>
      <c r="G997" s="1321">
        <v>2</v>
      </c>
      <c r="H997" s="985">
        <v>816.2</v>
      </c>
      <c r="I997" s="985">
        <v>753.8</v>
      </c>
      <c r="J997" s="985">
        <v>542.9</v>
      </c>
      <c r="K997" s="1030">
        <v>22</v>
      </c>
      <c r="L997" s="986">
        <v>7956256.3099999996</v>
      </c>
      <c r="M997" s="986">
        <v>0</v>
      </c>
      <c r="N997" s="986">
        <v>66475.100000000006</v>
      </c>
      <c r="O997" s="986">
        <v>7889781.21</v>
      </c>
      <c r="P997" s="993">
        <v>0</v>
      </c>
      <c r="Q997" s="986">
        <v>0</v>
      </c>
      <c r="R997" s="987">
        <v>2022</v>
      </c>
      <c r="S997" s="987">
        <v>2022</v>
      </c>
    </row>
    <row r="998" spans="1:19" ht="34.15" customHeight="1">
      <c r="A998" s="1319"/>
      <c r="B998" s="1313" t="s">
        <v>1118</v>
      </c>
      <c r="C998" s="1321"/>
      <c r="D998" s="1096"/>
      <c r="E998" s="1319"/>
      <c r="F998" s="1321"/>
      <c r="G998" s="1321"/>
      <c r="H998" s="985">
        <f>H999+H1000+H1001</f>
        <v>2532.3000000000002</v>
      </c>
      <c r="I998" s="985">
        <f t="shared" ref="I998:Q998" si="226">I999+I1000+I1001</f>
        <v>2408.6999999999998</v>
      </c>
      <c r="J998" s="985">
        <f t="shared" si="226"/>
        <v>2109.3999999999996</v>
      </c>
      <c r="K998" s="985">
        <f t="shared" si="226"/>
        <v>126</v>
      </c>
      <c r="L998" s="985">
        <f t="shared" si="226"/>
        <v>7002836.7800000003</v>
      </c>
      <c r="M998" s="985">
        <f t="shared" si="226"/>
        <v>0</v>
      </c>
      <c r="N998" s="985">
        <f t="shared" si="226"/>
        <v>0</v>
      </c>
      <c r="O998" s="985">
        <f t="shared" si="226"/>
        <v>7002836.7800000003</v>
      </c>
      <c r="P998" s="985">
        <f t="shared" si="226"/>
        <v>0</v>
      </c>
      <c r="Q998" s="985">
        <f t="shared" si="226"/>
        <v>0</v>
      </c>
      <c r="R998" s="991" t="s">
        <v>40</v>
      </c>
      <c r="S998" s="991" t="s">
        <v>40</v>
      </c>
    </row>
    <row r="999" spans="1:19" ht="36.6" customHeight="1">
      <c r="A999" s="1319">
        <v>449</v>
      </c>
      <c r="B999" s="1313" t="s">
        <v>1128</v>
      </c>
      <c r="C999" s="1321">
        <v>1990</v>
      </c>
      <c r="D999" s="1313"/>
      <c r="E999" s="1319" t="s">
        <v>219</v>
      </c>
      <c r="F999" s="1321">
        <v>3</v>
      </c>
      <c r="G999" s="1321">
        <v>3</v>
      </c>
      <c r="H999" s="985">
        <v>1344.1</v>
      </c>
      <c r="I999" s="985">
        <v>1284.0999999999999</v>
      </c>
      <c r="J999" s="985">
        <v>1284.0999999999999</v>
      </c>
      <c r="K999" s="1030">
        <v>61</v>
      </c>
      <c r="L999" s="986">
        <v>3003203.02</v>
      </c>
      <c r="M999" s="986">
        <v>0</v>
      </c>
      <c r="N999" s="986">
        <v>0</v>
      </c>
      <c r="O999" s="986">
        <v>3003203.02</v>
      </c>
      <c r="P999" s="993">
        <v>0</v>
      </c>
      <c r="Q999" s="986">
        <v>0</v>
      </c>
      <c r="R999" s="987">
        <v>2022</v>
      </c>
      <c r="S999" s="987">
        <v>2023</v>
      </c>
    </row>
    <row r="1000" spans="1:19" ht="43.15" customHeight="1">
      <c r="A1000" s="1319">
        <v>450</v>
      </c>
      <c r="B1000" s="1313" t="s">
        <v>1180</v>
      </c>
      <c r="C1000" s="1321">
        <v>1961</v>
      </c>
      <c r="D1000" s="1313"/>
      <c r="E1000" s="1319" t="s">
        <v>218</v>
      </c>
      <c r="F1000" s="1321">
        <v>2</v>
      </c>
      <c r="G1000" s="1321">
        <v>2</v>
      </c>
      <c r="H1000" s="985">
        <v>411.7</v>
      </c>
      <c r="I1000" s="985">
        <v>380</v>
      </c>
      <c r="J1000" s="985">
        <v>188.1</v>
      </c>
      <c r="K1000" s="1030">
        <v>33</v>
      </c>
      <c r="L1000" s="986">
        <v>2689563.73</v>
      </c>
      <c r="M1000" s="986">
        <v>0</v>
      </c>
      <c r="N1000" s="986">
        <v>0</v>
      </c>
      <c r="O1000" s="986">
        <v>2689563.73</v>
      </c>
      <c r="P1000" s="993">
        <v>0</v>
      </c>
      <c r="Q1000" s="986">
        <v>0</v>
      </c>
      <c r="R1000" s="987">
        <v>2022</v>
      </c>
      <c r="S1000" s="987">
        <v>2023</v>
      </c>
    </row>
    <row r="1001" spans="1:19" ht="37.15" customHeight="1">
      <c r="A1001" s="1319">
        <v>451</v>
      </c>
      <c r="B1001" s="1313" t="s">
        <v>1190</v>
      </c>
      <c r="C1001" s="1321">
        <v>1980</v>
      </c>
      <c r="D1001" s="1321">
        <v>2008</v>
      </c>
      <c r="E1001" s="1319" t="s">
        <v>218</v>
      </c>
      <c r="F1001" s="1321">
        <v>2</v>
      </c>
      <c r="G1001" s="1321">
        <v>2</v>
      </c>
      <c r="H1001" s="985">
        <v>776.5</v>
      </c>
      <c r="I1001" s="985">
        <v>744.6</v>
      </c>
      <c r="J1001" s="985">
        <v>637.20000000000005</v>
      </c>
      <c r="K1001" s="1030">
        <v>32</v>
      </c>
      <c r="L1001" s="986">
        <v>1310070.03</v>
      </c>
      <c r="M1001" s="986">
        <v>0</v>
      </c>
      <c r="N1001" s="986">
        <v>0</v>
      </c>
      <c r="O1001" s="986">
        <v>1310070.03</v>
      </c>
      <c r="P1001" s="993">
        <v>0</v>
      </c>
      <c r="Q1001" s="986">
        <v>0</v>
      </c>
      <c r="R1001" s="987">
        <v>2022</v>
      </c>
      <c r="S1001" s="987">
        <v>2023</v>
      </c>
    </row>
    <row r="1002" spans="1:19" ht="41.45" customHeight="1">
      <c r="A1002" s="1319"/>
      <c r="B1002" s="1313" t="s">
        <v>2005</v>
      </c>
      <c r="C1002" s="1321"/>
      <c r="D1002" s="1321"/>
      <c r="E1002" s="1319"/>
      <c r="F1002" s="1321"/>
      <c r="G1002" s="1321"/>
      <c r="H1002" s="985">
        <f>H1003+H1004</f>
        <v>975.3</v>
      </c>
      <c r="I1002" s="985">
        <f t="shared" ref="I1002:Q1002" si="227">I1003+I1004</f>
        <v>888.1</v>
      </c>
      <c r="J1002" s="985">
        <f t="shared" si="227"/>
        <v>888.1</v>
      </c>
      <c r="K1002" s="985">
        <f t="shared" si="227"/>
        <v>27</v>
      </c>
      <c r="L1002" s="985">
        <f t="shared" si="227"/>
        <v>3611200.94</v>
      </c>
      <c r="M1002" s="985">
        <f t="shared" si="227"/>
        <v>0</v>
      </c>
      <c r="N1002" s="985">
        <f t="shared" si="227"/>
        <v>0</v>
      </c>
      <c r="O1002" s="985">
        <f t="shared" si="227"/>
        <v>3611200.94</v>
      </c>
      <c r="P1002" s="985">
        <f t="shared" si="227"/>
        <v>0</v>
      </c>
      <c r="Q1002" s="985">
        <f t="shared" si="227"/>
        <v>0</v>
      </c>
      <c r="R1002" s="991" t="s">
        <v>40</v>
      </c>
      <c r="S1002" s="991" t="s">
        <v>40</v>
      </c>
    </row>
    <row r="1003" spans="1:19" ht="69.75" customHeight="1">
      <c r="A1003" s="1319">
        <v>452</v>
      </c>
      <c r="B1003" s="1313" t="s">
        <v>2008</v>
      </c>
      <c r="C1003" s="1321">
        <v>1967</v>
      </c>
      <c r="D1003" s="1321"/>
      <c r="E1003" s="1319" t="s">
        <v>218</v>
      </c>
      <c r="F1003" s="1321">
        <v>2</v>
      </c>
      <c r="G1003" s="1321">
        <v>2</v>
      </c>
      <c r="H1003" s="985">
        <v>561.1</v>
      </c>
      <c r="I1003" s="985">
        <v>514.1</v>
      </c>
      <c r="J1003" s="985">
        <v>514.1</v>
      </c>
      <c r="K1003" s="1030">
        <v>12</v>
      </c>
      <c r="L1003" s="986">
        <v>2020908.2</v>
      </c>
      <c r="M1003" s="986">
        <v>0</v>
      </c>
      <c r="N1003" s="986">
        <v>0</v>
      </c>
      <c r="O1003" s="986">
        <v>2020908.2</v>
      </c>
      <c r="P1003" s="993">
        <v>0</v>
      </c>
      <c r="Q1003" s="986">
        <v>0</v>
      </c>
      <c r="R1003" s="987">
        <v>2022</v>
      </c>
      <c r="S1003" s="987">
        <v>2023</v>
      </c>
    </row>
    <row r="1004" spans="1:19" ht="54" customHeight="1">
      <c r="A1004" s="1319">
        <v>453</v>
      </c>
      <c r="B1004" s="1313" t="s">
        <v>2009</v>
      </c>
      <c r="C1004" s="1321">
        <v>1967</v>
      </c>
      <c r="D1004" s="1321"/>
      <c r="E1004" s="1319" t="s">
        <v>218</v>
      </c>
      <c r="F1004" s="1321">
        <v>2</v>
      </c>
      <c r="G1004" s="1321">
        <v>2</v>
      </c>
      <c r="H1004" s="985">
        <v>414.2</v>
      </c>
      <c r="I1004" s="985">
        <v>374</v>
      </c>
      <c r="J1004" s="985">
        <v>374</v>
      </c>
      <c r="K1004" s="1030">
        <v>15</v>
      </c>
      <c r="L1004" s="986">
        <v>1590292.74</v>
      </c>
      <c r="M1004" s="986">
        <v>0</v>
      </c>
      <c r="N1004" s="986">
        <v>0</v>
      </c>
      <c r="O1004" s="986">
        <v>1590292.74</v>
      </c>
      <c r="P1004" s="993">
        <v>0</v>
      </c>
      <c r="Q1004" s="986">
        <v>0</v>
      </c>
      <c r="R1004" s="987">
        <v>2022</v>
      </c>
      <c r="S1004" s="987">
        <v>2023</v>
      </c>
    </row>
    <row r="1005" spans="1:19" ht="33" customHeight="1">
      <c r="A1005" s="1319"/>
      <c r="B1005" s="1313" t="s">
        <v>1100</v>
      </c>
      <c r="C1005" s="1321"/>
      <c r="D1005" s="1096"/>
      <c r="E1005" s="1319"/>
      <c r="F1005" s="1321"/>
      <c r="G1005" s="1321"/>
      <c r="H1005" s="985">
        <f t="shared" ref="H1005:Q1005" si="228">SUM(H1006:H1010)</f>
        <v>7034.2</v>
      </c>
      <c r="I1005" s="985">
        <f t="shared" si="228"/>
        <v>6475.2</v>
      </c>
      <c r="J1005" s="985">
        <f t="shared" si="228"/>
        <v>6421.5</v>
      </c>
      <c r="K1005" s="1030">
        <f t="shared" si="228"/>
        <v>267</v>
      </c>
      <c r="L1005" s="985">
        <f t="shared" si="228"/>
        <v>13889826.600000001</v>
      </c>
      <c r="M1005" s="985">
        <f t="shared" si="228"/>
        <v>0</v>
      </c>
      <c r="N1005" s="985">
        <f t="shared" si="228"/>
        <v>0</v>
      </c>
      <c r="O1005" s="985">
        <f t="shared" si="228"/>
        <v>13889826.600000001</v>
      </c>
      <c r="P1005" s="985">
        <f t="shared" si="228"/>
        <v>0</v>
      </c>
      <c r="Q1005" s="985">
        <f t="shared" si="228"/>
        <v>0</v>
      </c>
      <c r="R1005" s="991" t="s">
        <v>40</v>
      </c>
      <c r="S1005" s="991" t="s">
        <v>40</v>
      </c>
    </row>
    <row r="1006" spans="1:19" ht="41.45" customHeight="1">
      <c r="A1006" s="1319">
        <v>454</v>
      </c>
      <c r="B1006" s="1029" t="s">
        <v>1290</v>
      </c>
      <c r="C1006" s="987">
        <v>1992</v>
      </c>
      <c r="D1006" s="1030"/>
      <c r="E1006" s="1319" t="s">
        <v>219</v>
      </c>
      <c r="F1006" s="987">
        <v>5</v>
      </c>
      <c r="G1006" s="987">
        <v>4</v>
      </c>
      <c r="H1006" s="993">
        <v>3349.7</v>
      </c>
      <c r="I1006" s="993">
        <v>3054.1</v>
      </c>
      <c r="J1006" s="993">
        <v>3000.4</v>
      </c>
      <c r="K1006" s="987">
        <v>125</v>
      </c>
      <c r="L1006" s="986">
        <v>2790331.41</v>
      </c>
      <c r="M1006" s="986">
        <v>0</v>
      </c>
      <c r="N1006" s="986">
        <v>0</v>
      </c>
      <c r="O1006" s="986">
        <v>2790331.41</v>
      </c>
      <c r="P1006" s="993">
        <f t="shared" si="212"/>
        <v>0</v>
      </c>
      <c r="Q1006" s="986">
        <v>0</v>
      </c>
      <c r="R1006" s="987">
        <v>2019</v>
      </c>
      <c r="S1006" s="987">
        <v>2023</v>
      </c>
    </row>
    <row r="1007" spans="1:19" ht="41.45" customHeight="1">
      <c r="A1007" s="1319">
        <v>455</v>
      </c>
      <c r="B1007" s="1029" t="s">
        <v>1181</v>
      </c>
      <c r="C1007" s="1030">
        <v>1983</v>
      </c>
      <c r="D1007" s="1031"/>
      <c r="E1007" s="1319" t="s">
        <v>219</v>
      </c>
      <c r="F1007" s="987">
        <v>5</v>
      </c>
      <c r="G1007" s="987">
        <v>2</v>
      </c>
      <c r="H1007" s="993">
        <v>1649.5</v>
      </c>
      <c r="I1007" s="993">
        <v>1512.2</v>
      </c>
      <c r="J1007" s="993">
        <v>1512.2</v>
      </c>
      <c r="K1007" s="987">
        <v>65</v>
      </c>
      <c r="L1007" s="986">
        <v>1405237.49</v>
      </c>
      <c r="M1007" s="986">
        <v>0</v>
      </c>
      <c r="N1007" s="986">
        <v>0</v>
      </c>
      <c r="O1007" s="986">
        <v>1405237.49</v>
      </c>
      <c r="P1007" s="993">
        <f t="shared" ref="P1007:P1050" si="229">Q1007</f>
        <v>0</v>
      </c>
      <c r="Q1007" s="986">
        <v>0</v>
      </c>
      <c r="R1007" s="987">
        <v>2019</v>
      </c>
      <c r="S1007" s="987">
        <v>2023</v>
      </c>
    </row>
    <row r="1008" spans="1:19" ht="41.45" customHeight="1">
      <c r="A1008" s="1319">
        <v>456</v>
      </c>
      <c r="B1008" s="1029" t="s">
        <v>1291</v>
      </c>
      <c r="C1008" s="987">
        <v>1977</v>
      </c>
      <c r="D1008" s="1030"/>
      <c r="E1008" s="1319" t="s">
        <v>218</v>
      </c>
      <c r="F1008" s="987">
        <v>2</v>
      </c>
      <c r="G1008" s="987">
        <v>2</v>
      </c>
      <c r="H1008" s="993">
        <v>829.3</v>
      </c>
      <c r="I1008" s="993">
        <v>753</v>
      </c>
      <c r="J1008" s="993">
        <v>753</v>
      </c>
      <c r="K1008" s="987">
        <v>27</v>
      </c>
      <c r="L1008" s="986">
        <v>4931773.08</v>
      </c>
      <c r="M1008" s="986">
        <v>0</v>
      </c>
      <c r="N1008" s="986">
        <v>0</v>
      </c>
      <c r="O1008" s="986">
        <f>L1008</f>
        <v>4931773.08</v>
      </c>
      <c r="P1008" s="993">
        <v>0</v>
      </c>
      <c r="Q1008" s="986">
        <v>0</v>
      </c>
      <c r="R1008" s="987">
        <v>2019</v>
      </c>
      <c r="S1008" s="987">
        <v>2023</v>
      </c>
    </row>
    <row r="1009" spans="1:19" ht="41.45" customHeight="1">
      <c r="A1009" s="1319">
        <v>457</v>
      </c>
      <c r="B1009" s="1029" t="s">
        <v>1144</v>
      </c>
      <c r="C1009" s="1030">
        <v>1965</v>
      </c>
      <c r="D1009" s="1031"/>
      <c r="E1009" s="1319" t="s">
        <v>218</v>
      </c>
      <c r="F1009" s="987">
        <v>2</v>
      </c>
      <c r="G1009" s="987">
        <v>3</v>
      </c>
      <c r="H1009" s="993">
        <v>577.5</v>
      </c>
      <c r="I1009" s="993">
        <v>577.5</v>
      </c>
      <c r="J1009" s="993">
        <v>577.5</v>
      </c>
      <c r="K1009" s="987">
        <v>26</v>
      </c>
      <c r="L1009" s="986">
        <v>3323689.62</v>
      </c>
      <c r="M1009" s="986">
        <v>0</v>
      </c>
      <c r="N1009" s="986">
        <v>0</v>
      </c>
      <c r="O1009" s="986">
        <v>3323689.62</v>
      </c>
      <c r="P1009" s="993">
        <v>0</v>
      </c>
      <c r="Q1009" s="986">
        <v>0</v>
      </c>
      <c r="R1009" s="987">
        <v>2021</v>
      </c>
      <c r="S1009" s="987">
        <v>2023</v>
      </c>
    </row>
    <row r="1010" spans="1:19" ht="41.45" customHeight="1">
      <c r="A1010" s="1319">
        <v>458</v>
      </c>
      <c r="B1010" s="1029" t="s">
        <v>1275</v>
      </c>
      <c r="C1010" s="1030">
        <v>1980</v>
      </c>
      <c r="D1010" s="1031"/>
      <c r="E1010" s="1319" t="s">
        <v>218</v>
      </c>
      <c r="F1010" s="987">
        <v>2</v>
      </c>
      <c r="G1010" s="987">
        <v>2</v>
      </c>
      <c r="H1010" s="993">
        <v>628.20000000000005</v>
      </c>
      <c r="I1010" s="993">
        <v>578.4</v>
      </c>
      <c r="J1010" s="993">
        <v>578.4</v>
      </c>
      <c r="K1010" s="987">
        <v>24</v>
      </c>
      <c r="L1010" s="986">
        <v>1438795</v>
      </c>
      <c r="M1010" s="986">
        <v>0</v>
      </c>
      <c r="N1010" s="986">
        <v>0</v>
      </c>
      <c r="O1010" s="986">
        <v>1438795</v>
      </c>
      <c r="P1010" s="993">
        <v>0</v>
      </c>
      <c r="Q1010" s="986">
        <v>0</v>
      </c>
      <c r="R1010" s="987">
        <v>2021</v>
      </c>
      <c r="S1010" s="987">
        <v>2023</v>
      </c>
    </row>
    <row r="1011" spans="1:19" ht="42" customHeight="1">
      <c r="A1011" s="1319"/>
      <c r="B1011" s="1317" t="s">
        <v>1239</v>
      </c>
      <c r="C1011" s="1321"/>
      <c r="D1011" s="1096"/>
      <c r="E1011" s="1319"/>
      <c r="F1011" s="1321"/>
      <c r="G1011" s="1321"/>
      <c r="H1011" s="993">
        <f>H1012+H1013</f>
        <v>1366.5</v>
      </c>
      <c r="I1011" s="993">
        <f t="shared" ref="I1011:Q1011" si="230">I1012+I1013</f>
        <v>1269.5</v>
      </c>
      <c r="J1011" s="993">
        <f t="shared" si="230"/>
        <v>1087.5</v>
      </c>
      <c r="K1011" s="1098">
        <f t="shared" si="230"/>
        <v>56</v>
      </c>
      <c r="L1011" s="993">
        <f t="shared" si="230"/>
        <v>4992786.5399999991</v>
      </c>
      <c r="M1011" s="993">
        <f t="shared" si="230"/>
        <v>0</v>
      </c>
      <c r="N1011" s="993">
        <f t="shared" si="230"/>
        <v>0</v>
      </c>
      <c r="O1011" s="993">
        <f t="shared" si="230"/>
        <v>4992786.5399999991</v>
      </c>
      <c r="P1011" s="993">
        <f t="shared" si="230"/>
        <v>0</v>
      </c>
      <c r="Q1011" s="993">
        <f t="shared" si="230"/>
        <v>0</v>
      </c>
      <c r="R1011" s="991" t="s">
        <v>40</v>
      </c>
      <c r="S1011" s="991" t="s">
        <v>40</v>
      </c>
    </row>
    <row r="1012" spans="1:19" ht="42" customHeight="1">
      <c r="A1012" s="1319">
        <v>459</v>
      </c>
      <c r="B1012" s="1317" t="s">
        <v>1129</v>
      </c>
      <c r="C1012" s="1321">
        <v>1973</v>
      </c>
      <c r="D1012" s="1096"/>
      <c r="E1012" s="1319" t="s">
        <v>219</v>
      </c>
      <c r="F1012" s="1321">
        <v>2</v>
      </c>
      <c r="G1012" s="1321">
        <v>2</v>
      </c>
      <c r="H1012" s="993">
        <v>583.29999999999995</v>
      </c>
      <c r="I1012" s="993">
        <v>534.70000000000005</v>
      </c>
      <c r="J1012" s="993">
        <v>534.70000000000005</v>
      </c>
      <c r="K1012" s="987">
        <v>24</v>
      </c>
      <c r="L1012" s="993">
        <v>2881052.53</v>
      </c>
      <c r="M1012" s="993"/>
      <c r="N1012" s="993"/>
      <c r="O1012" s="993">
        <v>2881052.53</v>
      </c>
      <c r="P1012" s="993">
        <v>0</v>
      </c>
      <c r="Q1012" s="993">
        <v>0</v>
      </c>
      <c r="R1012" s="987">
        <v>2022</v>
      </c>
      <c r="S1012" s="987">
        <v>2023</v>
      </c>
    </row>
    <row r="1013" spans="1:19" ht="39.6" customHeight="1">
      <c r="A1013" s="1319">
        <v>460</v>
      </c>
      <c r="B1013" s="1029" t="s">
        <v>1292</v>
      </c>
      <c r="C1013" s="1030">
        <v>1978</v>
      </c>
      <c r="D1013" s="1031"/>
      <c r="E1013" s="1319" t="s">
        <v>218</v>
      </c>
      <c r="F1013" s="987">
        <v>2</v>
      </c>
      <c r="G1013" s="987">
        <v>2</v>
      </c>
      <c r="H1013" s="993">
        <v>783.2</v>
      </c>
      <c r="I1013" s="993">
        <v>734.8</v>
      </c>
      <c r="J1013" s="993">
        <v>552.79999999999995</v>
      </c>
      <c r="K1013" s="987">
        <v>32</v>
      </c>
      <c r="L1013" s="986">
        <v>2111734.0099999998</v>
      </c>
      <c r="M1013" s="986">
        <v>0</v>
      </c>
      <c r="N1013" s="986">
        <v>0</v>
      </c>
      <c r="O1013" s="986">
        <v>2111734.0099999998</v>
      </c>
      <c r="P1013" s="993">
        <f t="shared" si="229"/>
        <v>0</v>
      </c>
      <c r="Q1013" s="986">
        <v>0</v>
      </c>
      <c r="R1013" s="987">
        <v>2019</v>
      </c>
      <c r="S1013" s="987">
        <v>2023</v>
      </c>
    </row>
    <row r="1014" spans="1:19" ht="46.5" customHeight="1">
      <c r="A1014" s="1319"/>
      <c r="B1014" s="1029" t="s">
        <v>1117</v>
      </c>
      <c r="C1014" s="1030"/>
      <c r="D1014" s="1031"/>
      <c r="E1014" s="1319"/>
      <c r="F1014" s="987"/>
      <c r="G1014" s="987"/>
      <c r="H1014" s="993">
        <f>H1015+H1016</f>
        <v>1827.8000000000002</v>
      </c>
      <c r="I1014" s="993">
        <f t="shared" ref="I1014:Q1014" si="231">I1015+I1016</f>
        <v>1827.8000000000002</v>
      </c>
      <c r="J1014" s="993">
        <f t="shared" si="231"/>
        <v>1279.5999999999999</v>
      </c>
      <c r="K1014" s="993">
        <f t="shared" si="231"/>
        <v>48</v>
      </c>
      <c r="L1014" s="993">
        <f t="shared" si="231"/>
        <v>4106879</v>
      </c>
      <c r="M1014" s="993">
        <f t="shared" si="231"/>
        <v>0</v>
      </c>
      <c r="N1014" s="993">
        <f t="shared" si="231"/>
        <v>0</v>
      </c>
      <c r="O1014" s="993">
        <f t="shared" si="231"/>
        <v>4106879</v>
      </c>
      <c r="P1014" s="993">
        <f t="shared" si="231"/>
        <v>0</v>
      </c>
      <c r="Q1014" s="993">
        <f t="shared" si="231"/>
        <v>0</v>
      </c>
      <c r="R1014" s="991" t="s">
        <v>40</v>
      </c>
      <c r="S1014" s="991" t="s">
        <v>40</v>
      </c>
    </row>
    <row r="1015" spans="1:19" ht="46.5" customHeight="1">
      <c r="A1015" s="1319">
        <v>461</v>
      </c>
      <c r="B1015" s="1029" t="s">
        <v>1363</v>
      </c>
      <c r="C1015" s="1030">
        <v>1969</v>
      </c>
      <c r="D1015" s="1031"/>
      <c r="E1015" s="1319" t="s">
        <v>218</v>
      </c>
      <c r="F1015" s="987">
        <v>2</v>
      </c>
      <c r="G1015" s="987">
        <v>2</v>
      </c>
      <c r="H1015" s="993">
        <v>454.6</v>
      </c>
      <c r="I1015" s="993">
        <v>454.6</v>
      </c>
      <c r="J1015" s="993">
        <v>454.6</v>
      </c>
      <c r="K1015" s="987">
        <v>14</v>
      </c>
      <c r="L1015" s="986">
        <v>1662772</v>
      </c>
      <c r="M1015" s="986">
        <v>0</v>
      </c>
      <c r="N1015" s="986">
        <v>0</v>
      </c>
      <c r="O1015" s="986">
        <v>1662772</v>
      </c>
      <c r="P1015" s="993">
        <v>0</v>
      </c>
      <c r="Q1015" s="986">
        <v>0</v>
      </c>
      <c r="R1015" s="987">
        <v>2022</v>
      </c>
      <c r="S1015" s="987">
        <v>2023</v>
      </c>
    </row>
    <row r="1016" spans="1:19">
      <c r="A1016" s="1319">
        <v>462</v>
      </c>
      <c r="B1016" s="1029" t="s">
        <v>1329</v>
      </c>
      <c r="C1016" s="1030">
        <v>1982</v>
      </c>
      <c r="D1016" s="1031"/>
      <c r="E1016" s="1319" t="s">
        <v>220</v>
      </c>
      <c r="F1016" s="987">
        <v>3</v>
      </c>
      <c r="G1016" s="987">
        <v>3</v>
      </c>
      <c r="H1016" s="993">
        <v>1373.2</v>
      </c>
      <c r="I1016" s="993">
        <v>1373.2</v>
      </c>
      <c r="J1016" s="993">
        <v>825</v>
      </c>
      <c r="K1016" s="987">
        <v>34</v>
      </c>
      <c r="L1016" s="986">
        <v>2444107</v>
      </c>
      <c r="M1016" s="986">
        <v>0</v>
      </c>
      <c r="N1016" s="986">
        <v>0</v>
      </c>
      <c r="O1016" s="986">
        <v>2444107</v>
      </c>
      <c r="P1016" s="993">
        <v>0</v>
      </c>
      <c r="Q1016" s="986">
        <v>0</v>
      </c>
      <c r="R1016" s="987">
        <v>2022</v>
      </c>
      <c r="S1016" s="987">
        <v>2023</v>
      </c>
    </row>
    <row r="1017" spans="1:19" ht="45" customHeight="1">
      <c r="A1017" s="1319"/>
      <c r="B1017" s="1317" t="s">
        <v>1245</v>
      </c>
      <c r="C1017" s="1321"/>
      <c r="D1017" s="1096"/>
      <c r="E1017" s="1319"/>
      <c r="F1017" s="1321"/>
      <c r="G1017" s="1321"/>
      <c r="H1017" s="985">
        <f>SUM(H1018:H1030)</f>
        <v>10338.6</v>
      </c>
      <c r="I1017" s="985">
        <f t="shared" ref="I1017:Q1017" si="232">SUM(I1018:I1030)</f>
        <v>8048.5000000000009</v>
      </c>
      <c r="J1017" s="985">
        <f t="shared" si="232"/>
        <v>8049.0000000000009</v>
      </c>
      <c r="K1017" s="985">
        <f t="shared" si="232"/>
        <v>419</v>
      </c>
      <c r="L1017" s="985">
        <f t="shared" si="232"/>
        <v>35375596.030000001</v>
      </c>
      <c r="M1017" s="985">
        <f t="shared" si="232"/>
        <v>0</v>
      </c>
      <c r="N1017" s="985">
        <f t="shared" si="232"/>
        <v>0</v>
      </c>
      <c r="O1017" s="985">
        <f t="shared" si="232"/>
        <v>35375596.030000001</v>
      </c>
      <c r="P1017" s="985">
        <f t="shared" si="232"/>
        <v>0</v>
      </c>
      <c r="Q1017" s="985">
        <f t="shared" si="232"/>
        <v>0</v>
      </c>
      <c r="R1017" s="991" t="s">
        <v>40</v>
      </c>
      <c r="S1017" s="991" t="s">
        <v>40</v>
      </c>
    </row>
    <row r="1018" spans="1:19" ht="37.5">
      <c r="A1018" s="1319">
        <v>463</v>
      </c>
      <c r="B1018" s="1313" t="s">
        <v>1322</v>
      </c>
      <c r="C1018" s="1321">
        <v>1917</v>
      </c>
      <c r="D1018" s="1321"/>
      <c r="E1018" s="1319" t="s">
        <v>218</v>
      </c>
      <c r="F1018" s="1321">
        <v>1</v>
      </c>
      <c r="G1018" s="1321">
        <v>3</v>
      </c>
      <c r="H1018" s="985">
        <v>657.7</v>
      </c>
      <c r="I1018" s="985">
        <v>438.5</v>
      </c>
      <c r="J1018" s="985">
        <v>439</v>
      </c>
      <c r="K1018" s="1030">
        <v>38</v>
      </c>
      <c r="L1018" s="986">
        <v>3257328.82</v>
      </c>
      <c r="M1018" s="986">
        <v>0</v>
      </c>
      <c r="N1018" s="986">
        <v>0</v>
      </c>
      <c r="O1018" s="986">
        <f>L1018</f>
        <v>3257328.82</v>
      </c>
      <c r="P1018" s="993">
        <f t="shared" si="229"/>
        <v>0</v>
      </c>
      <c r="Q1018" s="986">
        <v>0</v>
      </c>
      <c r="R1018" s="987">
        <v>2019</v>
      </c>
      <c r="S1018" s="987">
        <v>2023</v>
      </c>
    </row>
    <row r="1019" spans="1:19" ht="37.5">
      <c r="A1019" s="1319">
        <v>464</v>
      </c>
      <c r="B1019" s="1313" t="s">
        <v>1323</v>
      </c>
      <c r="C1019" s="1321" t="s">
        <v>190</v>
      </c>
      <c r="D1019" s="1321"/>
      <c r="E1019" s="1319" t="s">
        <v>218</v>
      </c>
      <c r="F1019" s="1321">
        <v>2</v>
      </c>
      <c r="G1019" s="1321">
        <v>1</v>
      </c>
      <c r="H1019" s="985">
        <v>241</v>
      </c>
      <c r="I1019" s="985">
        <v>214.8</v>
      </c>
      <c r="J1019" s="985">
        <v>214.8</v>
      </c>
      <c r="K1019" s="1030">
        <v>15</v>
      </c>
      <c r="L1019" s="986">
        <v>1206575.99</v>
      </c>
      <c r="M1019" s="986">
        <v>0</v>
      </c>
      <c r="N1019" s="986">
        <v>0</v>
      </c>
      <c r="O1019" s="986">
        <f>L1019</f>
        <v>1206575.99</v>
      </c>
      <c r="P1019" s="993">
        <v>0</v>
      </c>
      <c r="Q1019" s="986">
        <v>0</v>
      </c>
      <c r="R1019" s="987">
        <v>2019</v>
      </c>
      <c r="S1019" s="987">
        <v>2023</v>
      </c>
    </row>
    <row r="1020" spans="1:19" ht="29.25" customHeight="1">
      <c r="A1020" s="1319">
        <v>465</v>
      </c>
      <c r="B1020" s="1313" t="s">
        <v>1322</v>
      </c>
      <c r="C1020" s="1321">
        <v>1917</v>
      </c>
      <c r="D1020" s="1321"/>
      <c r="E1020" s="1319" t="s">
        <v>218</v>
      </c>
      <c r="F1020" s="1321">
        <v>1</v>
      </c>
      <c r="G1020" s="1321">
        <v>3</v>
      </c>
      <c r="H1020" s="985">
        <v>657.7</v>
      </c>
      <c r="I1020" s="985">
        <v>438.5</v>
      </c>
      <c r="J1020" s="985">
        <v>438.5</v>
      </c>
      <c r="K1020" s="1030">
        <v>38</v>
      </c>
      <c r="L1020" s="986">
        <v>2226132.06</v>
      </c>
      <c r="M1020" s="986">
        <v>0</v>
      </c>
      <c r="N1020" s="986">
        <v>0</v>
      </c>
      <c r="O1020" s="986">
        <f>L1020</f>
        <v>2226132.06</v>
      </c>
      <c r="P1020" s="993">
        <v>0</v>
      </c>
      <c r="Q1020" s="986">
        <v>0</v>
      </c>
      <c r="R1020" s="987">
        <v>2020</v>
      </c>
      <c r="S1020" s="987">
        <v>2023</v>
      </c>
    </row>
    <row r="1021" spans="1:19" ht="37.5">
      <c r="A1021" s="1319">
        <v>466</v>
      </c>
      <c r="B1021" s="1313" t="s">
        <v>1511</v>
      </c>
      <c r="C1021" s="1321">
        <v>1964</v>
      </c>
      <c r="D1021" s="1321"/>
      <c r="E1021" s="1319" t="s">
        <v>218</v>
      </c>
      <c r="F1021" s="1321">
        <v>2</v>
      </c>
      <c r="G1021" s="1321">
        <v>2</v>
      </c>
      <c r="H1021" s="985">
        <v>671.7</v>
      </c>
      <c r="I1021" s="985">
        <v>620.5</v>
      </c>
      <c r="J1021" s="985">
        <v>620.5</v>
      </c>
      <c r="K1021" s="1030">
        <v>22</v>
      </c>
      <c r="L1021" s="986">
        <v>2520600.35</v>
      </c>
      <c r="M1021" s="986">
        <v>0</v>
      </c>
      <c r="N1021" s="986">
        <v>0</v>
      </c>
      <c r="O1021" s="986">
        <v>2520600.35</v>
      </c>
      <c r="P1021" s="993">
        <v>0</v>
      </c>
      <c r="Q1021" s="986">
        <v>0</v>
      </c>
      <c r="R1021" s="987">
        <v>2021</v>
      </c>
      <c r="S1021" s="987">
        <v>2023</v>
      </c>
    </row>
    <row r="1022" spans="1:19" ht="37.5">
      <c r="A1022" s="1319">
        <v>467</v>
      </c>
      <c r="B1022" s="1313" t="s">
        <v>1512</v>
      </c>
      <c r="C1022" s="1321">
        <v>1958</v>
      </c>
      <c r="D1022" s="1321"/>
      <c r="E1022" s="1319" t="s">
        <v>218</v>
      </c>
      <c r="F1022" s="1321">
        <v>2</v>
      </c>
      <c r="G1022" s="1321">
        <v>2</v>
      </c>
      <c r="H1022" s="985">
        <v>732.2</v>
      </c>
      <c r="I1022" s="985">
        <v>673</v>
      </c>
      <c r="J1022" s="985">
        <v>673</v>
      </c>
      <c r="K1022" s="1030">
        <v>28</v>
      </c>
      <c r="L1022" s="986">
        <v>3921488.08</v>
      </c>
      <c r="M1022" s="986">
        <v>0</v>
      </c>
      <c r="N1022" s="986">
        <v>0</v>
      </c>
      <c r="O1022" s="986">
        <v>3921488.08</v>
      </c>
      <c r="P1022" s="993">
        <v>0</v>
      </c>
      <c r="Q1022" s="986">
        <v>0</v>
      </c>
      <c r="R1022" s="987">
        <v>2021</v>
      </c>
      <c r="S1022" s="987">
        <v>2023</v>
      </c>
    </row>
    <row r="1023" spans="1:19" ht="37.5">
      <c r="A1023" s="1319">
        <v>468</v>
      </c>
      <c r="B1023" s="1313" t="s">
        <v>1327</v>
      </c>
      <c r="C1023" s="1321">
        <v>1964</v>
      </c>
      <c r="D1023" s="1321"/>
      <c r="E1023" s="1319" t="s">
        <v>218</v>
      </c>
      <c r="F1023" s="1321">
        <v>2</v>
      </c>
      <c r="G1023" s="1321">
        <v>1</v>
      </c>
      <c r="H1023" s="985">
        <v>504.2</v>
      </c>
      <c r="I1023" s="985">
        <v>445.8</v>
      </c>
      <c r="J1023" s="985">
        <v>445.8</v>
      </c>
      <c r="K1023" s="1030">
        <v>17</v>
      </c>
      <c r="L1023" s="986">
        <v>1499379</v>
      </c>
      <c r="M1023" s="986">
        <v>0</v>
      </c>
      <c r="N1023" s="986">
        <v>0</v>
      </c>
      <c r="O1023" s="986">
        <v>1499379</v>
      </c>
      <c r="P1023" s="993">
        <v>0</v>
      </c>
      <c r="Q1023" s="986">
        <v>0</v>
      </c>
      <c r="R1023" s="987">
        <v>2021</v>
      </c>
      <c r="S1023" s="987">
        <v>2023</v>
      </c>
    </row>
    <row r="1024" spans="1:19" ht="37.5">
      <c r="A1024" s="1319">
        <v>469</v>
      </c>
      <c r="B1024" s="1313" t="s">
        <v>1513</v>
      </c>
      <c r="C1024" s="1321">
        <v>1968</v>
      </c>
      <c r="D1024" s="1321"/>
      <c r="E1024" s="1319" t="s">
        <v>218</v>
      </c>
      <c r="F1024" s="1321">
        <v>2</v>
      </c>
      <c r="G1024" s="1321">
        <v>2</v>
      </c>
      <c r="H1024" s="985">
        <v>790.3</v>
      </c>
      <c r="I1024" s="985">
        <v>690.6</v>
      </c>
      <c r="J1024" s="985">
        <v>690.6</v>
      </c>
      <c r="K1024" s="1030">
        <v>21</v>
      </c>
      <c r="L1024" s="986">
        <v>2451843.84</v>
      </c>
      <c r="M1024" s="986">
        <v>0</v>
      </c>
      <c r="N1024" s="986">
        <v>0</v>
      </c>
      <c r="O1024" s="986">
        <v>2451843.84</v>
      </c>
      <c r="P1024" s="993">
        <v>0</v>
      </c>
      <c r="Q1024" s="986">
        <v>0</v>
      </c>
      <c r="R1024" s="987">
        <v>2021</v>
      </c>
      <c r="S1024" s="987">
        <v>2023</v>
      </c>
    </row>
    <row r="1025" spans="1:19" ht="37.5">
      <c r="A1025" s="1319">
        <v>470</v>
      </c>
      <c r="B1025" s="1313" t="s">
        <v>1514</v>
      </c>
      <c r="C1025" s="1321">
        <v>1972</v>
      </c>
      <c r="D1025" s="1321"/>
      <c r="E1025" s="1319" t="s">
        <v>218</v>
      </c>
      <c r="F1025" s="1321">
        <v>2</v>
      </c>
      <c r="G1025" s="1321">
        <v>1</v>
      </c>
      <c r="H1025" s="985">
        <v>926</v>
      </c>
      <c r="I1025" s="985">
        <v>788.4</v>
      </c>
      <c r="J1025" s="985">
        <v>788.4</v>
      </c>
      <c r="K1025" s="1030">
        <v>41</v>
      </c>
      <c r="L1025" s="986">
        <v>1774387.33</v>
      </c>
      <c r="M1025" s="986">
        <v>0</v>
      </c>
      <c r="N1025" s="986">
        <v>0</v>
      </c>
      <c r="O1025" s="986">
        <v>1774387.33</v>
      </c>
      <c r="P1025" s="993">
        <v>0</v>
      </c>
      <c r="Q1025" s="986">
        <v>0</v>
      </c>
      <c r="R1025" s="987">
        <v>2021</v>
      </c>
      <c r="S1025" s="987">
        <v>2023</v>
      </c>
    </row>
    <row r="1026" spans="1:19" ht="37.5">
      <c r="A1026" s="1319">
        <v>471</v>
      </c>
      <c r="B1026" s="1313" t="s">
        <v>1319</v>
      </c>
      <c r="C1026" s="1321">
        <v>1917</v>
      </c>
      <c r="D1026" s="1321"/>
      <c r="E1026" s="1319" t="s">
        <v>218</v>
      </c>
      <c r="F1026" s="1321">
        <v>1</v>
      </c>
      <c r="G1026" s="1321">
        <v>3</v>
      </c>
      <c r="H1026" s="985">
        <v>657.7</v>
      </c>
      <c r="I1026" s="985">
        <v>438.5</v>
      </c>
      <c r="J1026" s="985">
        <v>438.5</v>
      </c>
      <c r="K1026" s="1030">
        <v>38</v>
      </c>
      <c r="L1026" s="986">
        <v>5947609.5599999996</v>
      </c>
      <c r="M1026" s="986">
        <v>0</v>
      </c>
      <c r="N1026" s="986">
        <v>0</v>
      </c>
      <c r="O1026" s="986">
        <v>5947609.5599999996</v>
      </c>
      <c r="P1026" s="993">
        <v>0</v>
      </c>
      <c r="Q1026" s="986">
        <v>0</v>
      </c>
      <c r="R1026" s="987">
        <v>2022</v>
      </c>
      <c r="S1026" s="987">
        <v>2023</v>
      </c>
    </row>
    <row r="1027" spans="1:19" ht="37.5">
      <c r="A1027" s="1319">
        <v>472</v>
      </c>
      <c r="B1027" s="1316" t="s">
        <v>2040</v>
      </c>
      <c r="C1027" s="1321">
        <v>1984</v>
      </c>
      <c r="D1027" s="1313"/>
      <c r="E1027" s="1319" t="s">
        <v>218</v>
      </c>
      <c r="F1027" s="1321">
        <v>3</v>
      </c>
      <c r="G1027" s="1321">
        <v>2</v>
      </c>
      <c r="H1027" s="1157">
        <v>1292.3</v>
      </c>
      <c r="I1027" s="1025">
        <v>788.8</v>
      </c>
      <c r="J1027" s="1025">
        <v>788.8</v>
      </c>
      <c r="K1027" s="1032">
        <v>39</v>
      </c>
      <c r="L1027" s="1025">
        <v>4124758</v>
      </c>
      <c r="M1027" s="1018">
        <v>0</v>
      </c>
      <c r="N1027" s="1018">
        <v>0</v>
      </c>
      <c r="O1027" s="1025">
        <v>4124758</v>
      </c>
      <c r="P1027" s="1018">
        <v>0</v>
      </c>
      <c r="Q1027" s="1018">
        <v>0</v>
      </c>
      <c r="R1027" s="1022">
        <v>2020</v>
      </c>
      <c r="S1027" s="1022">
        <v>2020</v>
      </c>
    </row>
    <row r="1028" spans="1:19" ht="37.5">
      <c r="A1028" s="1319">
        <v>473</v>
      </c>
      <c r="B1028" s="1316" t="s">
        <v>2041</v>
      </c>
      <c r="C1028" s="1321">
        <v>1984</v>
      </c>
      <c r="D1028" s="1313"/>
      <c r="E1028" s="1319" t="s">
        <v>218</v>
      </c>
      <c r="F1028" s="1321">
        <v>3</v>
      </c>
      <c r="G1028" s="1321">
        <v>2</v>
      </c>
      <c r="H1028" s="1157">
        <v>1292.3</v>
      </c>
      <c r="I1028" s="1025">
        <v>759</v>
      </c>
      <c r="J1028" s="1025">
        <v>759</v>
      </c>
      <c r="K1028" s="1032">
        <v>30</v>
      </c>
      <c r="L1028" s="1025">
        <v>4124758</v>
      </c>
      <c r="M1028" s="1018">
        <v>0</v>
      </c>
      <c r="N1028" s="1018">
        <v>0</v>
      </c>
      <c r="O1028" s="1025">
        <v>4124758</v>
      </c>
      <c r="P1028" s="1018">
        <v>0</v>
      </c>
      <c r="Q1028" s="1018">
        <v>0</v>
      </c>
      <c r="R1028" s="1022">
        <v>2020</v>
      </c>
      <c r="S1028" s="1022">
        <v>2020</v>
      </c>
    </row>
    <row r="1029" spans="1:19" ht="36.75" customHeight="1">
      <c r="A1029" s="1319">
        <v>474</v>
      </c>
      <c r="B1029" s="1316" t="s">
        <v>2042</v>
      </c>
      <c r="C1029" s="1321">
        <v>1986</v>
      </c>
      <c r="D1029" s="1313"/>
      <c r="E1029" s="1319" t="s">
        <v>219</v>
      </c>
      <c r="F1029" s="1321">
        <v>2</v>
      </c>
      <c r="G1029" s="1321">
        <v>3</v>
      </c>
      <c r="H1029" s="1157">
        <v>955.3</v>
      </c>
      <c r="I1029" s="1025">
        <v>870.5</v>
      </c>
      <c r="J1029" s="1025">
        <v>870.5</v>
      </c>
      <c r="K1029" s="1032">
        <v>51</v>
      </c>
      <c r="L1029" s="1025">
        <v>1157140</v>
      </c>
      <c r="M1029" s="1018">
        <v>0</v>
      </c>
      <c r="N1029" s="1018">
        <v>0</v>
      </c>
      <c r="O1029" s="1025">
        <v>1157140</v>
      </c>
      <c r="P1029" s="1018">
        <v>0</v>
      </c>
      <c r="Q1029" s="1018">
        <v>0</v>
      </c>
      <c r="R1029" s="1022">
        <v>2020</v>
      </c>
      <c r="S1029" s="1022">
        <v>2020</v>
      </c>
    </row>
    <row r="1030" spans="1:19" ht="33.75" customHeight="1">
      <c r="A1030" s="1319">
        <v>475</v>
      </c>
      <c r="B1030" s="1316" t="s">
        <v>2043</v>
      </c>
      <c r="C1030" s="1321">
        <v>1983</v>
      </c>
      <c r="D1030" s="1313"/>
      <c r="E1030" s="1319" t="s">
        <v>219</v>
      </c>
      <c r="F1030" s="1321">
        <v>2</v>
      </c>
      <c r="G1030" s="1321">
        <v>3</v>
      </c>
      <c r="H1030" s="1157">
        <v>960.2</v>
      </c>
      <c r="I1030" s="1025">
        <v>881.6</v>
      </c>
      <c r="J1030" s="1025">
        <v>881.6</v>
      </c>
      <c r="K1030" s="1032">
        <v>41</v>
      </c>
      <c r="L1030" s="1025">
        <v>1163595</v>
      </c>
      <c r="M1030" s="1018">
        <v>0</v>
      </c>
      <c r="N1030" s="1018">
        <v>0</v>
      </c>
      <c r="O1030" s="1025">
        <v>1163595</v>
      </c>
      <c r="P1030" s="1018">
        <v>0</v>
      </c>
      <c r="Q1030" s="1018">
        <v>0</v>
      </c>
      <c r="R1030" s="1022">
        <v>2020</v>
      </c>
      <c r="S1030" s="1022">
        <v>2020</v>
      </c>
    </row>
    <row r="1031" spans="1:19" ht="26.25" customHeight="1">
      <c r="A1031" s="1319"/>
      <c r="B1031" s="1426" t="s">
        <v>211</v>
      </c>
      <c r="C1031" s="1426"/>
      <c r="D1031" s="1426"/>
      <c r="E1031" s="1426"/>
      <c r="F1031" s="1426"/>
      <c r="G1031" s="1426"/>
      <c r="H1031" s="985">
        <f>H1032</f>
        <v>494.8</v>
      </c>
      <c r="I1031" s="985">
        <f t="shared" ref="I1031:Q1031" si="233">I1032</f>
        <v>494.8</v>
      </c>
      <c r="J1031" s="985">
        <f t="shared" si="233"/>
        <v>379.6</v>
      </c>
      <c r="K1031" s="985">
        <f t="shared" si="233"/>
        <v>12</v>
      </c>
      <c r="L1031" s="985">
        <f t="shared" si="233"/>
        <v>1537679</v>
      </c>
      <c r="M1031" s="985">
        <f t="shared" si="233"/>
        <v>0</v>
      </c>
      <c r="N1031" s="985">
        <f t="shared" si="233"/>
        <v>0</v>
      </c>
      <c r="O1031" s="985">
        <f t="shared" si="233"/>
        <v>1537679</v>
      </c>
      <c r="P1031" s="985">
        <f t="shared" si="233"/>
        <v>0</v>
      </c>
      <c r="Q1031" s="985">
        <f t="shared" si="233"/>
        <v>0</v>
      </c>
      <c r="R1031" s="991" t="s">
        <v>40</v>
      </c>
      <c r="S1031" s="991" t="s">
        <v>40</v>
      </c>
    </row>
    <row r="1032" spans="1:19" ht="32.25" customHeight="1">
      <c r="A1032" s="1319"/>
      <c r="B1032" s="1313" t="s">
        <v>2029</v>
      </c>
      <c r="C1032" s="1321"/>
      <c r="D1032" s="1096"/>
      <c r="E1032" s="1319"/>
      <c r="F1032" s="1321"/>
      <c r="G1032" s="1321"/>
      <c r="H1032" s="985">
        <f>H1033</f>
        <v>494.8</v>
      </c>
      <c r="I1032" s="985">
        <f t="shared" ref="I1032:Q1032" si="234">I1033</f>
        <v>494.8</v>
      </c>
      <c r="J1032" s="985">
        <f t="shared" si="234"/>
        <v>379.6</v>
      </c>
      <c r="K1032" s="1030">
        <f t="shared" si="234"/>
        <v>12</v>
      </c>
      <c r="L1032" s="985">
        <f t="shared" si="234"/>
        <v>1537679</v>
      </c>
      <c r="M1032" s="985">
        <f t="shared" si="234"/>
        <v>0</v>
      </c>
      <c r="N1032" s="985">
        <f t="shared" si="234"/>
        <v>0</v>
      </c>
      <c r="O1032" s="985">
        <f t="shared" si="234"/>
        <v>1537679</v>
      </c>
      <c r="P1032" s="985">
        <f t="shared" si="234"/>
        <v>0</v>
      </c>
      <c r="Q1032" s="985">
        <f t="shared" si="234"/>
        <v>0</v>
      </c>
      <c r="R1032" s="991" t="s">
        <v>40</v>
      </c>
      <c r="S1032" s="991" t="s">
        <v>40</v>
      </c>
    </row>
    <row r="1033" spans="1:19" ht="37.5">
      <c r="A1033" s="1319">
        <v>476</v>
      </c>
      <c r="B1033" s="1313" t="s">
        <v>630</v>
      </c>
      <c r="C1033" s="1321">
        <v>1917</v>
      </c>
      <c r="D1033" s="1321"/>
      <c r="E1033" s="1319" t="s">
        <v>218</v>
      </c>
      <c r="F1033" s="1321">
        <v>2</v>
      </c>
      <c r="G1033" s="1321">
        <v>1</v>
      </c>
      <c r="H1033" s="985">
        <v>494.8</v>
      </c>
      <c r="I1033" s="985">
        <v>494.8</v>
      </c>
      <c r="J1033" s="985">
        <v>379.6</v>
      </c>
      <c r="K1033" s="1030">
        <v>12</v>
      </c>
      <c r="L1033" s="986">
        <v>1537679</v>
      </c>
      <c r="M1033" s="986">
        <v>0</v>
      </c>
      <c r="N1033" s="986">
        <v>0</v>
      </c>
      <c r="O1033" s="986">
        <v>1537679</v>
      </c>
      <c r="P1033" s="993">
        <v>0</v>
      </c>
      <c r="Q1033" s="986">
        <v>0</v>
      </c>
      <c r="R1033" s="987">
        <v>2017</v>
      </c>
      <c r="S1033" s="987">
        <v>2023</v>
      </c>
    </row>
    <row r="1034" spans="1:19" ht="38.25" customHeight="1">
      <c r="A1034" s="1319"/>
      <c r="B1034" s="1426" t="s">
        <v>66</v>
      </c>
      <c r="C1034" s="1426"/>
      <c r="D1034" s="1426"/>
      <c r="E1034" s="1426"/>
      <c r="F1034" s="1426"/>
      <c r="G1034" s="1426"/>
      <c r="H1034" s="985">
        <f>H1035</f>
        <v>741.2</v>
      </c>
      <c r="I1034" s="985">
        <f t="shared" ref="I1034:Q1034" si="235">I1035</f>
        <v>575.6</v>
      </c>
      <c r="J1034" s="985">
        <f t="shared" si="235"/>
        <v>471.5</v>
      </c>
      <c r="K1034" s="985">
        <f t="shared" si="235"/>
        <v>35</v>
      </c>
      <c r="L1034" s="985">
        <f t="shared" si="235"/>
        <v>2913878.0300000003</v>
      </c>
      <c r="M1034" s="985">
        <f t="shared" si="235"/>
        <v>0</v>
      </c>
      <c r="N1034" s="985">
        <f t="shared" si="235"/>
        <v>0</v>
      </c>
      <c r="O1034" s="985">
        <f t="shared" si="235"/>
        <v>2577676</v>
      </c>
      <c r="P1034" s="985">
        <f t="shared" si="235"/>
        <v>0</v>
      </c>
      <c r="Q1034" s="985">
        <f t="shared" si="235"/>
        <v>0</v>
      </c>
      <c r="R1034" s="991" t="s">
        <v>40</v>
      </c>
      <c r="S1034" s="991" t="s">
        <v>40</v>
      </c>
    </row>
    <row r="1035" spans="1:19" ht="41.25" customHeight="1">
      <c r="A1035" s="1319"/>
      <c r="B1035" s="1426" t="s">
        <v>1035</v>
      </c>
      <c r="C1035" s="1426"/>
      <c r="D1035" s="1426"/>
      <c r="E1035" s="1426"/>
      <c r="F1035" s="1426"/>
      <c r="G1035" s="1426"/>
      <c r="H1035" s="985">
        <f>H1036+H1037</f>
        <v>741.2</v>
      </c>
      <c r="I1035" s="985">
        <f t="shared" ref="I1035:Q1035" si="236">I1036+I1037</f>
        <v>575.6</v>
      </c>
      <c r="J1035" s="985">
        <f t="shared" si="236"/>
        <v>471.5</v>
      </c>
      <c r="K1035" s="985">
        <f t="shared" si="236"/>
        <v>35</v>
      </c>
      <c r="L1035" s="985">
        <f t="shared" si="236"/>
        <v>2913878.0300000003</v>
      </c>
      <c r="M1035" s="985">
        <f t="shared" si="236"/>
        <v>0</v>
      </c>
      <c r="N1035" s="985">
        <f t="shared" si="236"/>
        <v>0</v>
      </c>
      <c r="O1035" s="985">
        <f t="shared" si="236"/>
        <v>2577676</v>
      </c>
      <c r="P1035" s="985">
        <f t="shared" si="236"/>
        <v>0</v>
      </c>
      <c r="Q1035" s="985">
        <f t="shared" si="236"/>
        <v>0</v>
      </c>
      <c r="R1035" s="991" t="s">
        <v>40</v>
      </c>
      <c r="S1035" s="991" t="s">
        <v>40</v>
      </c>
    </row>
    <row r="1036" spans="1:19" ht="41.25" customHeight="1">
      <c r="A1036" s="1319">
        <v>477</v>
      </c>
      <c r="B1036" s="1313" t="s">
        <v>1505</v>
      </c>
      <c r="C1036" s="1321">
        <v>1890</v>
      </c>
      <c r="D1036" s="1321">
        <v>1968</v>
      </c>
      <c r="E1036" s="1319" t="s">
        <v>221</v>
      </c>
      <c r="F1036" s="1321">
        <v>1</v>
      </c>
      <c r="G1036" s="1321">
        <v>4</v>
      </c>
      <c r="H1036" s="985">
        <v>145.1</v>
      </c>
      <c r="I1036" s="985">
        <v>145.1</v>
      </c>
      <c r="J1036" s="985">
        <v>145.1</v>
      </c>
      <c r="K1036" s="1030">
        <v>5</v>
      </c>
      <c r="L1036" s="986">
        <v>1558743</v>
      </c>
      <c r="M1036" s="986">
        <v>0</v>
      </c>
      <c r="N1036" s="986">
        <v>0</v>
      </c>
      <c r="O1036" s="986">
        <v>1558743</v>
      </c>
      <c r="P1036" s="993">
        <v>0</v>
      </c>
      <c r="Q1036" s="986">
        <v>0</v>
      </c>
      <c r="R1036" s="987">
        <v>2022</v>
      </c>
      <c r="S1036" s="987">
        <v>2023</v>
      </c>
    </row>
    <row r="1037" spans="1:19" ht="48" customHeight="1">
      <c r="A1037" s="1319">
        <v>478</v>
      </c>
      <c r="B1037" s="1313" t="s">
        <v>1506</v>
      </c>
      <c r="C1037" s="1321">
        <v>1978</v>
      </c>
      <c r="D1037" s="1321"/>
      <c r="E1037" s="1319" t="s">
        <v>218</v>
      </c>
      <c r="F1037" s="1321">
        <v>2</v>
      </c>
      <c r="G1037" s="1321">
        <v>1</v>
      </c>
      <c r="H1037" s="985">
        <v>596.1</v>
      </c>
      <c r="I1037" s="985">
        <v>430.5</v>
      </c>
      <c r="J1037" s="985">
        <v>326.39999999999998</v>
      </c>
      <c r="K1037" s="1030">
        <v>30</v>
      </c>
      <c r="L1037" s="986">
        <v>1355135.03</v>
      </c>
      <c r="M1037" s="986">
        <v>0</v>
      </c>
      <c r="N1037" s="986">
        <v>0</v>
      </c>
      <c r="O1037" s="986">
        <v>1018933</v>
      </c>
      <c r="P1037" s="993">
        <v>0</v>
      </c>
      <c r="Q1037" s="986">
        <v>0</v>
      </c>
      <c r="R1037" s="987">
        <v>2022</v>
      </c>
      <c r="S1037" s="987">
        <v>2023</v>
      </c>
    </row>
    <row r="1038" spans="1:19" ht="41.25" customHeight="1">
      <c r="A1038" s="1319"/>
      <c r="B1038" s="1313" t="s">
        <v>1053</v>
      </c>
      <c r="C1038" s="1321"/>
      <c r="D1038" s="1096"/>
      <c r="E1038" s="1319"/>
      <c r="F1038" s="1321"/>
      <c r="G1038" s="1321"/>
      <c r="H1038" s="985">
        <f>SUM(H1039:H1045)</f>
        <v>35876.15</v>
      </c>
      <c r="I1038" s="985">
        <f t="shared" ref="I1038:Q1038" si="237">SUM(I1039:I1045)</f>
        <v>29415.83</v>
      </c>
      <c r="J1038" s="985">
        <f t="shared" si="237"/>
        <v>29415.83</v>
      </c>
      <c r="K1038" s="985">
        <f t="shared" si="237"/>
        <v>1364</v>
      </c>
      <c r="L1038" s="985">
        <f t="shared" si="237"/>
        <v>37279404.839999996</v>
      </c>
      <c r="M1038" s="985">
        <f t="shared" si="237"/>
        <v>0</v>
      </c>
      <c r="N1038" s="985">
        <f t="shared" si="237"/>
        <v>0</v>
      </c>
      <c r="O1038" s="985">
        <f t="shared" si="237"/>
        <v>37279404.839999996</v>
      </c>
      <c r="P1038" s="985">
        <f t="shared" si="237"/>
        <v>0</v>
      </c>
      <c r="Q1038" s="985">
        <f t="shared" si="237"/>
        <v>0</v>
      </c>
      <c r="R1038" s="991" t="s">
        <v>40</v>
      </c>
      <c r="S1038" s="991" t="s">
        <v>40</v>
      </c>
    </row>
    <row r="1039" spans="1:19" ht="33.75" customHeight="1">
      <c r="A1039" s="1022">
        <v>479</v>
      </c>
      <c r="B1039" s="1138" t="s">
        <v>1158</v>
      </c>
      <c r="C1039" s="1321">
        <v>1983</v>
      </c>
      <c r="D1039" s="1228"/>
      <c r="E1039" s="1319" t="s">
        <v>219</v>
      </c>
      <c r="F1039" s="1022">
        <v>9</v>
      </c>
      <c r="G1039" s="1022">
        <v>3</v>
      </c>
      <c r="H1039" s="1025">
        <v>7720.75</v>
      </c>
      <c r="I1039" s="1025">
        <v>6603.43</v>
      </c>
      <c r="J1039" s="1025">
        <v>6603.43</v>
      </c>
      <c r="K1039" s="1032">
        <v>320</v>
      </c>
      <c r="L1039" s="1025">
        <v>8669520.3100000005</v>
      </c>
      <c r="M1039" s="1157">
        <v>0</v>
      </c>
      <c r="N1039" s="1025">
        <v>0</v>
      </c>
      <c r="O1039" s="1025">
        <v>8669520.3100000005</v>
      </c>
      <c r="P1039" s="1157">
        <v>0</v>
      </c>
      <c r="Q1039" s="1157">
        <v>0</v>
      </c>
      <c r="R1039" s="987">
        <v>2022</v>
      </c>
      <c r="S1039" s="987">
        <v>2023</v>
      </c>
    </row>
    <row r="1040" spans="1:19" ht="49.5" customHeight="1">
      <c r="A1040" s="1022">
        <v>480</v>
      </c>
      <c r="B1040" s="1138" t="s">
        <v>1227</v>
      </c>
      <c r="C1040" s="1022">
        <v>1979</v>
      </c>
      <c r="D1040" s="1229">
        <v>0</v>
      </c>
      <c r="E1040" s="1021" t="s">
        <v>218</v>
      </c>
      <c r="F1040" s="1022">
        <v>9</v>
      </c>
      <c r="G1040" s="1022">
        <v>1</v>
      </c>
      <c r="H1040" s="1230">
        <v>5662</v>
      </c>
      <c r="I1040" s="1230">
        <v>4617</v>
      </c>
      <c r="J1040" s="1230">
        <v>4617</v>
      </c>
      <c r="K1040" s="1231">
        <v>249</v>
      </c>
      <c r="L1040" s="1230">
        <v>2889840.1</v>
      </c>
      <c r="M1040" s="1157">
        <v>0</v>
      </c>
      <c r="N1040" s="1025">
        <v>0</v>
      </c>
      <c r="O1040" s="1230">
        <v>2889840.1</v>
      </c>
      <c r="P1040" s="1157">
        <v>0</v>
      </c>
      <c r="Q1040" s="1157">
        <v>0</v>
      </c>
      <c r="R1040" s="987">
        <v>2022</v>
      </c>
      <c r="S1040" s="987">
        <v>2023</v>
      </c>
    </row>
    <row r="1041" spans="1:19" ht="47.25" customHeight="1">
      <c r="A1041" s="1022">
        <v>481</v>
      </c>
      <c r="B1041" s="1138" t="s">
        <v>1228</v>
      </c>
      <c r="C1041" s="1022">
        <v>1981</v>
      </c>
      <c r="D1041" s="1229">
        <v>0</v>
      </c>
      <c r="E1041" s="1319" t="s">
        <v>219</v>
      </c>
      <c r="F1041" s="1022">
        <v>9</v>
      </c>
      <c r="G1041" s="1022">
        <v>1</v>
      </c>
      <c r="H1041" s="1230">
        <v>2573.6</v>
      </c>
      <c r="I1041" s="1230">
        <v>2206.8000000000002</v>
      </c>
      <c r="J1041" s="1230">
        <v>2206.8000000000002</v>
      </c>
      <c r="K1041" s="1231">
        <v>90</v>
      </c>
      <c r="L1041" s="1230">
        <v>2889840.1</v>
      </c>
      <c r="M1041" s="1157">
        <v>0</v>
      </c>
      <c r="N1041" s="1025">
        <v>0</v>
      </c>
      <c r="O1041" s="1230">
        <v>2889840.1</v>
      </c>
      <c r="P1041" s="1157">
        <v>0</v>
      </c>
      <c r="Q1041" s="1157">
        <v>0</v>
      </c>
      <c r="R1041" s="987">
        <v>2022</v>
      </c>
      <c r="S1041" s="987">
        <v>2023</v>
      </c>
    </row>
    <row r="1042" spans="1:19" ht="44.25" customHeight="1">
      <c r="A1042" s="1022">
        <v>482</v>
      </c>
      <c r="B1042" s="1138" t="s">
        <v>517</v>
      </c>
      <c r="C1042" s="1022">
        <v>1983</v>
      </c>
      <c r="D1042" s="1229">
        <v>0</v>
      </c>
      <c r="E1042" s="1319" t="s">
        <v>219</v>
      </c>
      <c r="F1042" s="1022">
        <v>9</v>
      </c>
      <c r="G1042" s="1022">
        <v>1</v>
      </c>
      <c r="H1042" s="1230">
        <v>2504.8000000000002</v>
      </c>
      <c r="I1042" s="1230">
        <v>2193.3000000000002</v>
      </c>
      <c r="J1042" s="1230">
        <v>2193.3000000000002</v>
      </c>
      <c r="K1042" s="1231">
        <v>105</v>
      </c>
      <c r="L1042" s="1230">
        <v>2889840.1</v>
      </c>
      <c r="M1042" s="1157">
        <v>0</v>
      </c>
      <c r="N1042" s="1025">
        <v>0</v>
      </c>
      <c r="O1042" s="1230">
        <v>2889840.1</v>
      </c>
      <c r="P1042" s="1157">
        <v>0</v>
      </c>
      <c r="Q1042" s="1157">
        <v>0</v>
      </c>
      <c r="R1042" s="987">
        <v>2022</v>
      </c>
      <c r="S1042" s="987">
        <v>2023</v>
      </c>
    </row>
    <row r="1043" spans="1:19" ht="52.5" customHeight="1">
      <c r="A1043" s="1022">
        <v>483</v>
      </c>
      <c r="B1043" s="1138" t="s">
        <v>1229</v>
      </c>
      <c r="C1043" s="1022">
        <v>1976</v>
      </c>
      <c r="D1043" s="1229">
        <v>0</v>
      </c>
      <c r="E1043" s="1021" t="s">
        <v>218</v>
      </c>
      <c r="F1043" s="1022">
        <v>5</v>
      </c>
      <c r="G1043" s="1022">
        <v>4</v>
      </c>
      <c r="H1043" s="1230">
        <v>3622.4</v>
      </c>
      <c r="I1043" s="1230">
        <v>2301.9</v>
      </c>
      <c r="J1043" s="1230">
        <v>2301.9</v>
      </c>
      <c r="K1043" s="1231">
        <v>134</v>
      </c>
      <c r="L1043" s="1230">
        <v>4747568.4000000004</v>
      </c>
      <c r="M1043" s="1157">
        <v>0</v>
      </c>
      <c r="N1043" s="1025">
        <v>0</v>
      </c>
      <c r="O1043" s="1230">
        <v>4747568.4000000004</v>
      </c>
      <c r="P1043" s="1157">
        <v>0</v>
      </c>
      <c r="Q1043" s="1157">
        <v>0</v>
      </c>
      <c r="R1043" s="987">
        <v>2022</v>
      </c>
      <c r="S1043" s="987">
        <v>2023</v>
      </c>
    </row>
    <row r="1044" spans="1:19" ht="36.75" customHeight="1">
      <c r="A1044" s="1022">
        <v>484</v>
      </c>
      <c r="B1044" s="1138" t="s">
        <v>1230</v>
      </c>
      <c r="C1044" s="1022">
        <v>1989</v>
      </c>
      <c r="D1044" s="1229">
        <v>0</v>
      </c>
      <c r="E1044" s="1319" t="s">
        <v>219</v>
      </c>
      <c r="F1044" s="1022">
        <v>5</v>
      </c>
      <c r="G1044" s="1022">
        <v>10</v>
      </c>
      <c r="H1044" s="1230">
        <v>13162.6</v>
      </c>
      <c r="I1044" s="1230">
        <v>11082</v>
      </c>
      <c r="J1044" s="1230">
        <v>11082</v>
      </c>
      <c r="K1044" s="1231">
        <v>445</v>
      </c>
      <c r="L1044" s="1230">
        <v>12282943.84</v>
      </c>
      <c r="M1044" s="1157">
        <v>0</v>
      </c>
      <c r="N1044" s="1025">
        <v>0</v>
      </c>
      <c r="O1044" s="1230">
        <v>12282943.84</v>
      </c>
      <c r="P1044" s="1157">
        <v>0</v>
      </c>
      <c r="Q1044" s="1157">
        <v>0</v>
      </c>
      <c r="R1044" s="987">
        <v>2022</v>
      </c>
      <c r="S1044" s="987">
        <v>2023</v>
      </c>
    </row>
    <row r="1045" spans="1:19" ht="55.5" customHeight="1">
      <c r="A1045" s="1022">
        <v>485</v>
      </c>
      <c r="B1045" s="1143" t="s">
        <v>1231</v>
      </c>
      <c r="C1045" s="1022">
        <v>1964</v>
      </c>
      <c r="D1045" s="1229">
        <v>0</v>
      </c>
      <c r="E1045" s="1021" t="s">
        <v>218</v>
      </c>
      <c r="F1045" s="1022">
        <v>2</v>
      </c>
      <c r="G1045" s="1022">
        <v>2</v>
      </c>
      <c r="H1045" s="1230">
        <v>630</v>
      </c>
      <c r="I1045" s="1230">
        <v>411.4</v>
      </c>
      <c r="J1045" s="1230">
        <v>411.4</v>
      </c>
      <c r="K1045" s="1231">
        <v>21</v>
      </c>
      <c r="L1045" s="1230">
        <v>2909851.99</v>
      </c>
      <c r="M1045" s="1157">
        <v>0</v>
      </c>
      <c r="N1045" s="1025">
        <v>0</v>
      </c>
      <c r="O1045" s="1230">
        <v>2909851.99</v>
      </c>
      <c r="P1045" s="1157">
        <v>0</v>
      </c>
      <c r="Q1045" s="1157">
        <v>0</v>
      </c>
      <c r="R1045" s="987">
        <v>2022</v>
      </c>
      <c r="S1045" s="987">
        <v>2023</v>
      </c>
    </row>
    <row r="1046" spans="1:19" ht="39.75" customHeight="1">
      <c r="A1046" s="1319"/>
      <c r="B1046" s="1313" t="s">
        <v>67</v>
      </c>
      <c r="C1046" s="1321"/>
      <c r="D1046" s="1096"/>
      <c r="E1046" s="1319"/>
      <c r="F1046" s="1321"/>
      <c r="G1046" s="1321"/>
      <c r="H1046" s="985">
        <f>H1047+H1051</f>
        <v>2929.9</v>
      </c>
      <c r="I1046" s="985">
        <f t="shared" ref="I1046:Q1046" si="238">I1047+I1051</f>
        <v>2929.9</v>
      </c>
      <c r="J1046" s="985">
        <f t="shared" si="238"/>
        <v>2146.3000000000002</v>
      </c>
      <c r="K1046" s="985">
        <f t="shared" si="238"/>
        <v>132</v>
      </c>
      <c r="L1046" s="985">
        <f t="shared" si="238"/>
        <v>6477572.2299999995</v>
      </c>
      <c r="M1046" s="985">
        <f t="shared" si="238"/>
        <v>0</v>
      </c>
      <c r="N1046" s="985">
        <f t="shared" si="238"/>
        <v>0</v>
      </c>
      <c r="O1046" s="985">
        <f t="shared" si="238"/>
        <v>6477572.2299999995</v>
      </c>
      <c r="P1046" s="985">
        <f t="shared" si="238"/>
        <v>0</v>
      </c>
      <c r="Q1046" s="985">
        <f t="shared" si="238"/>
        <v>0</v>
      </c>
      <c r="R1046" s="991" t="s">
        <v>40</v>
      </c>
      <c r="S1046" s="991" t="s">
        <v>40</v>
      </c>
    </row>
    <row r="1047" spans="1:19" ht="47.25" customHeight="1">
      <c r="A1047" s="1319"/>
      <c r="B1047" s="1318" t="s">
        <v>1081</v>
      </c>
      <c r="C1047" s="1321"/>
      <c r="D1047" s="1096"/>
      <c r="E1047" s="1319"/>
      <c r="F1047" s="1321"/>
      <c r="G1047" s="1321"/>
      <c r="H1047" s="985">
        <f>H1048+H1049+H1050</f>
        <v>1844</v>
      </c>
      <c r="I1047" s="985">
        <f t="shared" ref="I1047:P1047" si="239">I1048+I1049+I1050</f>
        <v>1844</v>
      </c>
      <c r="J1047" s="985">
        <f t="shared" si="239"/>
        <v>1677</v>
      </c>
      <c r="K1047" s="985">
        <f t="shared" si="239"/>
        <v>96</v>
      </c>
      <c r="L1047" s="985">
        <f t="shared" si="239"/>
        <v>5457375.4799999995</v>
      </c>
      <c r="M1047" s="985">
        <f t="shared" si="239"/>
        <v>0</v>
      </c>
      <c r="N1047" s="985">
        <f t="shared" si="239"/>
        <v>0</v>
      </c>
      <c r="O1047" s="985">
        <f t="shared" si="239"/>
        <v>5457375.4799999995</v>
      </c>
      <c r="P1047" s="985">
        <f t="shared" si="239"/>
        <v>0</v>
      </c>
      <c r="Q1047" s="985">
        <f t="shared" ref="Q1047" si="240">Q1048+Q1050</f>
        <v>0</v>
      </c>
      <c r="R1047" s="991" t="s">
        <v>40</v>
      </c>
      <c r="S1047" s="991" t="s">
        <v>40</v>
      </c>
    </row>
    <row r="1048" spans="1:19" ht="64.5" customHeight="1">
      <c r="A1048" s="1319">
        <v>486</v>
      </c>
      <c r="B1048" s="1316" t="s">
        <v>1352</v>
      </c>
      <c r="C1048" s="1319">
        <v>2002</v>
      </c>
      <c r="D1048" s="1319"/>
      <c r="E1048" s="1319" t="s">
        <v>218</v>
      </c>
      <c r="F1048" s="1319">
        <v>3</v>
      </c>
      <c r="G1048" s="1319">
        <v>2</v>
      </c>
      <c r="H1048" s="985">
        <v>1017</v>
      </c>
      <c r="I1048" s="985">
        <v>1017</v>
      </c>
      <c r="J1048" s="985">
        <v>927</v>
      </c>
      <c r="K1048" s="1030">
        <v>50</v>
      </c>
      <c r="L1048" s="986">
        <v>2184627.34</v>
      </c>
      <c r="M1048" s="986">
        <v>0</v>
      </c>
      <c r="N1048" s="986">
        <v>0</v>
      </c>
      <c r="O1048" s="986">
        <v>2184627.34</v>
      </c>
      <c r="P1048" s="993">
        <v>0</v>
      </c>
      <c r="Q1048" s="986">
        <v>0</v>
      </c>
      <c r="R1048" s="987">
        <v>2022</v>
      </c>
      <c r="S1048" s="987">
        <v>2023</v>
      </c>
    </row>
    <row r="1049" spans="1:19" ht="58.5" customHeight="1">
      <c r="A1049" s="1319">
        <v>487</v>
      </c>
      <c r="B1049" s="1316" t="s">
        <v>1353</v>
      </c>
      <c r="C1049" s="1319">
        <v>1954</v>
      </c>
      <c r="D1049" s="1319"/>
      <c r="E1049" s="1319" t="s">
        <v>218</v>
      </c>
      <c r="F1049" s="1319">
        <v>2</v>
      </c>
      <c r="G1049" s="1319">
        <v>2</v>
      </c>
      <c r="H1049" s="985">
        <v>413</v>
      </c>
      <c r="I1049" s="985">
        <v>413</v>
      </c>
      <c r="J1049" s="985">
        <v>375</v>
      </c>
      <c r="K1049" s="1030">
        <v>23</v>
      </c>
      <c r="L1049" s="986">
        <v>1719903</v>
      </c>
      <c r="M1049" s="986">
        <v>0</v>
      </c>
      <c r="N1049" s="986">
        <v>0</v>
      </c>
      <c r="O1049" s="986">
        <v>1719903</v>
      </c>
      <c r="P1049" s="993">
        <v>0</v>
      </c>
      <c r="Q1049" s="986">
        <v>0</v>
      </c>
      <c r="R1049" s="987">
        <v>2022</v>
      </c>
      <c r="S1049" s="987">
        <v>2023</v>
      </c>
    </row>
    <row r="1050" spans="1:19" ht="54" customHeight="1">
      <c r="A1050" s="1319">
        <v>488</v>
      </c>
      <c r="B1050" s="1316" t="s">
        <v>1308</v>
      </c>
      <c r="C1050" s="1319">
        <v>1957</v>
      </c>
      <c r="D1050" s="1319"/>
      <c r="E1050" s="1319" t="s">
        <v>218</v>
      </c>
      <c r="F1050" s="1319">
        <v>2</v>
      </c>
      <c r="G1050" s="1319">
        <v>2</v>
      </c>
      <c r="H1050" s="993">
        <v>414</v>
      </c>
      <c r="I1050" s="993">
        <v>414</v>
      </c>
      <c r="J1050" s="993">
        <v>375</v>
      </c>
      <c r="K1050" s="987">
        <v>23</v>
      </c>
      <c r="L1050" s="986">
        <v>1552845.14</v>
      </c>
      <c r="M1050" s="986">
        <v>0</v>
      </c>
      <c r="N1050" s="986">
        <v>0</v>
      </c>
      <c r="O1050" s="986">
        <f>L1050</f>
        <v>1552845.14</v>
      </c>
      <c r="P1050" s="993">
        <f t="shared" si="229"/>
        <v>0</v>
      </c>
      <c r="Q1050" s="986">
        <v>0</v>
      </c>
      <c r="R1050" s="987">
        <v>2020</v>
      </c>
      <c r="S1050" s="987">
        <v>2023</v>
      </c>
    </row>
    <row r="1051" spans="1:19" ht="41.25" customHeight="1">
      <c r="A1051" s="1319"/>
      <c r="B1051" s="1428" t="s">
        <v>1065</v>
      </c>
      <c r="C1051" s="1428"/>
      <c r="D1051" s="1428"/>
      <c r="E1051" s="1428"/>
      <c r="F1051" s="1428"/>
      <c r="G1051" s="1428"/>
      <c r="H1051" s="993">
        <f>H1052+H1053</f>
        <v>1085.9000000000001</v>
      </c>
      <c r="I1051" s="993">
        <f t="shared" ref="I1051:Q1051" si="241">I1052+I1053</f>
        <v>1085.9000000000001</v>
      </c>
      <c r="J1051" s="993">
        <f t="shared" si="241"/>
        <v>469.3</v>
      </c>
      <c r="K1051" s="993">
        <f t="shared" si="241"/>
        <v>36</v>
      </c>
      <c r="L1051" s="993">
        <f t="shared" si="241"/>
        <v>1020196.75</v>
      </c>
      <c r="M1051" s="993">
        <f t="shared" si="241"/>
        <v>0</v>
      </c>
      <c r="N1051" s="993">
        <f t="shared" si="241"/>
        <v>0</v>
      </c>
      <c r="O1051" s="993">
        <f t="shared" si="241"/>
        <v>1020196.75</v>
      </c>
      <c r="P1051" s="993">
        <f t="shared" si="241"/>
        <v>0</v>
      </c>
      <c r="Q1051" s="993">
        <f t="shared" si="241"/>
        <v>0</v>
      </c>
      <c r="R1051" s="991" t="s">
        <v>40</v>
      </c>
      <c r="S1051" s="991" t="s">
        <v>40</v>
      </c>
    </row>
    <row r="1052" spans="1:19" ht="46.5" customHeight="1">
      <c r="A1052" s="1319">
        <v>489</v>
      </c>
      <c r="B1052" s="1316" t="s">
        <v>1084</v>
      </c>
      <c r="C1052" s="1319">
        <v>1972</v>
      </c>
      <c r="D1052" s="1319"/>
      <c r="E1052" s="1319" t="s">
        <v>218</v>
      </c>
      <c r="F1052" s="1319">
        <v>2</v>
      </c>
      <c r="G1052" s="1319">
        <v>2</v>
      </c>
      <c r="H1052" s="993">
        <v>520.20000000000005</v>
      </c>
      <c r="I1052" s="993">
        <v>520.20000000000005</v>
      </c>
      <c r="J1052" s="993">
        <v>37.1</v>
      </c>
      <c r="K1052" s="987">
        <v>18</v>
      </c>
      <c r="L1052" s="986">
        <v>488724.88</v>
      </c>
      <c r="M1052" s="986">
        <v>0</v>
      </c>
      <c r="N1052" s="986">
        <v>0</v>
      </c>
      <c r="O1052" s="986">
        <v>488724.88</v>
      </c>
      <c r="P1052" s="993">
        <v>0</v>
      </c>
      <c r="Q1052" s="986">
        <v>0</v>
      </c>
      <c r="R1052" s="987">
        <v>2020</v>
      </c>
      <c r="S1052" s="987">
        <v>2023</v>
      </c>
    </row>
    <row r="1053" spans="1:19" ht="45" customHeight="1">
      <c r="A1053" s="1319">
        <v>490</v>
      </c>
      <c r="B1053" s="1316" t="s">
        <v>1085</v>
      </c>
      <c r="C1053" s="1319">
        <v>1974</v>
      </c>
      <c r="D1053" s="1319"/>
      <c r="E1053" s="1319" t="s">
        <v>218</v>
      </c>
      <c r="F1053" s="1319">
        <v>2</v>
      </c>
      <c r="G1053" s="1319">
        <v>2</v>
      </c>
      <c r="H1053" s="993">
        <v>565.70000000000005</v>
      </c>
      <c r="I1053" s="993">
        <v>565.70000000000005</v>
      </c>
      <c r="J1053" s="993">
        <v>432.2</v>
      </c>
      <c r="K1053" s="987">
        <v>18</v>
      </c>
      <c r="L1053" s="986">
        <v>531471.87</v>
      </c>
      <c r="M1053" s="986">
        <v>0</v>
      </c>
      <c r="N1053" s="986">
        <v>0</v>
      </c>
      <c r="O1053" s="986">
        <v>531471.87</v>
      </c>
      <c r="P1053" s="993">
        <v>0</v>
      </c>
      <c r="Q1053" s="986">
        <v>0</v>
      </c>
      <c r="R1053" s="987">
        <v>2020</v>
      </c>
      <c r="S1053" s="987">
        <v>2023</v>
      </c>
    </row>
    <row r="1054" spans="1:19" ht="32.25" customHeight="1">
      <c r="A1054" s="1430" t="s">
        <v>35</v>
      </c>
      <c r="B1054" s="1430"/>
      <c r="C1054" s="1430"/>
      <c r="D1054" s="1430"/>
      <c r="E1054" s="1430"/>
      <c r="F1054" s="1430"/>
      <c r="G1054" s="1430"/>
      <c r="H1054" s="1430"/>
      <c r="I1054" s="1430"/>
      <c r="J1054" s="1430"/>
      <c r="K1054" s="1430"/>
      <c r="L1054" s="1430"/>
      <c r="M1054" s="1430"/>
      <c r="N1054" s="1430"/>
      <c r="O1054" s="1430"/>
      <c r="P1054" s="1430"/>
      <c r="Q1054" s="1430"/>
      <c r="R1054" s="1430"/>
      <c r="S1054" s="1430"/>
    </row>
    <row r="1055" spans="1:19" ht="27.75" customHeight="1">
      <c r="A1055" s="1319"/>
      <c r="B1055" s="1427" t="s">
        <v>42</v>
      </c>
      <c r="C1055" s="1427"/>
      <c r="D1055" s="1427"/>
      <c r="E1055" s="1427"/>
      <c r="F1055" s="1427"/>
      <c r="G1055" s="1427"/>
      <c r="H1055" s="985">
        <v>0</v>
      </c>
      <c r="I1055" s="985">
        <v>0</v>
      </c>
      <c r="J1055" s="985">
        <v>0</v>
      </c>
      <c r="K1055" s="1030">
        <v>0</v>
      </c>
      <c r="L1055" s="986">
        <v>0</v>
      </c>
      <c r="M1055" s="986">
        <v>0</v>
      </c>
      <c r="N1055" s="986">
        <v>0</v>
      </c>
      <c r="O1055" s="986">
        <v>0</v>
      </c>
      <c r="P1055" s="986">
        <v>0</v>
      </c>
      <c r="Q1055" s="986">
        <v>0</v>
      </c>
      <c r="R1055" s="991" t="s">
        <v>40</v>
      </c>
      <c r="S1055" s="991" t="s">
        <v>40</v>
      </c>
    </row>
    <row r="1056" spans="1:19" ht="42.75" customHeight="1">
      <c r="A1056" s="1430" t="s">
        <v>1051</v>
      </c>
      <c r="B1056" s="1430"/>
      <c r="C1056" s="1430"/>
      <c r="D1056" s="1430"/>
      <c r="E1056" s="1430"/>
      <c r="F1056" s="1430"/>
      <c r="G1056" s="1430"/>
      <c r="H1056" s="1430"/>
      <c r="I1056" s="1430"/>
      <c r="J1056" s="1430"/>
      <c r="K1056" s="1430"/>
      <c r="L1056" s="1430"/>
      <c r="M1056" s="1430"/>
      <c r="N1056" s="1430"/>
      <c r="O1056" s="1430"/>
      <c r="P1056" s="1430"/>
      <c r="Q1056" s="1430"/>
      <c r="R1056" s="1430"/>
      <c r="S1056" s="1430"/>
    </row>
    <row r="1057" spans="1:19" ht="27.75" customHeight="1">
      <c r="A1057" s="1319"/>
      <c r="B1057" s="1427" t="s">
        <v>42</v>
      </c>
      <c r="C1057" s="1427"/>
      <c r="D1057" s="1427"/>
      <c r="E1057" s="1427"/>
      <c r="F1057" s="1427"/>
      <c r="G1057" s="1427"/>
      <c r="H1057" s="985">
        <v>0</v>
      </c>
      <c r="I1057" s="985">
        <v>0</v>
      </c>
      <c r="J1057" s="985">
        <v>0</v>
      </c>
      <c r="K1057" s="1030">
        <v>0</v>
      </c>
      <c r="L1057" s="985">
        <v>0</v>
      </c>
      <c r="M1057" s="985">
        <v>0</v>
      </c>
      <c r="N1057" s="985">
        <v>0</v>
      </c>
      <c r="O1057" s="985">
        <v>0</v>
      </c>
      <c r="P1057" s="985">
        <v>0</v>
      </c>
      <c r="Q1057" s="985">
        <v>0</v>
      </c>
      <c r="R1057" s="991" t="s">
        <v>40</v>
      </c>
      <c r="S1057" s="991" t="s">
        <v>40</v>
      </c>
    </row>
    <row r="1058" spans="1:19">
      <c r="B1058" s="1433" t="s">
        <v>1191</v>
      </c>
      <c r="C1058" s="1433"/>
      <c r="D1058" s="1433"/>
      <c r="E1058" s="1433"/>
      <c r="F1058" s="1433"/>
      <c r="G1058" s="1433"/>
      <c r="H1058" s="1433"/>
      <c r="I1058" s="1433"/>
      <c r="J1058" s="1433"/>
      <c r="K1058" s="1433"/>
      <c r="L1058" s="1433"/>
      <c r="M1058" s="1433"/>
      <c r="N1058" s="1433"/>
      <c r="O1058" s="1433"/>
      <c r="P1058" s="1433"/>
      <c r="Q1058" s="1433"/>
      <c r="R1058" s="1433"/>
      <c r="S1058" s="1433"/>
    </row>
  </sheetData>
  <autoFilter ref="A12:S1058" xr:uid="{00000000-0009-0000-0000-000004000000}"/>
  <sortState xmlns:xlrd2="http://schemas.microsoft.com/office/spreadsheetml/2017/richdata2" ref="B107:S119">
    <sortCondition ref="B107:B119"/>
  </sortState>
  <customSheetViews>
    <customSheetView guid="{DC88C499-913F-4D15-846E-E5B9D5E047D7}" scale="90" showPageBreaks="1" printArea="1" showAutoFilter="1" view="pageBreakPreview" topLeftCell="A4">
      <pane ySplit="9" topLeftCell="A31" activePane="bottomLeft" state="frozen"/>
      <selection pane="bottomLeft" activeCell="L39" sqref="L39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1"/>
      <headerFooter>
        <oddHeader>&amp;C&amp;"Times New Roman,обычный"&amp;18&amp;P</oddHeader>
      </headerFooter>
      <autoFilter ref="A12:T1620" xr:uid="{00000000-0000-0000-0000-000000000000}"/>
    </customSheetView>
    <customSheetView guid="{A6187BD3-0BA4-497C-8924-4FA3D77530F0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2"/>
      <headerFooter>
        <oddHeader>&amp;C&amp;"Times New Roman,обычный"&amp;18&amp;P</oddHeader>
      </headerFooter>
      <autoFilter ref="A12:T1620" xr:uid="{00000000-0000-0000-0000-000000000000}"/>
    </customSheetView>
    <customSheetView guid="{7A75CCE7-0E84-47E6-A162-5AC0354F2967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3"/>
      <headerFooter>
        <oddHeader>&amp;C&amp;"Times New Roman,обычный"&amp;18&amp;P</oddHeader>
      </headerFooter>
      <autoFilter ref="A12:T1620" xr:uid="{00000000-0000-0000-0000-000000000000}"/>
    </customSheetView>
    <customSheetView guid="{144E5A37-1CF2-41F0-BEF8-CB5D4D392E2A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4"/>
      <headerFooter>
        <oddHeader>&amp;C&amp;"Times New Roman,обычный"&amp;18&amp;P</oddHeader>
      </headerFooter>
      <autoFilter ref="A12:T1620" xr:uid="{00000000-0000-0000-0000-000000000000}"/>
    </customSheetView>
    <customSheetView guid="{A28C0ADC-4E0C-4A0A-ACB1-DA409183476D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5"/>
      <headerFooter>
        <oddHeader>&amp;C&amp;"Times New Roman,обычный"&amp;18&amp;P</oddHeader>
      </headerFooter>
      <autoFilter ref="A12:T1620" xr:uid="{00000000-0000-0000-0000-000000000000}"/>
    </customSheetView>
    <customSheetView guid="{B1841E62-04AF-4786-8B2B-B1F42C88E6D1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6"/>
      <headerFooter>
        <oddHeader>&amp;C&amp;"Times New Roman,обычный"&amp;18&amp;P</oddHeader>
      </headerFooter>
      <autoFilter ref="A12:T1620" xr:uid="{00000000-0000-0000-0000-000000000000}"/>
    </customSheetView>
    <customSheetView guid="{570403C4-1D93-4175-B4D8-BD47D46CE99C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7"/>
      <headerFooter>
        <oddHeader>&amp;C&amp;"Times New Roman,обычный"&amp;18&amp;P</oddHeader>
      </headerFooter>
      <autoFilter ref="A12:T1620" xr:uid="{00000000-0000-0000-0000-000000000000}"/>
    </customSheetView>
    <customSheetView guid="{4C44C113-DA02-468D-99C5-83FA6693F42F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8"/>
      <headerFooter>
        <oddHeader>&amp;C&amp;"Times New Roman,обычный"&amp;18&amp;P</oddHeader>
      </headerFooter>
      <autoFilter ref="A12:T1620" xr:uid="{00000000-0000-0000-0000-000000000000}"/>
    </customSheetView>
    <customSheetView guid="{DFE5B545-478C-4B86-847C-1FEE882C6F69}" scale="90" showPageBreaks="1" printArea="1" showAutoFilter="1" view="pageBreakPreview" topLeftCell="A4">
      <pane ySplit="7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9"/>
      <headerFooter>
        <oddHeader>&amp;C&amp;"Times New Roman,обычный"&amp;18&amp;P</oddHeader>
      </headerFooter>
      <autoFilter ref="A12:T1620" xr:uid="{00000000-0000-0000-0000-000000000000}"/>
    </customSheetView>
    <customSheetView guid="{971AA6D5-B469-4A54-816C-1252CCB6D265}" scale="72" showPageBreaks="1" fitToPage="1" printArea="1" showAutoFilter="1" view="pageBreakPreview" topLeftCell="A1466">
      <selection activeCell="I1485" sqref="I1485"/>
      <pageMargins left="0.39370078740157483" right="0.39370078740157483" top="0.78740157480314965" bottom="0.43307086614173229" header="0.31496062992125984" footer="0.31496062992125984"/>
      <printOptions horizontalCentered="1"/>
      <pageSetup paperSize="9" scale="50" firstPageNumber="2" fitToHeight="0" orientation="landscape" useFirstPageNumber="1" r:id="rId10"/>
      <headerFooter>
        <oddHeader>&amp;C&amp;"Times New Roman,обычный"&amp;18&amp;P</oddHeader>
      </headerFooter>
      <autoFilter ref="A12:T1475" xr:uid="{00000000-0000-0000-0000-000000000000}"/>
    </customSheetView>
  </customSheetViews>
  <mergeCells count="171">
    <mergeCell ref="B839:G839"/>
    <mergeCell ref="B927:G927"/>
    <mergeCell ref="B971:G971"/>
    <mergeCell ref="B214:G214"/>
    <mergeCell ref="B285:G285"/>
    <mergeCell ref="B280:G280"/>
    <mergeCell ref="A501:S501"/>
    <mergeCell ref="B497:G497"/>
    <mergeCell ref="B437:G437"/>
    <mergeCell ref="B462:G462"/>
    <mergeCell ref="B455:G455"/>
    <mergeCell ref="B456:G456"/>
    <mergeCell ref="A344:S344"/>
    <mergeCell ref="B399:G399"/>
    <mergeCell ref="A349:S349"/>
    <mergeCell ref="A350:S350"/>
    <mergeCell ref="B408:G408"/>
    <mergeCell ref="B402:G402"/>
    <mergeCell ref="B309:G309"/>
    <mergeCell ref="B458:G458"/>
    <mergeCell ref="B451:G451"/>
    <mergeCell ref="B421:G421"/>
    <mergeCell ref="B300:G300"/>
    <mergeCell ref="O1:Q2"/>
    <mergeCell ref="B86:G86"/>
    <mergeCell ref="B115:G115"/>
    <mergeCell ref="B74:G74"/>
    <mergeCell ref="B78:G78"/>
    <mergeCell ref="B124:G124"/>
    <mergeCell ref="B89:G89"/>
    <mergeCell ref="B90:G90"/>
    <mergeCell ref="B97:G97"/>
    <mergeCell ref="B114:G114"/>
    <mergeCell ref="A4:S4"/>
    <mergeCell ref="A5:S5"/>
    <mergeCell ref="A6:S6"/>
    <mergeCell ref="C9:C11"/>
    <mergeCell ref="R10:R11"/>
    <mergeCell ref="S10:S11"/>
    <mergeCell ref="A7:S7"/>
    <mergeCell ref="A8:A11"/>
    <mergeCell ref="B8:B11"/>
    <mergeCell ref="C8:D8"/>
    <mergeCell ref="E8:E11"/>
    <mergeCell ref="F8:F11"/>
    <mergeCell ref="I9:I10"/>
    <mergeCell ref="K8:K10"/>
    <mergeCell ref="L8:Q8"/>
    <mergeCell ref="H8:H10"/>
    <mergeCell ref="R8:S9"/>
    <mergeCell ref="I8:J8"/>
    <mergeCell ref="D9:D11"/>
    <mergeCell ref="M9:Q9"/>
    <mergeCell ref="L9:L10"/>
    <mergeCell ref="G8:G11"/>
    <mergeCell ref="J9:J10"/>
    <mergeCell ref="A15:S15"/>
    <mergeCell ref="A13:S13"/>
    <mergeCell ref="B17:G17"/>
    <mergeCell ref="B38:G38"/>
    <mergeCell ref="B57:G57"/>
    <mergeCell ref="B28:G28"/>
    <mergeCell ref="B129:G129"/>
    <mergeCell ref="B84:G84"/>
    <mergeCell ref="B46:G46"/>
    <mergeCell ref="B58:G58"/>
    <mergeCell ref="B16:G16"/>
    <mergeCell ref="B63:G63"/>
    <mergeCell ref="B126:G126"/>
    <mergeCell ref="B14:G14"/>
    <mergeCell ref="B67:G67"/>
    <mergeCell ref="B71:G71"/>
    <mergeCell ref="B82:G82"/>
    <mergeCell ref="B105:G105"/>
    <mergeCell ref="B80:G80"/>
    <mergeCell ref="B1058:S1058"/>
    <mergeCell ref="B475:G475"/>
    <mergeCell ref="B1034:G1034"/>
    <mergeCell ref="B1035:G1035"/>
    <mergeCell ref="B326:G326"/>
    <mergeCell ref="B392:G392"/>
    <mergeCell ref="A1056:S1056"/>
    <mergeCell ref="B1057:G1057"/>
    <mergeCell ref="A493:S493"/>
    <mergeCell ref="B494:G494"/>
    <mergeCell ref="A495:S495"/>
    <mergeCell ref="B496:G496"/>
    <mergeCell ref="B453:G453"/>
    <mergeCell ref="B482:G482"/>
    <mergeCell ref="B488:G488"/>
    <mergeCell ref="B489:G489"/>
    <mergeCell ref="A1054:S1054"/>
    <mergeCell ref="B1055:G1055"/>
    <mergeCell ref="B881:G881"/>
    <mergeCell ref="B1031:G1031"/>
    <mergeCell ref="A499:S499"/>
    <mergeCell ref="B921:G921"/>
    <mergeCell ref="B925:G925"/>
    <mergeCell ref="B995:G995"/>
    <mergeCell ref="B186:G186"/>
    <mergeCell ref="B181:G181"/>
    <mergeCell ref="B419:G419"/>
    <mergeCell ref="B480:G480"/>
    <mergeCell ref="B424:G424"/>
    <mergeCell ref="B427:G427"/>
    <mergeCell ref="B449:G449"/>
    <mergeCell ref="B447:G447"/>
    <mergeCell ref="B445:G445"/>
    <mergeCell ref="A340:S340"/>
    <mergeCell ref="B341:G341"/>
    <mergeCell ref="B351:G351"/>
    <mergeCell ref="B319:G319"/>
    <mergeCell ref="B321:G321"/>
    <mergeCell ref="B395:G395"/>
    <mergeCell ref="B328:G328"/>
    <mergeCell ref="B346:G346"/>
    <mergeCell ref="B282:G282"/>
    <mergeCell ref="B412:G412"/>
    <mergeCell ref="B390:G390"/>
    <mergeCell ref="B334:G334"/>
    <mergeCell ref="B345:G345"/>
    <mergeCell ref="B311:G311"/>
    <mergeCell ref="B273:G273"/>
    <mergeCell ref="B131:G131"/>
    <mergeCell ref="B143:G143"/>
    <mergeCell ref="A185:S185"/>
    <mergeCell ref="B136:G136"/>
    <mergeCell ref="A212:S212"/>
    <mergeCell ref="B213:G213"/>
    <mergeCell ref="B236:G236"/>
    <mergeCell ref="B140:G140"/>
    <mergeCell ref="B279:G279"/>
    <mergeCell ref="A211:S211"/>
    <mergeCell ref="A187:S187"/>
    <mergeCell ref="B188:G188"/>
    <mergeCell ref="B253:G253"/>
    <mergeCell ref="B179:G179"/>
    <mergeCell ref="B178:G178"/>
    <mergeCell ref="B272:G272"/>
    <mergeCell ref="B168:G168"/>
    <mergeCell ref="B166:G166"/>
    <mergeCell ref="B245:G245"/>
    <mergeCell ref="B189:G189"/>
    <mergeCell ref="B175:G175"/>
    <mergeCell ref="B277:G277"/>
    <mergeCell ref="B262:G262"/>
    <mergeCell ref="B275:G275"/>
    <mergeCell ref="B317:G317"/>
    <mergeCell ref="B342:G342"/>
    <mergeCell ref="B284:G284"/>
    <mergeCell ref="B290:G290"/>
    <mergeCell ref="B301:G301"/>
    <mergeCell ref="B1051:G1051"/>
    <mergeCell ref="B491:G491"/>
    <mergeCell ref="B902:G902"/>
    <mergeCell ref="B423:G423"/>
    <mergeCell ref="B417:G417"/>
    <mergeCell ref="B438:G438"/>
    <mergeCell ref="B465:G465"/>
    <mergeCell ref="B383:G383"/>
    <mergeCell ref="B388:G388"/>
    <mergeCell ref="B370:G370"/>
    <mergeCell ref="B376:G376"/>
    <mergeCell ref="B410:G410"/>
    <mergeCell ref="B406:G406"/>
    <mergeCell ref="B415:G415"/>
    <mergeCell ref="B307:G307"/>
    <mergeCell ref="B401:G401"/>
    <mergeCell ref="B396:G396"/>
    <mergeCell ref="B471:G471"/>
    <mergeCell ref="B775:G775"/>
  </mergeCells>
  <printOptions horizontalCentered="1"/>
  <pageMargins left="0.39370078740157483" right="0.39370078740157483" top="1.1811023622047245" bottom="0.39370078740157483" header="0.70866141732283472" footer="0.31496062992125984"/>
  <pageSetup paperSize="9" scale="40" firstPageNumber="2" fitToHeight="0" orientation="landscape" useFirstPageNumber="1" r:id="rId11"/>
  <headerFooter>
    <oddHeader>&amp;C&amp;"Times New Roman,обычный"&amp;18&amp;P</oddHeader>
  </headerFooter>
  <rowBreaks count="1" manualBreakCount="1">
    <brk id="82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AY1038"/>
  <sheetViews>
    <sheetView tabSelected="1" view="pageBreakPreview" topLeftCell="A770" zoomScale="25" zoomScaleNormal="75" zoomScaleSheetLayoutView="25" zoomScalePageLayoutView="50" workbookViewId="0">
      <selection activeCell="A794" sqref="A794:XFD794"/>
    </sheetView>
  </sheetViews>
  <sheetFormatPr defaultColWidth="8.85546875" defaultRowHeight="38.25"/>
  <cols>
    <col min="1" max="1" width="18.85546875" style="1058" customWidth="1"/>
    <col min="2" max="2" width="78.42578125" style="1119" customWidth="1"/>
    <col min="3" max="3" width="52" style="1081" customWidth="1"/>
    <col min="4" max="4" width="42.42578125" style="1081" customWidth="1"/>
    <col min="5" max="5" width="42.5703125" style="1081" customWidth="1"/>
    <col min="6" max="6" width="44.7109375" style="1081" customWidth="1"/>
    <col min="7" max="7" width="44.28515625" style="1081" customWidth="1"/>
    <col min="8" max="8" width="46.28515625" style="1081" customWidth="1"/>
    <col min="9" max="9" width="43.140625" style="1081" customWidth="1"/>
    <col min="10" max="10" width="45.5703125" style="1081" customWidth="1"/>
    <col min="11" max="11" width="18.85546875" style="1082" customWidth="1"/>
    <col min="12" max="12" width="36.140625" style="1058" customWidth="1"/>
    <col min="13" max="13" width="16.140625" style="1082" customWidth="1"/>
    <col min="14" max="14" width="42.7109375" style="1081" customWidth="1"/>
    <col min="15" max="15" width="30" style="1083" customWidth="1"/>
    <col min="16" max="16" width="45.5703125" style="1084" customWidth="1"/>
    <col min="17" max="17" width="27.85546875" style="1083" customWidth="1"/>
    <col min="18" max="18" width="40" style="1084" customWidth="1"/>
    <col min="19" max="19" width="35.42578125" style="1083" customWidth="1"/>
    <col min="20" max="20" width="48" style="1081" customWidth="1"/>
    <col min="21" max="21" width="29.7109375" style="1081" customWidth="1"/>
    <col min="22" max="22" width="40" style="1081" customWidth="1"/>
    <col min="23" max="23" width="21.7109375" style="1083" customWidth="1"/>
    <col min="24" max="24" width="35.7109375" style="1081" customWidth="1"/>
    <col min="25" max="25" width="20.85546875" style="1081" customWidth="1"/>
    <col min="26" max="26" width="44.42578125" style="1081" customWidth="1"/>
    <col min="27" max="27" width="38.140625" style="1081" customWidth="1"/>
    <col min="28" max="16384" width="8.85546875" style="1119"/>
  </cols>
  <sheetData>
    <row r="1" spans="1:27" ht="64.150000000000006" customHeight="1">
      <c r="A1" s="1453" t="s">
        <v>39</v>
      </c>
      <c r="B1" s="1453"/>
      <c r="C1" s="1453"/>
      <c r="D1" s="1453"/>
      <c r="E1" s="1453"/>
      <c r="F1" s="1453"/>
      <c r="G1" s="1453"/>
      <c r="H1" s="1453"/>
      <c r="I1" s="1453"/>
      <c r="J1" s="1453"/>
      <c r="K1" s="1453"/>
      <c r="L1" s="1453"/>
      <c r="M1" s="1453"/>
      <c r="N1" s="1453"/>
      <c r="O1" s="1453"/>
      <c r="P1" s="1453"/>
      <c r="Q1" s="1453"/>
      <c r="R1" s="1453"/>
      <c r="S1" s="1453"/>
      <c r="T1" s="1453"/>
      <c r="U1" s="1453"/>
      <c r="V1" s="1453"/>
      <c r="W1" s="1453"/>
      <c r="X1" s="1453"/>
      <c r="Y1" s="1120"/>
      <c r="Z1" s="1057"/>
      <c r="AA1" s="1057"/>
    </row>
    <row r="2" spans="1:27" ht="59.45" customHeight="1">
      <c r="A2" s="1449" t="s">
        <v>1043</v>
      </c>
      <c r="B2" s="1454" t="s">
        <v>22</v>
      </c>
      <c r="C2" s="1449" t="s">
        <v>459</v>
      </c>
      <c r="D2" s="1454" t="s">
        <v>1052</v>
      </c>
      <c r="E2" s="1454"/>
      <c r="F2" s="1454"/>
      <c r="G2" s="1454"/>
      <c r="H2" s="1454"/>
      <c r="I2" s="1454"/>
      <c r="J2" s="1454"/>
      <c r="K2" s="1454"/>
      <c r="L2" s="1454"/>
      <c r="M2" s="1454"/>
      <c r="N2" s="1454"/>
      <c r="O2" s="1454"/>
      <c r="P2" s="1454"/>
      <c r="Q2" s="1454"/>
      <c r="R2" s="1454"/>
      <c r="S2" s="1454"/>
      <c r="T2" s="1454"/>
      <c r="U2" s="1454"/>
      <c r="V2" s="1454"/>
      <c r="W2" s="1454"/>
      <c r="X2" s="1454"/>
      <c r="Y2" s="1454"/>
      <c r="Z2" s="1454"/>
      <c r="AA2" s="1454"/>
    </row>
    <row r="3" spans="1:27" ht="59.45" customHeight="1">
      <c r="A3" s="1454"/>
      <c r="B3" s="1454"/>
      <c r="C3" s="1449"/>
      <c r="D3" s="1454" t="s">
        <v>559</v>
      </c>
      <c r="E3" s="1454"/>
      <c r="F3" s="1454"/>
      <c r="G3" s="1454"/>
      <c r="H3" s="1454"/>
      <c r="I3" s="1454"/>
      <c r="J3" s="1454"/>
      <c r="K3" s="1449" t="s">
        <v>1103</v>
      </c>
      <c r="L3" s="1449"/>
      <c r="M3" s="1449" t="s">
        <v>1102</v>
      </c>
      <c r="N3" s="1449"/>
      <c r="O3" s="1449" t="s">
        <v>1192</v>
      </c>
      <c r="P3" s="1449"/>
      <c r="Q3" s="1449" t="s">
        <v>217</v>
      </c>
      <c r="R3" s="1449"/>
      <c r="S3" s="1449" t="s">
        <v>1062</v>
      </c>
      <c r="T3" s="1449"/>
      <c r="U3" s="1449"/>
      <c r="V3" s="1449"/>
      <c r="W3" s="1449" t="s">
        <v>557</v>
      </c>
      <c r="X3" s="1449"/>
      <c r="Y3" s="1449" t="s">
        <v>1259</v>
      </c>
      <c r="Z3" s="1449" t="s">
        <v>1307</v>
      </c>
      <c r="AA3" s="1449" t="s">
        <v>1222</v>
      </c>
    </row>
    <row r="4" spans="1:27" ht="56.45" customHeight="1">
      <c r="A4" s="1454"/>
      <c r="B4" s="1454"/>
      <c r="C4" s="1449"/>
      <c r="D4" s="1454" t="s">
        <v>556</v>
      </c>
      <c r="E4" s="1455" t="s">
        <v>549</v>
      </c>
      <c r="F4" s="1455" t="s">
        <v>1104</v>
      </c>
      <c r="G4" s="1455" t="s">
        <v>551</v>
      </c>
      <c r="H4" s="1455" t="s">
        <v>552</v>
      </c>
      <c r="I4" s="1455" t="s">
        <v>553</v>
      </c>
      <c r="J4" s="1455" t="s">
        <v>554</v>
      </c>
      <c r="K4" s="1449"/>
      <c r="L4" s="1449"/>
      <c r="M4" s="1449"/>
      <c r="N4" s="1449"/>
      <c r="O4" s="1449"/>
      <c r="P4" s="1449"/>
      <c r="Q4" s="1449"/>
      <c r="R4" s="1449"/>
      <c r="S4" s="1062"/>
      <c r="T4" s="1062"/>
      <c r="U4" s="1062"/>
      <c r="V4" s="1062"/>
      <c r="W4" s="1449"/>
      <c r="X4" s="1449"/>
      <c r="Y4" s="1449"/>
      <c r="Z4" s="1449"/>
      <c r="AA4" s="1449"/>
    </row>
    <row r="5" spans="1:27" ht="321" customHeight="1">
      <c r="A5" s="1454"/>
      <c r="B5" s="1454"/>
      <c r="C5" s="1449"/>
      <c r="D5" s="1454"/>
      <c r="E5" s="1455"/>
      <c r="F5" s="1455"/>
      <c r="G5" s="1455"/>
      <c r="H5" s="1455"/>
      <c r="I5" s="1455"/>
      <c r="J5" s="1455"/>
      <c r="K5" s="1449"/>
      <c r="L5" s="1449"/>
      <c r="M5" s="1449"/>
      <c r="N5" s="1449"/>
      <c r="O5" s="1449"/>
      <c r="P5" s="1449"/>
      <c r="Q5" s="1449"/>
      <c r="R5" s="1449"/>
      <c r="S5" s="1449" t="s">
        <v>1310</v>
      </c>
      <c r="T5" s="1449"/>
      <c r="U5" s="1449" t="s">
        <v>1311</v>
      </c>
      <c r="V5" s="1449"/>
      <c r="W5" s="1449"/>
      <c r="X5" s="1449"/>
      <c r="Y5" s="1449"/>
      <c r="Z5" s="1449"/>
      <c r="AA5" s="1449"/>
    </row>
    <row r="6" spans="1:27" ht="35.450000000000003" customHeight="1">
      <c r="A6" s="1454"/>
      <c r="B6" s="1454"/>
      <c r="C6" s="1122" t="s">
        <v>17</v>
      </c>
      <c r="D6" s="1122" t="s">
        <v>17</v>
      </c>
      <c r="E6" s="1122" t="s">
        <v>17</v>
      </c>
      <c r="F6" s="1122" t="s">
        <v>17</v>
      </c>
      <c r="G6" s="1122" t="s">
        <v>17</v>
      </c>
      <c r="H6" s="1122" t="s">
        <v>17</v>
      </c>
      <c r="I6" s="1122" t="s">
        <v>17</v>
      </c>
      <c r="J6" s="1122" t="s">
        <v>17</v>
      </c>
      <c r="K6" s="1059" t="s">
        <v>23</v>
      </c>
      <c r="L6" s="1122" t="s">
        <v>17</v>
      </c>
      <c r="M6" s="1059" t="s">
        <v>23</v>
      </c>
      <c r="N6" s="1122" t="s">
        <v>17</v>
      </c>
      <c r="O6" s="1060" t="s">
        <v>21</v>
      </c>
      <c r="P6" s="1061" t="s">
        <v>17</v>
      </c>
      <c r="Q6" s="1060" t="s">
        <v>21</v>
      </c>
      <c r="R6" s="1061" t="s">
        <v>17</v>
      </c>
      <c r="S6" s="1060" t="s">
        <v>21</v>
      </c>
      <c r="T6" s="1122" t="s">
        <v>17</v>
      </c>
      <c r="U6" s="1122"/>
      <c r="V6" s="1122"/>
      <c r="W6" s="1060" t="s">
        <v>24</v>
      </c>
      <c r="X6" s="1122" t="s">
        <v>17</v>
      </c>
      <c r="Y6" s="1122"/>
      <c r="Z6" s="1122" t="s">
        <v>17</v>
      </c>
      <c r="AA6" s="1122" t="s">
        <v>17</v>
      </c>
    </row>
    <row r="7" spans="1:27">
      <c r="A7" s="1122">
        <v>1</v>
      </c>
      <c r="B7" s="1122">
        <v>2</v>
      </c>
      <c r="C7" s="1122">
        <v>3</v>
      </c>
      <c r="D7" s="1122">
        <v>4</v>
      </c>
      <c r="E7" s="1122">
        <v>5</v>
      </c>
      <c r="F7" s="1122">
        <v>6</v>
      </c>
      <c r="G7" s="1122">
        <v>7</v>
      </c>
      <c r="H7" s="1122">
        <v>8</v>
      </c>
      <c r="I7" s="1122">
        <v>9</v>
      </c>
      <c r="J7" s="1122">
        <v>10</v>
      </c>
      <c r="K7" s="1059">
        <v>11</v>
      </c>
      <c r="L7" s="1122">
        <v>12</v>
      </c>
      <c r="M7" s="1059">
        <v>13</v>
      </c>
      <c r="N7" s="1122">
        <v>14</v>
      </c>
      <c r="O7" s="1122">
        <v>15</v>
      </c>
      <c r="P7" s="1122">
        <v>16</v>
      </c>
      <c r="Q7" s="1122">
        <v>17</v>
      </c>
      <c r="R7" s="1122">
        <v>18</v>
      </c>
      <c r="S7" s="1122">
        <v>19</v>
      </c>
      <c r="T7" s="1122">
        <v>20</v>
      </c>
      <c r="U7" s="1122">
        <v>21</v>
      </c>
      <c r="V7" s="1122">
        <v>22</v>
      </c>
      <c r="W7" s="1122">
        <v>23</v>
      </c>
      <c r="X7" s="1122">
        <v>24</v>
      </c>
      <c r="Y7" s="1122">
        <v>25</v>
      </c>
      <c r="Z7" s="1122">
        <v>26</v>
      </c>
      <c r="AA7" s="1122">
        <v>27</v>
      </c>
    </row>
    <row r="8" spans="1:27" ht="69.599999999999994" customHeight="1">
      <c r="A8" s="1454" t="s">
        <v>1337</v>
      </c>
      <c r="B8" s="1454"/>
      <c r="C8" s="1454"/>
      <c r="D8" s="1454"/>
      <c r="E8" s="1454"/>
      <c r="F8" s="1454"/>
      <c r="G8" s="1454"/>
      <c r="H8" s="1454"/>
      <c r="I8" s="1454"/>
      <c r="J8" s="1454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</row>
    <row r="9" spans="1:27" s="1064" customFormat="1" ht="84" customHeight="1">
      <c r="A9" s="1062"/>
      <c r="B9" s="1062" t="s">
        <v>1261</v>
      </c>
      <c r="C9" s="1056">
        <f>C10+C21+C31+C33+C39+C41+C47+C50+C56+C60+C64+C82+C90+C100+C107+C124+C126+C129+C133+C136+C158+C168+C183+C186+C189+C191+C193+C196+C37+C62+C98+C181</f>
        <v>705543562.04000008</v>
      </c>
      <c r="D9" s="1056">
        <f t="shared" ref="D9:AA9" si="0">D10+D21+D31+D33+D39+D41+D47+D50+D56+D60+D64+D82+D90+D100+D107+D124+D126+D129+D133+D136+D158+D168+D183+D186+D189+D191+D193+D196+D37+D62+D98+D181</f>
        <v>50069112.699999988</v>
      </c>
      <c r="E9" s="1056">
        <f t="shared" si="0"/>
        <v>13062263.219999999</v>
      </c>
      <c r="F9" s="1056">
        <f t="shared" si="0"/>
        <v>14298550.43</v>
      </c>
      <c r="G9" s="1056">
        <f t="shared" si="0"/>
        <v>3367992.1399999997</v>
      </c>
      <c r="H9" s="1056">
        <f t="shared" si="0"/>
        <v>8605831.620000001</v>
      </c>
      <c r="I9" s="1056">
        <f t="shared" si="0"/>
        <v>5811536.9100000001</v>
      </c>
      <c r="J9" s="1056">
        <f t="shared" si="0"/>
        <v>4922938.38</v>
      </c>
      <c r="K9" s="1056">
        <f t="shared" si="0"/>
        <v>2</v>
      </c>
      <c r="L9" s="1056">
        <f t="shared" si="0"/>
        <v>430301</v>
      </c>
      <c r="M9" s="1056">
        <f t="shared" si="0"/>
        <v>14</v>
      </c>
      <c r="N9" s="1056">
        <f t="shared" si="0"/>
        <v>42209146.640000001</v>
      </c>
      <c r="O9" s="1056">
        <f t="shared" si="0"/>
        <v>64604.170000000006</v>
      </c>
      <c r="P9" s="1056">
        <f t="shared" si="0"/>
        <v>404816334.63999999</v>
      </c>
      <c r="Q9" s="1056">
        <f t="shared" si="0"/>
        <v>0</v>
      </c>
      <c r="R9" s="1056">
        <f t="shared" si="0"/>
        <v>0</v>
      </c>
      <c r="S9" s="1056">
        <f t="shared" si="0"/>
        <v>32062.020000000004</v>
      </c>
      <c r="T9" s="1056">
        <f t="shared" si="0"/>
        <v>120768453.88</v>
      </c>
      <c r="U9" s="1056">
        <f t="shared" si="0"/>
        <v>362</v>
      </c>
      <c r="V9" s="1056">
        <f t="shared" si="0"/>
        <v>1645003.51</v>
      </c>
      <c r="W9" s="1056">
        <f t="shared" si="0"/>
        <v>397.4</v>
      </c>
      <c r="X9" s="1056">
        <f t="shared" si="0"/>
        <v>576230</v>
      </c>
      <c r="Y9" s="1056">
        <f t="shared" si="0"/>
        <v>0</v>
      </c>
      <c r="Z9" s="1056">
        <f t="shared" si="0"/>
        <v>64098354.859999992</v>
      </c>
      <c r="AA9" s="1056">
        <f t="shared" si="0"/>
        <v>0</v>
      </c>
    </row>
    <row r="10" spans="1:27" s="1064" customFormat="1" ht="87" customHeight="1">
      <c r="A10" s="1121"/>
      <c r="B10" s="1055" t="s">
        <v>1217</v>
      </c>
      <c r="C10" s="1056">
        <f t="shared" ref="C10:AA10" si="1">SUM(C11:C20)</f>
        <v>158081640.28999999</v>
      </c>
      <c r="D10" s="1056">
        <f t="shared" si="1"/>
        <v>35785902.57</v>
      </c>
      <c r="E10" s="1056">
        <f t="shared" si="1"/>
        <v>4341353.46</v>
      </c>
      <c r="F10" s="1056">
        <f t="shared" si="1"/>
        <v>12548539.18</v>
      </c>
      <c r="G10" s="1056">
        <f t="shared" si="1"/>
        <v>3090220.3699999996</v>
      </c>
      <c r="H10" s="1056">
        <f t="shared" si="1"/>
        <v>6959875.0700000003</v>
      </c>
      <c r="I10" s="1056">
        <f t="shared" si="1"/>
        <v>5811536.9100000001</v>
      </c>
      <c r="J10" s="1056">
        <f t="shared" si="1"/>
        <v>3034377.58</v>
      </c>
      <c r="K10" s="1063">
        <f t="shared" si="1"/>
        <v>2</v>
      </c>
      <c r="L10" s="1056">
        <f t="shared" si="1"/>
        <v>430301</v>
      </c>
      <c r="M10" s="1063">
        <f t="shared" si="1"/>
        <v>9</v>
      </c>
      <c r="N10" s="1056">
        <f t="shared" si="1"/>
        <v>28018882.400000002</v>
      </c>
      <c r="O10" s="1056">
        <f t="shared" si="1"/>
        <v>6631.9500000000007</v>
      </c>
      <c r="P10" s="1056">
        <f t="shared" si="1"/>
        <v>34706002.5</v>
      </c>
      <c r="Q10" s="1056">
        <f t="shared" si="1"/>
        <v>0</v>
      </c>
      <c r="R10" s="1056">
        <f t="shared" si="1"/>
        <v>0</v>
      </c>
      <c r="S10" s="1056">
        <f t="shared" si="1"/>
        <v>12887</v>
      </c>
      <c r="T10" s="1056">
        <f t="shared" si="1"/>
        <v>44676245.390000001</v>
      </c>
      <c r="U10" s="1056">
        <f t="shared" si="1"/>
        <v>0</v>
      </c>
      <c r="V10" s="1056">
        <f t="shared" si="1"/>
        <v>0</v>
      </c>
      <c r="W10" s="1056">
        <f t="shared" si="1"/>
        <v>0</v>
      </c>
      <c r="X10" s="1056">
        <f t="shared" si="1"/>
        <v>0</v>
      </c>
      <c r="Y10" s="1056">
        <f t="shared" si="1"/>
        <v>0</v>
      </c>
      <c r="Z10" s="1056">
        <f t="shared" si="1"/>
        <v>14464306.43</v>
      </c>
      <c r="AA10" s="1056">
        <f t="shared" si="1"/>
        <v>0</v>
      </c>
    </row>
    <row r="11" spans="1:27" s="1064" customFormat="1" ht="119.25" customHeight="1">
      <c r="A11" s="1232">
        <v>1</v>
      </c>
      <c r="B11" s="1233" t="s">
        <v>1766</v>
      </c>
      <c r="C11" s="1056">
        <f t="shared" ref="C11" si="2">D11+N11+P11+R11+T11+X11+Z11</f>
        <v>27935692.620000001</v>
      </c>
      <c r="D11" s="1056">
        <f t="shared" ref="D11" si="3">SUM(E11:J11)</f>
        <v>0</v>
      </c>
      <c r="E11" s="1234">
        <v>0</v>
      </c>
      <c r="F11" s="1234">
        <v>0</v>
      </c>
      <c r="G11" s="1234">
        <v>0</v>
      </c>
      <c r="H11" s="1234">
        <v>0</v>
      </c>
      <c r="I11" s="1234">
        <v>0</v>
      </c>
      <c r="J11" s="1234">
        <v>0</v>
      </c>
      <c r="K11" s="1235">
        <v>0</v>
      </c>
      <c r="L11" s="1234">
        <v>0</v>
      </c>
      <c r="M11" s="1236">
        <v>2</v>
      </c>
      <c r="N11" s="1237">
        <v>5676105.6900000004</v>
      </c>
      <c r="O11" s="1237">
        <v>880</v>
      </c>
      <c r="P11" s="1237">
        <v>4331471.41</v>
      </c>
      <c r="Q11" s="1238">
        <v>0</v>
      </c>
      <c r="R11" s="1238">
        <v>0</v>
      </c>
      <c r="S11" s="1237">
        <v>4027.4</v>
      </c>
      <c r="T11" s="1237">
        <v>15899011.279999999</v>
      </c>
      <c r="U11" s="1238">
        <v>0</v>
      </c>
      <c r="V11" s="1238">
        <v>0</v>
      </c>
      <c r="W11" s="1056">
        <v>0</v>
      </c>
      <c r="X11" s="1056">
        <v>0</v>
      </c>
      <c r="Y11" s="1056">
        <v>0</v>
      </c>
      <c r="Z11" s="1238">
        <v>2029104.24</v>
      </c>
      <c r="AA11" s="1238">
        <v>0</v>
      </c>
    </row>
    <row r="12" spans="1:27" s="1065" customFormat="1" ht="110.25" customHeight="1">
      <c r="A12" s="1232">
        <v>2</v>
      </c>
      <c r="B12" s="1233" t="s">
        <v>1767</v>
      </c>
      <c r="C12" s="1056">
        <f t="shared" ref="C12:C19" si="4">D12+N12+P12+R12+T12+X12+Z12</f>
        <v>14500229.309999999</v>
      </c>
      <c r="D12" s="1056">
        <f t="shared" ref="D12:D20" si="5">SUM(E12:J12)</f>
        <v>0</v>
      </c>
      <c r="E12" s="1234">
        <v>0</v>
      </c>
      <c r="F12" s="1234">
        <v>0</v>
      </c>
      <c r="G12" s="1234">
        <v>0</v>
      </c>
      <c r="H12" s="1234">
        <v>0</v>
      </c>
      <c r="I12" s="1234">
        <v>0</v>
      </c>
      <c r="J12" s="1234">
        <v>0</v>
      </c>
      <c r="K12" s="1239">
        <v>0</v>
      </c>
      <c r="L12" s="1238">
        <v>0</v>
      </c>
      <c r="M12" s="1236">
        <v>1</v>
      </c>
      <c r="N12" s="1238">
        <v>2838052.85</v>
      </c>
      <c r="O12" s="1238">
        <v>2155.36</v>
      </c>
      <c r="P12" s="1238">
        <v>10608954.789999999</v>
      </c>
      <c r="Q12" s="1238">
        <v>0</v>
      </c>
      <c r="R12" s="1238">
        <v>0</v>
      </c>
      <c r="S12" s="1238">
        <v>0</v>
      </c>
      <c r="T12" s="1238">
        <v>0</v>
      </c>
      <c r="U12" s="1238">
        <v>0</v>
      </c>
      <c r="V12" s="1238">
        <v>0</v>
      </c>
      <c r="W12" s="1238">
        <v>0</v>
      </c>
      <c r="X12" s="1238">
        <v>0</v>
      </c>
      <c r="Y12" s="1238">
        <v>0</v>
      </c>
      <c r="Z12" s="1238">
        <v>1053221.67</v>
      </c>
      <c r="AA12" s="1238">
        <v>0</v>
      </c>
    </row>
    <row r="13" spans="1:27" s="1065" customFormat="1" ht="93" customHeight="1">
      <c r="A13" s="1232">
        <v>3</v>
      </c>
      <c r="B13" s="1233" t="s">
        <v>1768</v>
      </c>
      <c r="C13" s="1056">
        <f t="shared" si="4"/>
        <v>37984944.43</v>
      </c>
      <c r="D13" s="1056">
        <f t="shared" si="5"/>
        <v>0</v>
      </c>
      <c r="E13" s="1234">
        <v>0</v>
      </c>
      <c r="F13" s="1234">
        <v>0</v>
      </c>
      <c r="G13" s="1234">
        <v>0</v>
      </c>
      <c r="H13" s="1234">
        <v>0</v>
      </c>
      <c r="I13" s="1234">
        <v>0</v>
      </c>
      <c r="J13" s="1234">
        <v>0</v>
      </c>
      <c r="K13" s="1235">
        <v>0</v>
      </c>
      <c r="L13" s="1234">
        <v>0</v>
      </c>
      <c r="M13" s="1236">
        <v>2</v>
      </c>
      <c r="N13" s="1238">
        <v>8152512.4699999997</v>
      </c>
      <c r="O13" s="1238">
        <v>0</v>
      </c>
      <c r="P13" s="1238">
        <v>0</v>
      </c>
      <c r="Q13" s="1238">
        <v>0</v>
      </c>
      <c r="R13" s="1238">
        <v>0</v>
      </c>
      <c r="S13" s="1238">
        <v>6858</v>
      </c>
      <c r="T13" s="1238">
        <v>27073402.039999999</v>
      </c>
      <c r="U13" s="1238">
        <v>0</v>
      </c>
      <c r="V13" s="1238">
        <v>0</v>
      </c>
      <c r="W13" s="1238">
        <v>0</v>
      </c>
      <c r="X13" s="1238">
        <v>0</v>
      </c>
      <c r="Y13" s="1238">
        <v>0</v>
      </c>
      <c r="Z13" s="1238">
        <v>2759029.92</v>
      </c>
      <c r="AA13" s="1238">
        <v>0</v>
      </c>
    </row>
    <row r="14" spans="1:27" s="1065" customFormat="1" ht="66.599999999999994" customHeight="1">
      <c r="A14" s="1232">
        <v>4</v>
      </c>
      <c r="B14" s="1233" t="s">
        <v>1769</v>
      </c>
      <c r="C14" s="1056">
        <f t="shared" si="4"/>
        <v>12241360.51</v>
      </c>
      <c r="D14" s="1056">
        <f t="shared" si="5"/>
        <v>0</v>
      </c>
      <c r="E14" s="1234">
        <v>0</v>
      </c>
      <c r="F14" s="1234">
        <v>0</v>
      </c>
      <c r="G14" s="1234">
        <v>0</v>
      </c>
      <c r="H14" s="1234">
        <v>0</v>
      </c>
      <c r="I14" s="1234">
        <v>0</v>
      </c>
      <c r="J14" s="1234">
        <v>0</v>
      </c>
      <c r="K14" s="1235">
        <v>0</v>
      </c>
      <c r="L14" s="1234">
        <v>0</v>
      </c>
      <c r="M14" s="1236">
        <v>4</v>
      </c>
      <c r="N14" s="1238">
        <v>11352211.390000001</v>
      </c>
      <c r="O14" s="1238">
        <v>0</v>
      </c>
      <c r="P14" s="1238">
        <v>0</v>
      </c>
      <c r="Q14" s="1238">
        <v>0</v>
      </c>
      <c r="R14" s="1238">
        <v>0</v>
      </c>
      <c r="S14" s="1238">
        <v>0</v>
      </c>
      <c r="T14" s="1238">
        <v>0</v>
      </c>
      <c r="U14" s="1238">
        <v>0</v>
      </c>
      <c r="V14" s="1238">
        <v>0</v>
      </c>
      <c r="W14" s="1238">
        <v>0</v>
      </c>
      <c r="X14" s="1238">
        <v>0</v>
      </c>
      <c r="Y14" s="1238">
        <v>0</v>
      </c>
      <c r="Z14" s="1238">
        <v>889149.12</v>
      </c>
      <c r="AA14" s="1238">
        <v>0</v>
      </c>
    </row>
    <row r="15" spans="1:27" s="1065" customFormat="1" ht="105" customHeight="1">
      <c r="A15" s="1232">
        <v>5</v>
      </c>
      <c r="B15" s="1233" t="s">
        <v>1770</v>
      </c>
      <c r="C15" s="1056">
        <f t="shared" si="4"/>
        <v>3215641</v>
      </c>
      <c r="D15" s="1056">
        <f t="shared" si="5"/>
        <v>0</v>
      </c>
      <c r="E15" s="1234">
        <v>0</v>
      </c>
      <c r="F15" s="1234">
        <v>0</v>
      </c>
      <c r="G15" s="1234">
        <v>0</v>
      </c>
      <c r="H15" s="1234">
        <v>0</v>
      </c>
      <c r="I15" s="1234">
        <v>0</v>
      </c>
      <c r="J15" s="1234">
        <v>0</v>
      </c>
      <c r="K15" s="1235">
        <v>0</v>
      </c>
      <c r="L15" s="1234">
        <v>0</v>
      </c>
      <c r="M15" s="1236">
        <v>0</v>
      </c>
      <c r="N15" s="1238">
        <v>0</v>
      </c>
      <c r="O15" s="1238">
        <v>780</v>
      </c>
      <c r="P15" s="1238">
        <v>0</v>
      </c>
      <c r="Q15" s="1238">
        <v>0</v>
      </c>
      <c r="R15" s="1238">
        <v>0</v>
      </c>
      <c r="S15" s="1238">
        <v>1570</v>
      </c>
      <c r="T15" s="1238">
        <v>0</v>
      </c>
      <c r="U15" s="1238">
        <v>0</v>
      </c>
      <c r="V15" s="1238">
        <v>0</v>
      </c>
      <c r="W15" s="1238">
        <v>0</v>
      </c>
      <c r="X15" s="1238">
        <v>0</v>
      </c>
      <c r="Y15" s="1238">
        <v>0</v>
      </c>
      <c r="Z15" s="1238">
        <v>3215641</v>
      </c>
      <c r="AA15" s="1238">
        <v>0</v>
      </c>
    </row>
    <row r="16" spans="1:27" s="1065" customFormat="1" ht="112.5" customHeight="1">
      <c r="A16" s="1232">
        <v>6</v>
      </c>
      <c r="B16" s="1233" t="s">
        <v>1771</v>
      </c>
      <c r="C16" s="1056">
        <f t="shared" si="4"/>
        <v>5225790.5500000007</v>
      </c>
      <c r="D16" s="1056">
        <f t="shared" si="5"/>
        <v>0</v>
      </c>
      <c r="E16" s="1234">
        <v>0</v>
      </c>
      <c r="F16" s="1234">
        <v>0</v>
      </c>
      <c r="G16" s="1234">
        <v>0</v>
      </c>
      <c r="H16" s="1234">
        <v>0</v>
      </c>
      <c r="I16" s="1234">
        <v>0</v>
      </c>
      <c r="J16" s="1234">
        <v>0</v>
      </c>
      <c r="K16" s="1235">
        <v>0</v>
      </c>
      <c r="L16" s="1234">
        <v>0</v>
      </c>
      <c r="M16" s="1236">
        <v>0</v>
      </c>
      <c r="N16" s="1238">
        <v>0</v>
      </c>
      <c r="O16" s="1238">
        <v>570</v>
      </c>
      <c r="P16" s="1238">
        <v>4846216.1500000004</v>
      </c>
      <c r="Q16" s="1238">
        <v>0</v>
      </c>
      <c r="R16" s="1238">
        <v>0</v>
      </c>
      <c r="S16" s="1238">
        <v>0</v>
      </c>
      <c r="T16" s="1238">
        <v>0</v>
      </c>
      <c r="U16" s="1238">
        <v>0</v>
      </c>
      <c r="V16" s="1238">
        <v>0</v>
      </c>
      <c r="W16" s="1238">
        <v>0</v>
      </c>
      <c r="X16" s="1238">
        <v>0</v>
      </c>
      <c r="Y16" s="1238">
        <v>0</v>
      </c>
      <c r="Z16" s="1238">
        <v>379574.4</v>
      </c>
      <c r="AA16" s="1238">
        <v>0</v>
      </c>
    </row>
    <row r="17" spans="1:27" s="1065" customFormat="1" ht="119.25" customHeight="1">
      <c r="A17" s="1232">
        <v>7</v>
      </c>
      <c r="B17" s="1233" t="s">
        <v>1772</v>
      </c>
      <c r="C17" s="1056">
        <f t="shared" si="4"/>
        <v>8117052.129999999</v>
      </c>
      <c r="D17" s="1056">
        <f t="shared" si="5"/>
        <v>2667647.38</v>
      </c>
      <c r="E17" s="1234">
        <v>352617.92</v>
      </c>
      <c r="F17" s="1234">
        <v>937963.67</v>
      </c>
      <c r="G17" s="1234">
        <v>0</v>
      </c>
      <c r="H17" s="1234">
        <v>565302.21</v>
      </c>
      <c r="I17" s="1234">
        <v>565302.21</v>
      </c>
      <c r="J17" s="1234">
        <v>246461.37</v>
      </c>
      <c r="K17" s="1235">
        <v>0</v>
      </c>
      <c r="L17" s="1234">
        <v>0</v>
      </c>
      <c r="M17" s="1236">
        <v>0</v>
      </c>
      <c r="N17" s="1238">
        <v>0</v>
      </c>
      <c r="O17" s="1238">
        <v>371.2</v>
      </c>
      <c r="P17" s="1238">
        <v>3155991.9899999998</v>
      </c>
      <c r="Q17" s="1238">
        <v>0</v>
      </c>
      <c r="R17" s="1238">
        <v>0</v>
      </c>
      <c r="S17" s="1238">
        <v>431.6</v>
      </c>
      <c r="T17" s="1238">
        <v>1703832.07</v>
      </c>
      <c r="U17" s="1238">
        <v>0</v>
      </c>
      <c r="V17" s="1238">
        <v>0</v>
      </c>
      <c r="W17" s="1238">
        <v>0</v>
      </c>
      <c r="X17" s="1238">
        <v>0</v>
      </c>
      <c r="Y17" s="1238">
        <v>0</v>
      </c>
      <c r="Z17" s="1238">
        <v>589580.68999999994</v>
      </c>
      <c r="AA17" s="1238">
        <v>0</v>
      </c>
    </row>
    <row r="18" spans="1:27" s="1065" customFormat="1" ht="91.15" customHeight="1">
      <c r="A18" s="1232">
        <v>8</v>
      </c>
      <c r="B18" s="1233" t="s">
        <v>1773</v>
      </c>
      <c r="C18" s="1056">
        <f t="shared" si="4"/>
        <v>18401541.02</v>
      </c>
      <c r="D18" s="1056">
        <f t="shared" si="5"/>
        <v>14023074.010000002</v>
      </c>
      <c r="E18" s="1234">
        <v>1561455.04</v>
      </c>
      <c r="F18" s="1234">
        <v>5154009.4000000004</v>
      </c>
      <c r="G18" s="1234">
        <v>1209716.74</v>
      </c>
      <c r="H18" s="1234">
        <v>2503258.9700000002</v>
      </c>
      <c r="I18" s="1234">
        <v>2503258.9700000002</v>
      </c>
      <c r="J18" s="1234">
        <v>1091374.8900000001</v>
      </c>
      <c r="K18" s="1235">
        <v>0</v>
      </c>
      <c r="L18" s="1234">
        <v>0</v>
      </c>
      <c r="M18" s="1236">
        <v>0</v>
      </c>
      <c r="N18" s="1238">
        <v>0</v>
      </c>
      <c r="O18" s="1238">
        <v>618</v>
      </c>
      <c r="P18" s="1238">
        <v>3041874.24</v>
      </c>
      <c r="Q18" s="1238">
        <v>0</v>
      </c>
      <c r="R18" s="1238">
        <v>0</v>
      </c>
      <c r="S18" s="1238">
        <v>0</v>
      </c>
      <c r="T18" s="1238">
        <v>0</v>
      </c>
      <c r="U18" s="1238">
        <v>0</v>
      </c>
      <c r="V18" s="1238">
        <v>0</v>
      </c>
      <c r="W18" s="1238">
        <v>0</v>
      </c>
      <c r="X18" s="1238">
        <v>0</v>
      </c>
      <c r="Y18" s="1238">
        <v>0</v>
      </c>
      <c r="Z18" s="1238">
        <v>1336592.77</v>
      </c>
      <c r="AA18" s="1238">
        <v>0</v>
      </c>
    </row>
    <row r="19" spans="1:27" s="1065" customFormat="1" ht="116.25" customHeight="1">
      <c r="A19" s="1232">
        <v>9</v>
      </c>
      <c r="B19" s="1233" t="s">
        <v>1774</v>
      </c>
      <c r="C19" s="1056">
        <f t="shared" si="4"/>
        <v>18306453</v>
      </c>
      <c r="D19" s="1056">
        <f t="shared" si="5"/>
        <v>14269597.300000001</v>
      </c>
      <c r="E19" s="1234">
        <v>1710982.89</v>
      </c>
      <c r="F19" s="1234">
        <v>4551214.4800000004</v>
      </c>
      <c r="G19" s="1234">
        <v>1325561.48</v>
      </c>
      <c r="H19" s="1234">
        <v>2742975.73</v>
      </c>
      <c r="I19" s="1234">
        <v>2742975.73</v>
      </c>
      <c r="J19" s="1234">
        <v>1195886.99</v>
      </c>
      <c r="K19" s="1235">
        <v>0</v>
      </c>
      <c r="L19" s="1234">
        <v>0</v>
      </c>
      <c r="M19" s="1236">
        <v>0</v>
      </c>
      <c r="N19" s="1238">
        <v>0</v>
      </c>
      <c r="O19" s="1238">
        <v>550</v>
      </c>
      <c r="P19" s="1238">
        <v>2707169.63</v>
      </c>
      <c r="Q19" s="1238">
        <v>0</v>
      </c>
      <c r="R19" s="1238">
        <v>0</v>
      </c>
      <c r="S19" s="1238">
        <v>0</v>
      </c>
      <c r="T19" s="1238">
        <v>0</v>
      </c>
      <c r="U19" s="1238">
        <v>0</v>
      </c>
      <c r="V19" s="1238">
        <v>0</v>
      </c>
      <c r="W19" s="1238">
        <v>0</v>
      </c>
      <c r="X19" s="1238">
        <v>0</v>
      </c>
      <c r="Y19" s="1238">
        <v>0</v>
      </c>
      <c r="Z19" s="1238">
        <v>1329686.0699999998</v>
      </c>
      <c r="AA19" s="1238">
        <v>0</v>
      </c>
    </row>
    <row r="20" spans="1:27" s="1065" customFormat="1" ht="98.45" customHeight="1">
      <c r="A20" s="1232">
        <v>10</v>
      </c>
      <c r="B20" s="1233" t="s">
        <v>1959</v>
      </c>
      <c r="C20" s="1056">
        <f>D20+N20+P20+R20+T20+X20+Z20+L20</f>
        <v>12152935.720000001</v>
      </c>
      <c r="D20" s="1056">
        <f t="shared" si="5"/>
        <v>4825583.88</v>
      </c>
      <c r="E20" s="1234">
        <v>716297.61</v>
      </c>
      <c r="F20" s="1234">
        <v>1905351.63</v>
      </c>
      <c r="G20" s="1234">
        <v>554942.15</v>
      </c>
      <c r="H20" s="1234">
        <v>1148338.1599999999</v>
      </c>
      <c r="I20" s="1234">
        <v>0</v>
      </c>
      <c r="J20" s="1234">
        <v>500654.33</v>
      </c>
      <c r="K20" s="1235">
        <v>2</v>
      </c>
      <c r="L20" s="1234">
        <f>348180+82121</f>
        <v>430301</v>
      </c>
      <c r="M20" s="1236">
        <v>0</v>
      </c>
      <c r="N20" s="1238">
        <v>0</v>
      </c>
      <c r="O20" s="1238">
        <v>707.39</v>
      </c>
      <c r="P20" s="1238">
        <v>6014324.29</v>
      </c>
      <c r="Q20" s="1238">
        <v>0</v>
      </c>
      <c r="R20" s="1238">
        <v>0</v>
      </c>
      <c r="S20" s="1238">
        <v>0</v>
      </c>
      <c r="T20" s="1238">
        <v>0</v>
      </c>
      <c r="U20" s="1238">
        <v>0</v>
      </c>
      <c r="V20" s="1238">
        <v>0</v>
      </c>
      <c r="W20" s="1238">
        <v>0</v>
      </c>
      <c r="X20" s="1238">
        <v>0</v>
      </c>
      <c r="Y20" s="1238">
        <v>0</v>
      </c>
      <c r="Z20" s="1238">
        <v>882726.55</v>
      </c>
      <c r="AA20" s="1238">
        <v>0</v>
      </c>
    </row>
    <row r="21" spans="1:27" s="1065" customFormat="1" ht="145.5" customHeight="1">
      <c r="A21" s="1121"/>
      <c r="B21" s="1055" t="s">
        <v>1093</v>
      </c>
      <c r="C21" s="1056">
        <f t="shared" ref="C21:T21" si="6">SUM(C22:C30)</f>
        <v>28532348.18</v>
      </c>
      <c r="D21" s="1056">
        <f t="shared" si="6"/>
        <v>0</v>
      </c>
      <c r="E21" s="1056">
        <f t="shared" si="6"/>
        <v>0</v>
      </c>
      <c r="F21" s="1056">
        <f t="shared" si="6"/>
        <v>0</v>
      </c>
      <c r="G21" s="1056">
        <f t="shared" si="6"/>
        <v>0</v>
      </c>
      <c r="H21" s="1056">
        <f t="shared" si="6"/>
        <v>0</v>
      </c>
      <c r="I21" s="1056">
        <f t="shared" si="6"/>
        <v>0</v>
      </c>
      <c r="J21" s="1056">
        <f t="shared" si="6"/>
        <v>0</v>
      </c>
      <c r="K21" s="1063">
        <f t="shared" si="6"/>
        <v>0</v>
      </c>
      <c r="L21" s="1056">
        <f t="shared" si="6"/>
        <v>0</v>
      </c>
      <c r="M21" s="1063">
        <f t="shared" si="6"/>
        <v>0</v>
      </c>
      <c r="N21" s="1056">
        <f t="shared" si="6"/>
        <v>0</v>
      </c>
      <c r="O21" s="1056">
        <f t="shared" si="6"/>
        <v>3706.11</v>
      </c>
      <c r="P21" s="1056">
        <f t="shared" si="6"/>
        <v>24007695.100000001</v>
      </c>
      <c r="Q21" s="1056">
        <f t="shared" si="6"/>
        <v>0</v>
      </c>
      <c r="R21" s="1056">
        <f t="shared" si="6"/>
        <v>0</v>
      </c>
      <c r="S21" s="1056">
        <f t="shared" si="6"/>
        <v>0</v>
      </c>
      <c r="T21" s="1056">
        <f t="shared" si="6"/>
        <v>0</v>
      </c>
      <c r="U21" s="1056">
        <v>0</v>
      </c>
      <c r="V21" s="1056">
        <v>0</v>
      </c>
      <c r="W21" s="1056">
        <f>SUM(W22:W30)</f>
        <v>0</v>
      </c>
      <c r="X21" s="1056">
        <f>SUM(X22:X30)</f>
        <v>0</v>
      </c>
      <c r="Y21" s="1056">
        <f>SUM(Y22:Y30)</f>
        <v>0</v>
      </c>
      <c r="Z21" s="1056">
        <f>SUM(Z22:Z30)</f>
        <v>4524653.08</v>
      </c>
      <c r="AA21" s="1056">
        <f>SUM(AA22:AA30)</f>
        <v>0</v>
      </c>
    </row>
    <row r="22" spans="1:27" s="1065" customFormat="1" ht="166.15" customHeight="1">
      <c r="A22" s="1121">
        <v>11</v>
      </c>
      <c r="B22" s="1055" t="s">
        <v>1724</v>
      </c>
      <c r="C22" s="1056">
        <f t="shared" ref="C22:C30" si="7">D22+N22+P22+R22+T22+X22+Z22</f>
        <v>4898148.28</v>
      </c>
      <c r="D22" s="1056">
        <f t="shared" ref="D22:D30" si="8">SUM(E22:J22)</f>
        <v>0</v>
      </c>
      <c r="E22" s="1068">
        <v>0</v>
      </c>
      <c r="F22" s="1068">
        <v>0</v>
      </c>
      <c r="G22" s="1068">
        <v>0</v>
      </c>
      <c r="H22" s="1068">
        <v>0</v>
      </c>
      <c r="I22" s="1068">
        <v>0</v>
      </c>
      <c r="J22" s="1068">
        <v>0</v>
      </c>
      <c r="K22" s="1063">
        <v>0</v>
      </c>
      <c r="L22" s="1068">
        <v>0</v>
      </c>
      <c r="M22" s="1063">
        <v>0</v>
      </c>
      <c r="N22" s="1068">
        <v>0</v>
      </c>
      <c r="O22" s="1234">
        <v>614</v>
      </c>
      <c r="P22" s="1234">
        <v>4542372.12</v>
      </c>
      <c r="Q22" s="1240">
        <v>0</v>
      </c>
      <c r="R22" s="1241">
        <v>0</v>
      </c>
      <c r="S22" s="1241">
        <v>0</v>
      </c>
      <c r="T22" s="1241">
        <v>0</v>
      </c>
      <c r="U22" s="1056">
        <v>0</v>
      </c>
      <c r="V22" s="1056">
        <v>0</v>
      </c>
      <c r="W22" s="1241">
        <v>0</v>
      </c>
      <c r="X22" s="1241">
        <v>0</v>
      </c>
      <c r="Y22" s="1056">
        <v>0</v>
      </c>
      <c r="Z22" s="1234">
        <v>355776.16</v>
      </c>
      <c r="AA22" s="1241">
        <v>0</v>
      </c>
    </row>
    <row r="23" spans="1:27" s="1065" customFormat="1" ht="131.44999999999999" customHeight="1">
      <c r="A23" s="1121">
        <v>12</v>
      </c>
      <c r="B23" s="1055" t="s">
        <v>1718</v>
      </c>
      <c r="C23" s="1056">
        <f t="shared" si="7"/>
        <v>1191236</v>
      </c>
      <c r="D23" s="1056">
        <f t="shared" si="8"/>
        <v>0</v>
      </c>
      <c r="E23" s="1068">
        <v>0</v>
      </c>
      <c r="F23" s="1068">
        <v>0</v>
      </c>
      <c r="G23" s="1068">
        <v>0</v>
      </c>
      <c r="H23" s="1068">
        <v>0</v>
      </c>
      <c r="I23" s="1068">
        <v>0</v>
      </c>
      <c r="J23" s="1068">
        <v>0</v>
      </c>
      <c r="K23" s="1063">
        <v>0</v>
      </c>
      <c r="L23" s="1068">
        <v>0</v>
      </c>
      <c r="M23" s="1063">
        <v>0</v>
      </c>
      <c r="N23" s="1068">
        <v>0</v>
      </c>
      <c r="O23" s="1234">
        <v>0</v>
      </c>
      <c r="P23" s="1234">
        <v>0</v>
      </c>
      <c r="Q23" s="1240">
        <v>0</v>
      </c>
      <c r="R23" s="1241">
        <v>0</v>
      </c>
      <c r="S23" s="1241">
        <v>0</v>
      </c>
      <c r="T23" s="1241">
        <v>0</v>
      </c>
      <c r="U23" s="1056">
        <v>0</v>
      </c>
      <c r="V23" s="1056">
        <v>0</v>
      </c>
      <c r="W23" s="1241">
        <v>0</v>
      </c>
      <c r="X23" s="1241">
        <v>0</v>
      </c>
      <c r="Y23" s="1056">
        <v>0</v>
      </c>
      <c r="Z23" s="1234">
        <v>1191236</v>
      </c>
      <c r="AA23" s="1241">
        <v>0</v>
      </c>
    </row>
    <row r="24" spans="1:27" s="1065" customFormat="1" ht="135" customHeight="1">
      <c r="A24" s="1121">
        <v>13</v>
      </c>
      <c r="B24" s="1055" t="s">
        <v>1719</v>
      </c>
      <c r="C24" s="1056">
        <f t="shared" si="7"/>
        <v>6253469.2199999997</v>
      </c>
      <c r="D24" s="1056">
        <f t="shared" si="8"/>
        <v>0</v>
      </c>
      <c r="E24" s="1068">
        <v>0</v>
      </c>
      <c r="F24" s="1068">
        <v>0</v>
      </c>
      <c r="G24" s="1068">
        <v>0</v>
      </c>
      <c r="H24" s="1068">
        <v>0</v>
      </c>
      <c r="I24" s="1068">
        <v>0</v>
      </c>
      <c r="J24" s="1068">
        <v>0</v>
      </c>
      <c r="K24" s="1063">
        <v>0</v>
      </c>
      <c r="L24" s="1068">
        <v>0</v>
      </c>
      <c r="M24" s="1063">
        <v>0</v>
      </c>
      <c r="N24" s="1068">
        <v>0</v>
      </c>
      <c r="O24" s="1234">
        <v>1178.2</v>
      </c>
      <c r="P24" s="1234">
        <v>5799249.5599999996</v>
      </c>
      <c r="Q24" s="1240">
        <v>0</v>
      </c>
      <c r="R24" s="1241">
        <v>0</v>
      </c>
      <c r="S24" s="1241">
        <v>0</v>
      </c>
      <c r="T24" s="1241">
        <v>0</v>
      </c>
      <c r="U24" s="1056">
        <v>0</v>
      </c>
      <c r="V24" s="1056">
        <v>0</v>
      </c>
      <c r="W24" s="1241">
        <v>0</v>
      </c>
      <c r="X24" s="1241">
        <v>0</v>
      </c>
      <c r="Y24" s="1056">
        <v>0</v>
      </c>
      <c r="Z24" s="1234">
        <v>454219.66</v>
      </c>
      <c r="AA24" s="1241">
        <v>0</v>
      </c>
    </row>
    <row r="25" spans="1:27" s="1065" customFormat="1" ht="126.6" customHeight="1">
      <c r="A25" s="1121">
        <v>14</v>
      </c>
      <c r="B25" s="1055" t="s">
        <v>1725</v>
      </c>
      <c r="C25" s="1056">
        <f t="shared" si="7"/>
        <v>3863966.72</v>
      </c>
      <c r="D25" s="1056">
        <f t="shared" si="8"/>
        <v>0</v>
      </c>
      <c r="E25" s="1068">
        <v>0</v>
      </c>
      <c r="F25" s="1068">
        <v>0</v>
      </c>
      <c r="G25" s="1068">
        <v>0</v>
      </c>
      <c r="H25" s="1068">
        <v>0</v>
      </c>
      <c r="I25" s="1068">
        <v>0</v>
      </c>
      <c r="J25" s="1068">
        <v>0</v>
      </c>
      <c r="K25" s="1063">
        <v>0</v>
      </c>
      <c r="L25" s="1068">
        <v>0</v>
      </c>
      <c r="M25" s="1063">
        <v>0</v>
      </c>
      <c r="N25" s="1068">
        <v>0</v>
      </c>
      <c r="O25" s="1234">
        <v>728</v>
      </c>
      <c r="P25" s="1234">
        <v>3583308.16</v>
      </c>
      <c r="Q25" s="1240">
        <v>0</v>
      </c>
      <c r="R25" s="1241">
        <v>0</v>
      </c>
      <c r="S25" s="1241">
        <v>0</v>
      </c>
      <c r="T25" s="1241">
        <v>0</v>
      </c>
      <c r="U25" s="1056">
        <v>0</v>
      </c>
      <c r="V25" s="1056">
        <v>0</v>
      </c>
      <c r="W25" s="1241">
        <v>0</v>
      </c>
      <c r="X25" s="1241">
        <v>0</v>
      </c>
      <c r="Y25" s="1056">
        <v>0</v>
      </c>
      <c r="Z25" s="1234">
        <v>280658.56</v>
      </c>
      <c r="AA25" s="1241">
        <v>0</v>
      </c>
    </row>
    <row r="26" spans="1:27" s="1065" customFormat="1" ht="118.5" customHeight="1">
      <c r="A26" s="1121">
        <v>15</v>
      </c>
      <c r="B26" s="1055" t="s">
        <v>1720</v>
      </c>
      <c r="C26" s="1056">
        <f t="shared" si="7"/>
        <v>7720509.6200000001</v>
      </c>
      <c r="D26" s="1056">
        <f t="shared" si="8"/>
        <v>0</v>
      </c>
      <c r="E26" s="1068">
        <v>0</v>
      </c>
      <c r="F26" s="1068">
        <v>0</v>
      </c>
      <c r="G26" s="1068">
        <v>0</v>
      </c>
      <c r="H26" s="1068">
        <v>0</v>
      </c>
      <c r="I26" s="1068">
        <v>0</v>
      </c>
      <c r="J26" s="1068">
        <v>0</v>
      </c>
      <c r="K26" s="1063">
        <v>0</v>
      </c>
      <c r="L26" s="1068">
        <v>0</v>
      </c>
      <c r="M26" s="1063">
        <v>0</v>
      </c>
      <c r="N26" s="1068">
        <v>0</v>
      </c>
      <c r="O26" s="1234">
        <v>842.11</v>
      </c>
      <c r="P26" s="1234">
        <v>7159731.7300000004</v>
      </c>
      <c r="Q26" s="1240">
        <v>0</v>
      </c>
      <c r="R26" s="1241">
        <v>0</v>
      </c>
      <c r="S26" s="1241">
        <v>0</v>
      </c>
      <c r="T26" s="1241">
        <v>0</v>
      </c>
      <c r="U26" s="1056">
        <v>0</v>
      </c>
      <c r="V26" s="1056">
        <v>0</v>
      </c>
      <c r="W26" s="1241">
        <v>0</v>
      </c>
      <c r="X26" s="1241">
        <v>0</v>
      </c>
      <c r="Y26" s="1056">
        <v>0</v>
      </c>
      <c r="Z26" s="1234">
        <v>560777.89</v>
      </c>
      <c r="AA26" s="1241">
        <v>0</v>
      </c>
    </row>
    <row r="27" spans="1:27" s="1065" customFormat="1" ht="96" customHeight="1">
      <c r="A27" s="1121">
        <v>16</v>
      </c>
      <c r="B27" s="1055" t="s">
        <v>1721</v>
      </c>
      <c r="C27" s="1056">
        <f t="shared" si="7"/>
        <v>1210508</v>
      </c>
      <c r="D27" s="1056">
        <f t="shared" si="8"/>
        <v>0</v>
      </c>
      <c r="E27" s="1068">
        <v>0</v>
      </c>
      <c r="F27" s="1068">
        <v>0</v>
      </c>
      <c r="G27" s="1068">
        <v>0</v>
      </c>
      <c r="H27" s="1068">
        <v>0</v>
      </c>
      <c r="I27" s="1068">
        <v>0</v>
      </c>
      <c r="J27" s="1068">
        <v>0</v>
      </c>
      <c r="K27" s="1063">
        <v>0</v>
      </c>
      <c r="L27" s="1068">
        <v>0</v>
      </c>
      <c r="M27" s="1063">
        <v>0</v>
      </c>
      <c r="N27" s="1068">
        <v>0</v>
      </c>
      <c r="O27" s="1234">
        <v>0</v>
      </c>
      <c r="P27" s="1234">
        <v>0</v>
      </c>
      <c r="Q27" s="1240">
        <v>0</v>
      </c>
      <c r="R27" s="1241">
        <v>0</v>
      </c>
      <c r="S27" s="1241">
        <v>0</v>
      </c>
      <c r="T27" s="1241">
        <v>0</v>
      </c>
      <c r="U27" s="1056">
        <v>0</v>
      </c>
      <c r="V27" s="1056">
        <v>0</v>
      </c>
      <c r="W27" s="1241">
        <v>0</v>
      </c>
      <c r="X27" s="1241">
        <v>0</v>
      </c>
      <c r="Y27" s="1056">
        <v>0</v>
      </c>
      <c r="Z27" s="1234">
        <v>1210508</v>
      </c>
      <c r="AA27" s="1241">
        <v>0</v>
      </c>
    </row>
    <row r="28" spans="1:27" s="1069" customFormat="1" ht="75" customHeight="1">
      <c r="A28" s="1121">
        <v>17</v>
      </c>
      <c r="B28" s="1055" t="s">
        <v>1123</v>
      </c>
      <c r="C28" s="1056">
        <f t="shared" si="7"/>
        <v>3151976.8299999996</v>
      </c>
      <c r="D28" s="1056">
        <f t="shared" si="8"/>
        <v>0</v>
      </c>
      <c r="E28" s="1068">
        <v>0</v>
      </c>
      <c r="F28" s="1068">
        <v>0</v>
      </c>
      <c r="G28" s="1068">
        <v>0</v>
      </c>
      <c r="H28" s="1068">
        <v>0</v>
      </c>
      <c r="I28" s="1068">
        <v>0</v>
      </c>
      <c r="J28" s="1068">
        <v>0</v>
      </c>
      <c r="K28" s="1063">
        <v>0</v>
      </c>
      <c r="L28" s="1068">
        <v>0</v>
      </c>
      <c r="M28" s="1063">
        <v>0</v>
      </c>
      <c r="N28" s="1068">
        <v>0</v>
      </c>
      <c r="O28" s="1234">
        <v>343.8</v>
      </c>
      <c r="P28" s="1234">
        <v>2923033.53</v>
      </c>
      <c r="Q28" s="1240">
        <v>0</v>
      </c>
      <c r="R28" s="1241">
        <v>0</v>
      </c>
      <c r="S28" s="1241">
        <v>0</v>
      </c>
      <c r="T28" s="1241">
        <v>0</v>
      </c>
      <c r="U28" s="1056">
        <v>0</v>
      </c>
      <c r="V28" s="1056">
        <v>0</v>
      </c>
      <c r="W28" s="1241">
        <v>0</v>
      </c>
      <c r="X28" s="1241">
        <v>0</v>
      </c>
      <c r="Y28" s="1056">
        <v>0</v>
      </c>
      <c r="Z28" s="1234">
        <v>228943.3</v>
      </c>
      <c r="AA28" s="1241">
        <v>0</v>
      </c>
    </row>
    <row r="29" spans="1:27" s="1069" customFormat="1" ht="94.9" customHeight="1">
      <c r="A29" s="1121">
        <v>18</v>
      </c>
      <c r="B29" s="1055" t="s">
        <v>1722</v>
      </c>
      <c r="C29" s="1056">
        <f t="shared" si="7"/>
        <v>146528.6</v>
      </c>
      <c r="D29" s="1056">
        <f t="shared" si="8"/>
        <v>0</v>
      </c>
      <c r="E29" s="1068">
        <v>0</v>
      </c>
      <c r="F29" s="1068">
        <v>0</v>
      </c>
      <c r="G29" s="1068">
        <v>0</v>
      </c>
      <c r="H29" s="1068">
        <v>0</v>
      </c>
      <c r="I29" s="1068">
        <v>0</v>
      </c>
      <c r="J29" s="1068">
        <v>0</v>
      </c>
      <c r="K29" s="1063">
        <v>0</v>
      </c>
      <c r="L29" s="1068">
        <v>0</v>
      </c>
      <c r="M29" s="1063">
        <v>0</v>
      </c>
      <c r="N29" s="1068">
        <v>0</v>
      </c>
      <c r="O29" s="1068">
        <v>0</v>
      </c>
      <c r="P29" s="1241">
        <v>0</v>
      </c>
      <c r="Q29" s="1240">
        <v>0</v>
      </c>
      <c r="R29" s="1241">
        <v>0</v>
      </c>
      <c r="S29" s="1241">
        <v>0</v>
      </c>
      <c r="T29" s="1241">
        <v>0</v>
      </c>
      <c r="U29" s="1056">
        <v>0</v>
      </c>
      <c r="V29" s="1056">
        <v>0</v>
      </c>
      <c r="W29" s="1241">
        <v>0</v>
      </c>
      <c r="X29" s="1241">
        <v>0</v>
      </c>
      <c r="Y29" s="1056">
        <v>0</v>
      </c>
      <c r="Z29" s="1234">
        <v>146528.6</v>
      </c>
      <c r="AA29" s="1241">
        <v>0</v>
      </c>
    </row>
    <row r="30" spans="1:27" s="1069" customFormat="1" ht="103.15" customHeight="1">
      <c r="A30" s="1121">
        <v>19</v>
      </c>
      <c r="B30" s="1055" t="s">
        <v>1723</v>
      </c>
      <c r="C30" s="1056">
        <f t="shared" si="7"/>
        <v>96004.91</v>
      </c>
      <c r="D30" s="1056">
        <f t="shared" si="8"/>
        <v>0</v>
      </c>
      <c r="E30" s="1068">
        <v>0</v>
      </c>
      <c r="F30" s="1068">
        <v>0</v>
      </c>
      <c r="G30" s="1068">
        <v>0</v>
      </c>
      <c r="H30" s="1068">
        <v>0</v>
      </c>
      <c r="I30" s="1068">
        <v>0</v>
      </c>
      <c r="J30" s="1068">
        <v>0</v>
      </c>
      <c r="K30" s="1063">
        <v>0</v>
      </c>
      <c r="L30" s="1068">
        <v>0</v>
      </c>
      <c r="M30" s="1063">
        <v>0</v>
      </c>
      <c r="N30" s="1068">
        <v>0</v>
      </c>
      <c r="O30" s="1068">
        <v>0</v>
      </c>
      <c r="P30" s="1241">
        <v>0</v>
      </c>
      <c r="Q30" s="1240">
        <v>0</v>
      </c>
      <c r="R30" s="1241">
        <v>0</v>
      </c>
      <c r="S30" s="1241">
        <v>0</v>
      </c>
      <c r="T30" s="1241">
        <v>0</v>
      </c>
      <c r="U30" s="1056">
        <v>0</v>
      </c>
      <c r="V30" s="1056">
        <v>0</v>
      </c>
      <c r="W30" s="1241">
        <v>0</v>
      </c>
      <c r="X30" s="1241">
        <v>0</v>
      </c>
      <c r="Y30" s="1056">
        <v>0</v>
      </c>
      <c r="Z30" s="1234">
        <v>96004.91</v>
      </c>
      <c r="AA30" s="1241">
        <v>0</v>
      </c>
    </row>
    <row r="31" spans="1:27" s="1064" customFormat="1" ht="98.45" customHeight="1">
      <c r="A31" s="1121"/>
      <c r="B31" s="1242" t="s">
        <v>1218</v>
      </c>
      <c r="C31" s="1056">
        <f t="shared" ref="C31:T31" si="9">SUM(C32:C32)</f>
        <v>10176539.5</v>
      </c>
      <c r="D31" s="1056">
        <f t="shared" si="9"/>
        <v>0</v>
      </c>
      <c r="E31" s="1056">
        <f t="shared" si="9"/>
        <v>0</v>
      </c>
      <c r="F31" s="1056">
        <f t="shared" si="9"/>
        <v>0</v>
      </c>
      <c r="G31" s="1056">
        <f t="shared" si="9"/>
        <v>0</v>
      </c>
      <c r="H31" s="1056">
        <f t="shared" si="9"/>
        <v>0</v>
      </c>
      <c r="I31" s="1056">
        <f t="shared" si="9"/>
        <v>0</v>
      </c>
      <c r="J31" s="1056">
        <f t="shared" si="9"/>
        <v>0</v>
      </c>
      <c r="K31" s="1063">
        <f t="shared" si="9"/>
        <v>0</v>
      </c>
      <c r="L31" s="1056">
        <f t="shared" si="9"/>
        <v>0</v>
      </c>
      <c r="M31" s="1063">
        <f t="shared" si="9"/>
        <v>0</v>
      </c>
      <c r="N31" s="1056">
        <f t="shared" si="9"/>
        <v>0</v>
      </c>
      <c r="O31" s="1056">
        <f t="shared" si="9"/>
        <v>1110</v>
      </c>
      <c r="P31" s="1056">
        <f t="shared" si="9"/>
        <v>9437368.3000000007</v>
      </c>
      <c r="Q31" s="1056">
        <f t="shared" si="9"/>
        <v>0</v>
      </c>
      <c r="R31" s="1056">
        <f t="shared" si="9"/>
        <v>0</v>
      </c>
      <c r="S31" s="1056">
        <f t="shared" si="9"/>
        <v>0</v>
      </c>
      <c r="T31" s="1056">
        <f t="shared" si="9"/>
        <v>0</v>
      </c>
      <c r="U31" s="1056">
        <v>0</v>
      </c>
      <c r="V31" s="1056">
        <v>0</v>
      </c>
      <c r="W31" s="1056">
        <f>SUM(W32:W32)</f>
        <v>0</v>
      </c>
      <c r="X31" s="1056">
        <f>SUM(X32:X32)</f>
        <v>0</v>
      </c>
      <c r="Y31" s="1056">
        <v>0</v>
      </c>
      <c r="Z31" s="1056">
        <f>SUM(Z32:Z32)</f>
        <v>739171.2</v>
      </c>
      <c r="AA31" s="1056">
        <f>SUM(AA32:AA32)</f>
        <v>0</v>
      </c>
    </row>
    <row r="32" spans="1:27" s="1064" customFormat="1" ht="107.25" customHeight="1">
      <c r="A32" s="1121">
        <v>20</v>
      </c>
      <c r="B32" s="1055" t="s">
        <v>1404</v>
      </c>
      <c r="C32" s="1056">
        <f t="shared" ref="C32" si="10">D32+N32+P32+R32+T32+X32+Z32</f>
        <v>10176539.5</v>
      </c>
      <c r="D32" s="1056">
        <f t="shared" ref="D32" si="11">SUM(E32:J32)</f>
        <v>0</v>
      </c>
      <c r="E32" s="1068">
        <v>0</v>
      </c>
      <c r="F32" s="1068">
        <v>0</v>
      </c>
      <c r="G32" s="1068">
        <v>0</v>
      </c>
      <c r="H32" s="1068">
        <v>0</v>
      </c>
      <c r="I32" s="1068">
        <v>0</v>
      </c>
      <c r="J32" s="1068">
        <v>0</v>
      </c>
      <c r="K32" s="1063">
        <v>0</v>
      </c>
      <c r="L32" s="1068">
        <v>0</v>
      </c>
      <c r="M32" s="1063">
        <v>0</v>
      </c>
      <c r="N32" s="1068">
        <v>0</v>
      </c>
      <c r="O32" s="1068">
        <v>1110</v>
      </c>
      <c r="P32" s="1068">
        <v>9437368.3000000007</v>
      </c>
      <c r="Q32" s="1068">
        <v>0</v>
      </c>
      <c r="R32" s="1068">
        <v>0</v>
      </c>
      <c r="S32" s="1068">
        <v>0</v>
      </c>
      <c r="T32" s="1068">
        <v>0</v>
      </c>
      <c r="U32" s="1056">
        <v>0</v>
      </c>
      <c r="V32" s="1056">
        <v>0</v>
      </c>
      <c r="W32" s="1068">
        <v>0</v>
      </c>
      <c r="X32" s="1068">
        <v>0</v>
      </c>
      <c r="Y32" s="1056">
        <v>0</v>
      </c>
      <c r="Z32" s="1068">
        <v>739171.2</v>
      </c>
      <c r="AA32" s="1068">
        <v>0</v>
      </c>
    </row>
    <row r="33" spans="1:27" s="1064" customFormat="1" ht="88.9" customHeight="1">
      <c r="A33" s="1121"/>
      <c r="B33" s="1055" t="s">
        <v>1110</v>
      </c>
      <c r="C33" s="1056">
        <f>C34+C35+C36</f>
        <v>14556403.25</v>
      </c>
      <c r="D33" s="1056">
        <f t="shared" ref="D33:AA33" si="12">D34+D35+D36</f>
        <v>0</v>
      </c>
      <c r="E33" s="1068">
        <f t="shared" si="12"/>
        <v>0</v>
      </c>
      <c r="F33" s="1068">
        <f t="shared" si="12"/>
        <v>0</v>
      </c>
      <c r="G33" s="1068">
        <f t="shared" si="12"/>
        <v>0</v>
      </c>
      <c r="H33" s="1068">
        <f t="shared" si="12"/>
        <v>0</v>
      </c>
      <c r="I33" s="1068">
        <f t="shared" si="12"/>
        <v>0</v>
      </c>
      <c r="J33" s="1068">
        <f t="shared" si="12"/>
        <v>0</v>
      </c>
      <c r="K33" s="1063">
        <f t="shared" si="12"/>
        <v>0</v>
      </c>
      <c r="L33" s="1068">
        <f t="shared" si="12"/>
        <v>0</v>
      </c>
      <c r="M33" s="1063">
        <f t="shared" si="12"/>
        <v>0</v>
      </c>
      <c r="N33" s="1068">
        <f t="shared" si="12"/>
        <v>0</v>
      </c>
      <c r="O33" s="1068">
        <f t="shared" si="12"/>
        <v>1931</v>
      </c>
      <c r="P33" s="1068">
        <f t="shared" si="12"/>
        <v>13709423.369999999</v>
      </c>
      <c r="Q33" s="1068">
        <f t="shared" si="12"/>
        <v>0</v>
      </c>
      <c r="R33" s="1068">
        <f t="shared" si="12"/>
        <v>0</v>
      </c>
      <c r="S33" s="1068">
        <f t="shared" si="12"/>
        <v>0</v>
      </c>
      <c r="T33" s="1068">
        <f t="shared" si="12"/>
        <v>0</v>
      </c>
      <c r="U33" s="1056">
        <v>0</v>
      </c>
      <c r="V33" s="1056">
        <v>0</v>
      </c>
      <c r="W33" s="1068">
        <f t="shared" si="12"/>
        <v>0</v>
      </c>
      <c r="X33" s="1068">
        <f t="shared" si="12"/>
        <v>0</v>
      </c>
      <c r="Y33" s="1056">
        <v>0</v>
      </c>
      <c r="Z33" s="1068">
        <f t="shared" si="12"/>
        <v>846979.88</v>
      </c>
      <c r="AA33" s="1068">
        <f t="shared" si="12"/>
        <v>0</v>
      </c>
    </row>
    <row r="34" spans="1:27" s="1064" customFormat="1" ht="104.25" customHeight="1">
      <c r="A34" s="1121">
        <v>21</v>
      </c>
      <c r="B34" s="1055" t="s">
        <v>1564</v>
      </c>
      <c r="C34" s="1056">
        <f t="shared" ref="C34:C36" si="13">D34+N34+P34+R34+T34+X34+Z34</f>
        <v>5170782.2299999995</v>
      </c>
      <c r="D34" s="1056">
        <f t="shared" ref="D34:D36" si="14">SUM(E34:J34)</f>
        <v>0</v>
      </c>
      <c r="E34" s="1068">
        <v>0</v>
      </c>
      <c r="F34" s="1068">
        <v>0</v>
      </c>
      <c r="G34" s="1068">
        <v>0</v>
      </c>
      <c r="H34" s="1068">
        <v>0</v>
      </c>
      <c r="I34" s="1068">
        <v>0</v>
      </c>
      <c r="J34" s="1068">
        <v>0</v>
      </c>
      <c r="K34" s="1063">
        <v>0</v>
      </c>
      <c r="L34" s="1068">
        <v>0</v>
      </c>
      <c r="M34" s="1063">
        <v>0</v>
      </c>
      <c r="N34" s="1068">
        <v>0</v>
      </c>
      <c r="O34" s="1068">
        <v>564</v>
      </c>
      <c r="P34" s="1068">
        <v>4795203.3499999996</v>
      </c>
      <c r="Q34" s="1068">
        <v>0</v>
      </c>
      <c r="R34" s="1068">
        <v>0</v>
      </c>
      <c r="S34" s="1068">
        <v>0</v>
      </c>
      <c r="T34" s="1068">
        <v>0</v>
      </c>
      <c r="U34" s="1056">
        <v>0</v>
      </c>
      <c r="V34" s="1056">
        <v>0</v>
      </c>
      <c r="W34" s="1068">
        <v>0</v>
      </c>
      <c r="X34" s="1068">
        <v>0</v>
      </c>
      <c r="Y34" s="1056">
        <v>0</v>
      </c>
      <c r="Z34" s="1068">
        <v>375578.88</v>
      </c>
      <c r="AA34" s="1068">
        <v>0</v>
      </c>
    </row>
    <row r="35" spans="1:27" s="1064" customFormat="1" ht="87" customHeight="1">
      <c r="A35" s="1121">
        <v>22</v>
      </c>
      <c r="B35" s="1055" t="s">
        <v>1565</v>
      </c>
      <c r="C35" s="1056">
        <f t="shared" si="13"/>
        <v>5170782.2299999995</v>
      </c>
      <c r="D35" s="1056">
        <f t="shared" si="14"/>
        <v>0</v>
      </c>
      <c r="E35" s="1068">
        <v>0</v>
      </c>
      <c r="F35" s="1068">
        <v>0</v>
      </c>
      <c r="G35" s="1068">
        <v>0</v>
      </c>
      <c r="H35" s="1068">
        <v>0</v>
      </c>
      <c r="I35" s="1068">
        <v>0</v>
      </c>
      <c r="J35" s="1068">
        <v>0</v>
      </c>
      <c r="K35" s="1063">
        <v>0</v>
      </c>
      <c r="L35" s="1068">
        <v>0</v>
      </c>
      <c r="M35" s="1063">
        <v>0</v>
      </c>
      <c r="N35" s="1068">
        <v>0</v>
      </c>
      <c r="O35" s="1068">
        <v>564</v>
      </c>
      <c r="P35" s="1068">
        <v>4795203.3499999996</v>
      </c>
      <c r="Q35" s="1068">
        <v>0</v>
      </c>
      <c r="R35" s="1068">
        <v>0</v>
      </c>
      <c r="S35" s="1068">
        <v>0</v>
      </c>
      <c r="T35" s="1068">
        <v>0</v>
      </c>
      <c r="U35" s="1056">
        <v>0</v>
      </c>
      <c r="V35" s="1056">
        <v>0</v>
      </c>
      <c r="W35" s="1068">
        <v>0</v>
      </c>
      <c r="X35" s="1068">
        <v>0</v>
      </c>
      <c r="Y35" s="1056">
        <v>0</v>
      </c>
      <c r="Z35" s="1068">
        <v>375578.88</v>
      </c>
      <c r="AA35" s="1068">
        <v>0</v>
      </c>
    </row>
    <row r="36" spans="1:27" s="1064" customFormat="1" ht="102.75" customHeight="1">
      <c r="A36" s="1121">
        <v>23</v>
      </c>
      <c r="B36" s="1055" t="s">
        <v>1566</v>
      </c>
      <c r="C36" s="1056">
        <f t="shared" si="13"/>
        <v>4214838.79</v>
      </c>
      <c r="D36" s="1056">
        <f t="shared" si="14"/>
        <v>0</v>
      </c>
      <c r="E36" s="1068">
        <v>0</v>
      </c>
      <c r="F36" s="1068">
        <v>0</v>
      </c>
      <c r="G36" s="1068">
        <v>0</v>
      </c>
      <c r="H36" s="1068">
        <v>0</v>
      </c>
      <c r="I36" s="1068">
        <v>0</v>
      </c>
      <c r="J36" s="1068">
        <v>0</v>
      </c>
      <c r="K36" s="1063">
        <v>0</v>
      </c>
      <c r="L36" s="1068">
        <v>0</v>
      </c>
      <c r="M36" s="1063">
        <v>0</v>
      </c>
      <c r="N36" s="1068">
        <v>0</v>
      </c>
      <c r="O36" s="1068">
        <v>803</v>
      </c>
      <c r="P36" s="1068">
        <v>4119016.67</v>
      </c>
      <c r="Q36" s="1068">
        <v>0</v>
      </c>
      <c r="R36" s="1068">
        <v>0</v>
      </c>
      <c r="S36" s="1068">
        <v>0</v>
      </c>
      <c r="T36" s="1068">
        <v>0</v>
      </c>
      <c r="U36" s="1056">
        <v>0</v>
      </c>
      <c r="V36" s="1056">
        <v>0</v>
      </c>
      <c r="W36" s="1068">
        <v>0</v>
      </c>
      <c r="X36" s="1068">
        <v>0</v>
      </c>
      <c r="Y36" s="1056">
        <v>0</v>
      </c>
      <c r="Z36" s="1068">
        <v>95822.12</v>
      </c>
      <c r="AA36" s="1068">
        <v>0</v>
      </c>
    </row>
    <row r="37" spans="1:27" s="1064" customFormat="1" ht="111.75" customHeight="1">
      <c r="A37" s="1121"/>
      <c r="B37" s="1055" t="s">
        <v>1485</v>
      </c>
      <c r="C37" s="1056">
        <f>C38</f>
        <v>1588224.3099999998</v>
      </c>
      <c r="D37" s="1056">
        <f t="shared" ref="D37:AA37" si="15">D38</f>
        <v>1472863.91</v>
      </c>
      <c r="E37" s="1056">
        <f t="shared" si="15"/>
        <v>1472863.91</v>
      </c>
      <c r="F37" s="1056">
        <f t="shared" si="15"/>
        <v>0</v>
      </c>
      <c r="G37" s="1056">
        <f t="shared" si="15"/>
        <v>0</v>
      </c>
      <c r="H37" s="1056">
        <f t="shared" si="15"/>
        <v>0</v>
      </c>
      <c r="I37" s="1056">
        <f t="shared" si="15"/>
        <v>0</v>
      </c>
      <c r="J37" s="1056">
        <f t="shared" si="15"/>
        <v>0</v>
      </c>
      <c r="K37" s="1056">
        <f t="shared" si="15"/>
        <v>0</v>
      </c>
      <c r="L37" s="1056">
        <f t="shared" si="15"/>
        <v>0</v>
      </c>
      <c r="M37" s="1056">
        <f t="shared" si="15"/>
        <v>0</v>
      </c>
      <c r="N37" s="1056">
        <f t="shared" si="15"/>
        <v>0</v>
      </c>
      <c r="O37" s="1056">
        <f t="shared" si="15"/>
        <v>0</v>
      </c>
      <c r="P37" s="1056">
        <f t="shared" si="15"/>
        <v>0</v>
      </c>
      <c r="Q37" s="1056">
        <f t="shared" si="15"/>
        <v>0</v>
      </c>
      <c r="R37" s="1056">
        <f t="shared" si="15"/>
        <v>0</v>
      </c>
      <c r="S37" s="1056">
        <f t="shared" si="15"/>
        <v>0</v>
      </c>
      <c r="T37" s="1056">
        <f t="shared" si="15"/>
        <v>0</v>
      </c>
      <c r="U37" s="1056">
        <f t="shared" si="15"/>
        <v>0</v>
      </c>
      <c r="V37" s="1056">
        <f t="shared" si="15"/>
        <v>0</v>
      </c>
      <c r="W37" s="1056">
        <f t="shared" si="15"/>
        <v>0</v>
      </c>
      <c r="X37" s="1056">
        <f t="shared" si="15"/>
        <v>0</v>
      </c>
      <c r="Y37" s="1056">
        <f t="shared" si="15"/>
        <v>0</v>
      </c>
      <c r="Z37" s="1056">
        <f t="shared" si="15"/>
        <v>115360.4</v>
      </c>
      <c r="AA37" s="1056">
        <f t="shared" si="15"/>
        <v>0</v>
      </c>
    </row>
    <row r="38" spans="1:27" s="1064" customFormat="1" ht="102.75" customHeight="1">
      <c r="A38" s="1121">
        <v>24</v>
      </c>
      <c r="B38" s="1055" t="s">
        <v>1481</v>
      </c>
      <c r="C38" s="1056">
        <f t="shared" ref="C38" si="16">D38+N38+P38+R38+T38+X38+Z38</f>
        <v>1588224.3099999998</v>
      </c>
      <c r="D38" s="1056">
        <f t="shared" ref="D38" si="17">SUM(E38:J38)</f>
        <v>1472863.91</v>
      </c>
      <c r="E38" s="1068">
        <v>1472863.91</v>
      </c>
      <c r="F38" s="1068">
        <v>0</v>
      </c>
      <c r="G38" s="1068">
        <v>0</v>
      </c>
      <c r="H38" s="1068">
        <v>0</v>
      </c>
      <c r="I38" s="1068">
        <v>0</v>
      </c>
      <c r="J38" s="1068">
        <v>0</v>
      </c>
      <c r="K38" s="1063">
        <v>0</v>
      </c>
      <c r="L38" s="1068">
        <v>0</v>
      </c>
      <c r="M38" s="1063">
        <v>0</v>
      </c>
      <c r="N38" s="1068">
        <v>0</v>
      </c>
      <c r="O38" s="1068">
        <v>0</v>
      </c>
      <c r="P38" s="1068">
        <v>0</v>
      </c>
      <c r="Q38" s="1068">
        <v>0</v>
      </c>
      <c r="R38" s="1068">
        <v>0</v>
      </c>
      <c r="S38" s="1068">
        <v>0</v>
      </c>
      <c r="T38" s="1068">
        <v>0</v>
      </c>
      <c r="U38" s="1056">
        <v>0</v>
      </c>
      <c r="V38" s="1056">
        <v>0</v>
      </c>
      <c r="W38" s="1068">
        <v>0</v>
      </c>
      <c r="X38" s="1068">
        <v>0</v>
      </c>
      <c r="Y38" s="1056">
        <v>0</v>
      </c>
      <c r="Z38" s="1068">
        <v>115360.4</v>
      </c>
      <c r="AA38" s="1068">
        <v>0</v>
      </c>
    </row>
    <row r="39" spans="1:27" s="1064" customFormat="1" ht="94.9" customHeight="1">
      <c r="A39" s="1121"/>
      <c r="B39" s="1062" t="s">
        <v>1094</v>
      </c>
      <c r="C39" s="1056">
        <f>C40</f>
        <v>10749726.209999999</v>
      </c>
      <c r="D39" s="1056">
        <f t="shared" ref="D39:AA39" si="18">D40</f>
        <v>0</v>
      </c>
      <c r="E39" s="1056">
        <f t="shared" si="18"/>
        <v>0</v>
      </c>
      <c r="F39" s="1056">
        <f t="shared" si="18"/>
        <v>0</v>
      </c>
      <c r="G39" s="1056">
        <f t="shared" si="18"/>
        <v>0</v>
      </c>
      <c r="H39" s="1056">
        <f t="shared" si="18"/>
        <v>0</v>
      </c>
      <c r="I39" s="1056">
        <f t="shared" si="18"/>
        <v>0</v>
      </c>
      <c r="J39" s="1056">
        <f t="shared" si="18"/>
        <v>0</v>
      </c>
      <c r="K39" s="1056">
        <f t="shared" si="18"/>
        <v>0</v>
      </c>
      <c r="L39" s="1056">
        <f t="shared" si="18"/>
        <v>0</v>
      </c>
      <c r="M39" s="1056">
        <f t="shared" si="18"/>
        <v>0</v>
      </c>
      <c r="N39" s="1056">
        <f t="shared" si="18"/>
        <v>0</v>
      </c>
      <c r="O39" s="1056">
        <f t="shared" si="18"/>
        <v>1172.52</v>
      </c>
      <c r="P39" s="1056">
        <f t="shared" si="18"/>
        <v>9968921.6899999995</v>
      </c>
      <c r="Q39" s="1056">
        <f t="shared" si="18"/>
        <v>0</v>
      </c>
      <c r="R39" s="1056">
        <f t="shared" si="18"/>
        <v>0</v>
      </c>
      <c r="S39" s="1056">
        <f t="shared" si="18"/>
        <v>0</v>
      </c>
      <c r="T39" s="1056">
        <f t="shared" si="18"/>
        <v>0</v>
      </c>
      <c r="U39" s="1056">
        <f t="shared" si="18"/>
        <v>0</v>
      </c>
      <c r="V39" s="1056">
        <f t="shared" si="18"/>
        <v>0</v>
      </c>
      <c r="W39" s="1056">
        <f t="shared" si="18"/>
        <v>0</v>
      </c>
      <c r="X39" s="1056">
        <f t="shared" si="18"/>
        <v>0</v>
      </c>
      <c r="Y39" s="1056">
        <f t="shared" si="18"/>
        <v>0</v>
      </c>
      <c r="Z39" s="1056">
        <f t="shared" si="18"/>
        <v>780804.52</v>
      </c>
      <c r="AA39" s="1056">
        <f t="shared" si="18"/>
        <v>0</v>
      </c>
    </row>
    <row r="40" spans="1:27" s="1064" customFormat="1" ht="84" customHeight="1">
      <c r="A40" s="1121">
        <v>25</v>
      </c>
      <c r="B40" s="1055" t="s">
        <v>1539</v>
      </c>
      <c r="C40" s="1056">
        <f t="shared" ref="C40" si="19">D40+N40+P40+R40+T40+X40+Z40</f>
        <v>10749726.209999999</v>
      </c>
      <c r="D40" s="1056">
        <f t="shared" ref="D40" si="20">SUM(E40:J40)</f>
        <v>0</v>
      </c>
      <c r="E40" s="1068">
        <v>0</v>
      </c>
      <c r="F40" s="1068">
        <v>0</v>
      </c>
      <c r="G40" s="1068">
        <v>0</v>
      </c>
      <c r="H40" s="1068">
        <v>0</v>
      </c>
      <c r="I40" s="1068">
        <v>0</v>
      </c>
      <c r="J40" s="1068">
        <v>0</v>
      </c>
      <c r="K40" s="1063">
        <v>0</v>
      </c>
      <c r="L40" s="1068">
        <v>0</v>
      </c>
      <c r="M40" s="1063">
        <v>0</v>
      </c>
      <c r="N40" s="1068">
        <v>0</v>
      </c>
      <c r="O40" s="1068">
        <v>1172.52</v>
      </c>
      <c r="P40" s="1068">
        <v>9968921.6899999995</v>
      </c>
      <c r="Q40" s="1068">
        <v>0</v>
      </c>
      <c r="R40" s="1068">
        <v>0</v>
      </c>
      <c r="S40" s="1068">
        <v>0</v>
      </c>
      <c r="T40" s="1068">
        <v>0</v>
      </c>
      <c r="U40" s="1056">
        <v>0</v>
      </c>
      <c r="V40" s="1056">
        <v>0</v>
      </c>
      <c r="W40" s="1068">
        <v>0</v>
      </c>
      <c r="X40" s="1068">
        <v>0</v>
      </c>
      <c r="Y40" s="1056">
        <v>0</v>
      </c>
      <c r="Z40" s="1068">
        <v>780804.52</v>
      </c>
      <c r="AA40" s="1068">
        <v>0</v>
      </c>
    </row>
    <row r="41" spans="1:27" s="1064" customFormat="1" ht="67.900000000000006" customHeight="1">
      <c r="A41" s="1121"/>
      <c r="B41" s="1055" t="s">
        <v>41</v>
      </c>
      <c r="C41" s="1068">
        <f t="shared" ref="C41:J41" si="21">C42</f>
        <v>17931462.420000002</v>
      </c>
      <c r="D41" s="1068">
        <f t="shared" si="21"/>
        <v>2082895.98</v>
      </c>
      <c r="E41" s="1068">
        <f t="shared" si="21"/>
        <v>701063.43</v>
      </c>
      <c r="F41" s="1068">
        <f t="shared" si="21"/>
        <v>0</v>
      </c>
      <c r="G41" s="1068">
        <f t="shared" si="21"/>
        <v>0</v>
      </c>
      <c r="H41" s="1068">
        <f t="shared" si="21"/>
        <v>1381832.55</v>
      </c>
      <c r="I41" s="1068">
        <f t="shared" si="21"/>
        <v>0</v>
      </c>
      <c r="J41" s="1068">
        <f t="shared" si="21"/>
        <v>0</v>
      </c>
      <c r="K41" s="1063">
        <v>0</v>
      </c>
      <c r="L41" s="1068">
        <v>0</v>
      </c>
      <c r="M41" s="1063">
        <f t="shared" ref="M41:X41" si="22">M42</f>
        <v>0</v>
      </c>
      <c r="N41" s="1068">
        <f t="shared" si="22"/>
        <v>0</v>
      </c>
      <c r="O41" s="1068">
        <f t="shared" si="22"/>
        <v>1871.6</v>
      </c>
      <c r="P41" s="1068">
        <f t="shared" si="22"/>
        <v>14546117.75</v>
      </c>
      <c r="Q41" s="1068">
        <f t="shared" si="22"/>
        <v>0</v>
      </c>
      <c r="R41" s="1068">
        <f t="shared" si="22"/>
        <v>0</v>
      </c>
      <c r="S41" s="1068">
        <f t="shared" si="22"/>
        <v>0</v>
      </c>
      <c r="T41" s="1068">
        <f t="shared" si="22"/>
        <v>0</v>
      </c>
      <c r="U41" s="1056">
        <v>0</v>
      </c>
      <c r="V41" s="1056">
        <v>0</v>
      </c>
      <c r="W41" s="1068">
        <f t="shared" si="22"/>
        <v>0</v>
      </c>
      <c r="X41" s="1068">
        <f t="shared" si="22"/>
        <v>0</v>
      </c>
      <c r="Y41" s="1056">
        <v>0</v>
      </c>
      <c r="Z41" s="1068">
        <f t="shared" ref="Z41" si="23">Z42</f>
        <v>1302448.69</v>
      </c>
      <c r="AA41" s="1068">
        <v>0</v>
      </c>
    </row>
    <row r="42" spans="1:27" s="1064" customFormat="1" ht="94.15" customHeight="1">
      <c r="A42" s="1121"/>
      <c r="B42" s="1055" t="s">
        <v>1025</v>
      </c>
      <c r="C42" s="1068">
        <f t="shared" ref="C42:T42" si="24">SUM(C43:C46)</f>
        <v>17931462.420000002</v>
      </c>
      <c r="D42" s="1068">
        <f t="shared" si="24"/>
        <v>2082895.98</v>
      </c>
      <c r="E42" s="1068">
        <f t="shared" si="24"/>
        <v>701063.43</v>
      </c>
      <c r="F42" s="1068">
        <f t="shared" si="24"/>
        <v>0</v>
      </c>
      <c r="G42" s="1068">
        <f t="shared" si="24"/>
        <v>0</v>
      </c>
      <c r="H42" s="1068">
        <f t="shared" si="24"/>
        <v>1381832.55</v>
      </c>
      <c r="I42" s="1068">
        <f t="shared" si="24"/>
        <v>0</v>
      </c>
      <c r="J42" s="1068">
        <f t="shared" si="24"/>
        <v>0</v>
      </c>
      <c r="K42" s="1073">
        <f t="shared" si="24"/>
        <v>0</v>
      </c>
      <c r="L42" s="1068">
        <f t="shared" si="24"/>
        <v>0</v>
      </c>
      <c r="M42" s="1073">
        <f t="shared" si="24"/>
        <v>0</v>
      </c>
      <c r="N42" s="1068">
        <f t="shared" si="24"/>
        <v>0</v>
      </c>
      <c r="O42" s="1068">
        <f t="shared" si="24"/>
        <v>1871.6</v>
      </c>
      <c r="P42" s="1068">
        <f t="shared" si="24"/>
        <v>14546117.75</v>
      </c>
      <c r="Q42" s="1068">
        <f t="shared" si="24"/>
        <v>0</v>
      </c>
      <c r="R42" s="1068">
        <f t="shared" si="24"/>
        <v>0</v>
      </c>
      <c r="S42" s="1068">
        <f t="shared" si="24"/>
        <v>0</v>
      </c>
      <c r="T42" s="1068">
        <f t="shared" si="24"/>
        <v>0</v>
      </c>
      <c r="U42" s="1056">
        <v>0</v>
      </c>
      <c r="V42" s="1056">
        <v>0</v>
      </c>
      <c r="W42" s="1068">
        <f>SUM(W43:W46)</f>
        <v>0</v>
      </c>
      <c r="X42" s="1068">
        <f>SUM(X43:X46)</f>
        <v>0</v>
      </c>
      <c r="Y42" s="1068">
        <f>SUM(Y43:Y46)</f>
        <v>0</v>
      </c>
      <c r="Z42" s="1068">
        <f>SUM(Z43:Z46)</f>
        <v>1302448.69</v>
      </c>
      <c r="AA42" s="1068">
        <f>SUM(AA43:AA46)</f>
        <v>0</v>
      </c>
    </row>
    <row r="43" spans="1:27" s="1064" customFormat="1" ht="83.25" customHeight="1">
      <c r="A43" s="1243">
        <v>26</v>
      </c>
      <c r="B43" s="1055" t="s">
        <v>831</v>
      </c>
      <c r="C43" s="1056">
        <f t="shared" ref="C43:C46" si="25">D43+N43+P43+R43+T43+X43+Z43</f>
        <v>9872879.9900000002</v>
      </c>
      <c r="D43" s="1056">
        <f t="shared" ref="D43:D46" si="26">SUM(E43:J43)</f>
        <v>0</v>
      </c>
      <c r="E43" s="1056">
        <v>0</v>
      </c>
      <c r="F43" s="1056">
        <v>0</v>
      </c>
      <c r="G43" s="1056">
        <v>0</v>
      </c>
      <c r="H43" s="1056">
        <v>0</v>
      </c>
      <c r="I43" s="1056">
        <v>0</v>
      </c>
      <c r="J43" s="1056">
        <v>0</v>
      </c>
      <c r="K43" s="1063">
        <v>0</v>
      </c>
      <c r="L43" s="1056">
        <v>0</v>
      </c>
      <c r="M43" s="1063">
        <v>0</v>
      </c>
      <c r="N43" s="1056">
        <v>0</v>
      </c>
      <c r="O43" s="1056">
        <v>1237.5999999999999</v>
      </c>
      <c r="P43" s="1056">
        <v>9155765.0500000007</v>
      </c>
      <c r="Q43" s="1056">
        <v>0</v>
      </c>
      <c r="R43" s="1056">
        <v>0</v>
      </c>
      <c r="S43" s="1056">
        <v>0</v>
      </c>
      <c r="T43" s="1056">
        <v>0</v>
      </c>
      <c r="U43" s="1056">
        <v>0</v>
      </c>
      <c r="V43" s="1056">
        <v>0</v>
      </c>
      <c r="W43" s="1056">
        <v>0</v>
      </c>
      <c r="X43" s="1056">
        <v>0</v>
      </c>
      <c r="Y43" s="1056">
        <v>0</v>
      </c>
      <c r="Z43" s="1056">
        <v>717114.94</v>
      </c>
      <c r="AA43" s="1056">
        <v>0</v>
      </c>
    </row>
    <row r="44" spans="1:27" s="1064" customFormat="1" ht="60.6" customHeight="1">
      <c r="A44" s="1243">
        <v>27</v>
      </c>
      <c r="B44" s="1055" t="s">
        <v>1447</v>
      </c>
      <c r="C44" s="1056">
        <f t="shared" si="25"/>
        <v>755973.43</v>
      </c>
      <c r="D44" s="1056">
        <f t="shared" si="26"/>
        <v>701063.43</v>
      </c>
      <c r="E44" s="1056">
        <v>701063.43</v>
      </c>
      <c r="F44" s="1056">
        <v>0</v>
      </c>
      <c r="G44" s="1056">
        <v>0</v>
      </c>
      <c r="H44" s="1056">
        <v>0</v>
      </c>
      <c r="I44" s="1056">
        <v>0</v>
      </c>
      <c r="J44" s="1056">
        <v>0</v>
      </c>
      <c r="K44" s="1063">
        <v>0</v>
      </c>
      <c r="L44" s="1056">
        <v>0</v>
      </c>
      <c r="M44" s="1063">
        <v>0</v>
      </c>
      <c r="N44" s="1056">
        <v>0</v>
      </c>
      <c r="O44" s="1056">
        <v>0</v>
      </c>
      <c r="P44" s="1056">
        <v>0</v>
      </c>
      <c r="Q44" s="1056">
        <v>0</v>
      </c>
      <c r="R44" s="1056">
        <v>0</v>
      </c>
      <c r="S44" s="1056">
        <v>0</v>
      </c>
      <c r="T44" s="1056">
        <v>0</v>
      </c>
      <c r="U44" s="1056">
        <v>0</v>
      </c>
      <c r="V44" s="1056">
        <v>0</v>
      </c>
      <c r="W44" s="1056">
        <v>0</v>
      </c>
      <c r="X44" s="1056">
        <v>0</v>
      </c>
      <c r="Y44" s="1056">
        <v>0</v>
      </c>
      <c r="Z44" s="1056">
        <v>54910</v>
      </c>
      <c r="AA44" s="1056">
        <v>0</v>
      </c>
    </row>
    <row r="45" spans="1:27" s="1064" customFormat="1" ht="90.75" customHeight="1">
      <c r="A45" s="1243">
        <v>28</v>
      </c>
      <c r="B45" s="1055" t="s">
        <v>1448</v>
      </c>
      <c r="C45" s="1056">
        <f t="shared" si="25"/>
        <v>1490063.02</v>
      </c>
      <c r="D45" s="1056">
        <f t="shared" si="26"/>
        <v>1381832.55</v>
      </c>
      <c r="E45" s="1056">
        <v>0</v>
      </c>
      <c r="F45" s="1056">
        <v>0</v>
      </c>
      <c r="G45" s="1056">
        <v>0</v>
      </c>
      <c r="H45" s="1056">
        <v>1381832.55</v>
      </c>
      <c r="I45" s="1056">
        <v>0</v>
      </c>
      <c r="J45" s="1056">
        <v>0</v>
      </c>
      <c r="K45" s="1063">
        <v>0</v>
      </c>
      <c r="L45" s="1056">
        <v>0</v>
      </c>
      <c r="M45" s="1063">
        <v>0</v>
      </c>
      <c r="N45" s="1056">
        <v>0</v>
      </c>
      <c r="O45" s="1056">
        <v>0</v>
      </c>
      <c r="P45" s="1056">
        <v>0</v>
      </c>
      <c r="Q45" s="1056">
        <v>0</v>
      </c>
      <c r="R45" s="1056">
        <v>0</v>
      </c>
      <c r="S45" s="1056">
        <v>0</v>
      </c>
      <c r="T45" s="1056">
        <v>0</v>
      </c>
      <c r="U45" s="1056">
        <v>0</v>
      </c>
      <c r="V45" s="1056">
        <v>0</v>
      </c>
      <c r="W45" s="1056">
        <v>0</v>
      </c>
      <c r="X45" s="1056">
        <v>0</v>
      </c>
      <c r="Y45" s="1056">
        <v>0</v>
      </c>
      <c r="Z45" s="1056">
        <v>108230.47</v>
      </c>
      <c r="AA45" s="1056">
        <v>0</v>
      </c>
    </row>
    <row r="46" spans="1:27" s="1069" customFormat="1" ht="114.75" customHeight="1">
      <c r="A46" s="1243">
        <v>29</v>
      </c>
      <c r="B46" s="1055" t="s">
        <v>1449</v>
      </c>
      <c r="C46" s="1056">
        <f t="shared" si="25"/>
        <v>5812545.9800000004</v>
      </c>
      <c r="D46" s="1056">
        <f t="shared" si="26"/>
        <v>0</v>
      </c>
      <c r="E46" s="1056">
        <v>0</v>
      </c>
      <c r="F46" s="1056">
        <v>0</v>
      </c>
      <c r="G46" s="1056">
        <v>0</v>
      </c>
      <c r="H46" s="1056">
        <v>0</v>
      </c>
      <c r="I46" s="1056">
        <v>0</v>
      </c>
      <c r="J46" s="1056">
        <v>0</v>
      </c>
      <c r="K46" s="1063">
        <v>0</v>
      </c>
      <c r="L46" s="1056">
        <v>0</v>
      </c>
      <c r="M46" s="1063">
        <v>0</v>
      </c>
      <c r="N46" s="1056">
        <v>0</v>
      </c>
      <c r="O46" s="1056">
        <v>634</v>
      </c>
      <c r="P46" s="1056">
        <v>5390352.7000000002</v>
      </c>
      <c r="Q46" s="1056">
        <v>0</v>
      </c>
      <c r="R46" s="1056">
        <v>0</v>
      </c>
      <c r="S46" s="1056">
        <v>0</v>
      </c>
      <c r="T46" s="1056">
        <v>0</v>
      </c>
      <c r="U46" s="1056">
        <v>0</v>
      </c>
      <c r="V46" s="1056">
        <v>0</v>
      </c>
      <c r="W46" s="1056">
        <v>0</v>
      </c>
      <c r="X46" s="1056">
        <v>0</v>
      </c>
      <c r="Y46" s="1056">
        <v>0</v>
      </c>
      <c r="Z46" s="1056">
        <v>422193.28</v>
      </c>
      <c r="AA46" s="1056">
        <v>0</v>
      </c>
    </row>
    <row r="47" spans="1:27" s="1064" customFormat="1" ht="118.5" customHeight="1">
      <c r="A47" s="1121"/>
      <c r="B47" s="1055" t="s">
        <v>1237</v>
      </c>
      <c r="C47" s="1056">
        <f>C48+C49</f>
        <v>971203.51</v>
      </c>
      <c r="D47" s="1056">
        <f t="shared" ref="D47:AA47" si="27">D48+D49</f>
        <v>900660.31</v>
      </c>
      <c r="E47" s="1056">
        <f t="shared" si="27"/>
        <v>900660.31</v>
      </c>
      <c r="F47" s="1056">
        <f t="shared" si="27"/>
        <v>0</v>
      </c>
      <c r="G47" s="1056">
        <f t="shared" si="27"/>
        <v>0</v>
      </c>
      <c r="H47" s="1056">
        <f t="shared" si="27"/>
        <v>0</v>
      </c>
      <c r="I47" s="1056">
        <f t="shared" si="27"/>
        <v>0</v>
      </c>
      <c r="J47" s="1056">
        <f t="shared" si="27"/>
        <v>0</v>
      </c>
      <c r="K47" s="1056">
        <f t="shared" si="27"/>
        <v>0</v>
      </c>
      <c r="L47" s="1056">
        <f t="shared" si="27"/>
        <v>0</v>
      </c>
      <c r="M47" s="1056">
        <f t="shared" si="27"/>
        <v>0</v>
      </c>
      <c r="N47" s="1056">
        <f t="shared" si="27"/>
        <v>0</v>
      </c>
      <c r="O47" s="1056">
        <f t="shared" si="27"/>
        <v>0</v>
      </c>
      <c r="P47" s="1056">
        <f t="shared" si="27"/>
        <v>0</v>
      </c>
      <c r="Q47" s="1056">
        <f t="shared" si="27"/>
        <v>0</v>
      </c>
      <c r="R47" s="1056">
        <f t="shared" si="27"/>
        <v>0</v>
      </c>
      <c r="S47" s="1056">
        <f t="shared" si="27"/>
        <v>0</v>
      </c>
      <c r="T47" s="1056">
        <f t="shared" si="27"/>
        <v>0</v>
      </c>
      <c r="U47" s="1056">
        <f t="shared" si="27"/>
        <v>0</v>
      </c>
      <c r="V47" s="1056">
        <f t="shared" si="27"/>
        <v>0</v>
      </c>
      <c r="W47" s="1056">
        <f t="shared" si="27"/>
        <v>0</v>
      </c>
      <c r="X47" s="1056">
        <f t="shared" si="27"/>
        <v>0</v>
      </c>
      <c r="Y47" s="1056">
        <f t="shared" si="27"/>
        <v>0</v>
      </c>
      <c r="Z47" s="1056">
        <f t="shared" si="27"/>
        <v>70543.199999999997</v>
      </c>
      <c r="AA47" s="1056">
        <f t="shared" si="27"/>
        <v>0</v>
      </c>
    </row>
    <row r="48" spans="1:27" s="1064" customFormat="1" ht="88.5" customHeight="1">
      <c r="A48" s="1121">
        <v>30</v>
      </c>
      <c r="B48" s="1244" t="s">
        <v>1389</v>
      </c>
      <c r="C48" s="1056">
        <f t="shared" ref="C48" si="28">D48+N48+P48+R48+T48+X48+Z48</f>
        <v>502970.83</v>
      </c>
      <c r="D48" s="1056">
        <f t="shared" ref="D48" si="29">SUM(E48:J48)</f>
        <v>466437.63</v>
      </c>
      <c r="E48" s="1056">
        <v>466437.63</v>
      </c>
      <c r="F48" s="1056">
        <v>0</v>
      </c>
      <c r="G48" s="1056">
        <v>0</v>
      </c>
      <c r="H48" s="1056">
        <v>0</v>
      </c>
      <c r="I48" s="1056">
        <v>0</v>
      </c>
      <c r="J48" s="1056">
        <v>0</v>
      </c>
      <c r="K48" s="1063">
        <v>0</v>
      </c>
      <c r="L48" s="1056">
        <v>0</v>
      </c>
      <c r="M48" s="1063">
        <v>0</v>
      </c>
      <c r="N48" s="1056">
        <v>0</v>
      </c>
      <c r="O48" s="1056">
        <v>0</v>
      </c>
      <c r="P48" s="1056">
        <v>0</v>
      </c>
      <c r="Q48" s="1056">
        <v>0</v>
      </c>
      <c r="R48" s="1056">
        <v>0</v>
      </c>
      <c r="S48" s="1056">
        <v>0</v>
      </c>
      <c r="T48" s="1056">
        <v>0</v>
      </c>
      <c r="U48" s="1056">
        <v>0</v>
      </c>
      <c r="V48" s="1056">
        <v>0</v>
      </c>
      <c r="W48" s="1056">
        <v>0</v>
      </c>
      <c r="X48" s="1056">
        <v>0</v>
      </c>
      <c r="Y48" s="1056">
        <v>0</v>
      </c>
      <c r="Z48" s="1056">
        <v>36533.199999999997</v>
      </c>
      <c r="AA48" s="1056">
        <v>0</v>
      </c>
    </row>
    <row r="49" spans="1:27" s="1064" customFormat="1" ht="93.75" customHeight="1">
      <c r="A49" s="1121">
        <v>31</v>
      </c>
      <c r="B49" s="1244" t="s">
        <v>1390</v>
      </c>
      <c r="C49" s="1056">
        <f t="shared" ref="C49" si="30">D49+N49+P49+R49+T49+X49+Z49</f>
        <v>468232.68</v>
      </c>
      <c r="D49" s="1056">
        <f t="shared" ref="D49" si="31">SUM(E49:J49)</f>
        <v>434222.68</v>
      </c>
      <c r="E49" s="1056">
        <v>434222.68</v>
      </c>
      <c r="F49" s="1056">
        <v>0</v>
      </c>
      <c r="G49" s="1056">
        <v>0</v>
      </c>
      <c r="H49" s="1056">
        <v>0</v>
      </c>
      <c r="I49" s="1056">
        <v>0</v>
      </c>
      <c r="J49" s="1056">
        <v>0</v>
      </c>
      <c r="K49" s="1063">
        <v>0</v>
      </c>
      <c r="L49" s="1056">
        <v>0</v>
      </c>
      <c r="M49" s="1063">
        <v>0</v>
      </c>
      <c r="N49" s="1056">
        <v>0</v>
      </c>
      <c r="O49" s="1056">
        <v>0</v>
      </c>
      <c r="P49" s="1056">
        <v>0</v>
      </c>
      <c r="Q49" s="1056">
        <v>0</v>
      </c>
      <c r="R49" s="1056">
        <v>0</v>
      </c>
      <c r="S49" s="1056">
        <v>0</v>
      </c>
      <c r="T49" s="1056">
        <v>0</v>
      </c>
      <c r="U49" s="1056">
        <v>0</v>
      </c>
      <c r="V49" s="1056">
        <v>0</v>
      </c>
      <c r="W49" s="1056">
        <v>0</v>
      </c>
      <c r="X49" s="1056">
        <v>0</v>
      </c>
      <c r="Y49" s="1056">
        <v>0</v>
      </c>
      <c r="Z49" s="1056">
        <v>34010</v>
      </c>
      <c r="AA49" s="1056">
        <v>0</v>
      </c>
    </row>
    <row r="50" spans="1:27" s="1071" customFormat="1" ht="65.45" customHeight="1">
      <c r="A50" s="1121"/>
      <c r="B50" s="1055" t="s">
        <v>43</v>
      </c>
      <c r="C50" s="1056">
        <f>C51</f>
        <v>11562294.279999999</v>
      </c>
      <c r="D50" s="1056">
        <f t="shared" ref="D50:AA50" si="32">D51</f>
        <v>850976.14999999991</v>
      </c>
      <c r="E50" s="1056">
        <f t="shared" si="32"/>
        <v>500884.35</v>
      </c>
      <c r="F50" s="1056">
        <f t="shared" si="32"/>
        <v>0</v>
      </c>
      <c r="G50" s="1056">
        <f t="shared" si="32"/>
        <v>0</v>
      </c>
      <c r="H50" s="1056">
        <f t="shared" si="32"/>
        <v>0</v>
      </c>
      <c r="I50" s="1056">
        <f t="shared" si="32"/>
        <v>0</v>
      </c>
      <c r="J50" s="1056">
        <f t="shared" si="32"/>
        <v>350091.8</v>
      </c>
      <c r="K50" s="1056">
        <f t="shared" si="32"/>
        <v>0</v>
      </c>
      <c r="L50" s="1056">
        <f t="shared" si="32"/>
        <v>0</v>
      </c>
      <c r="M50" s="1056">
        <f t="shared" si="32"/>
        <v>0</v>
      </c>
      <c r="N50" s="1056">
        <f t="shared" si="32"/>
        <v>0</v>
      </c>
      <c r="O50" s="1056">
        <f t="shared" si="32"/>
        <v>1164</v>
      </c>
      <c r="P50" s="1056">
        <f t="shared" si="32"/>
        <v>6029528.4800000004</v>
      </c>
      <c r="Q50" s="1056">
        <f t="shared" si="32"/>
        <v>0</v>
      </c>
      <c r="R50" s="1056">
        <f t="shared" si="32"/>
        <v>0</v>
      </c>
      <c r="S50" s="1056">
        <f t="shared" si="32"/>
        <v>1034.1300000000001</v>
      </c>
      <c r="T50" s="1056">
        <f t="shared" si="32"/>
        <v>4082446.38</v>
      </c>
      <c r="U50" s="1056">
        <f t="shared" si="32"/>
        <v>0</v>
      </c>
      <c r="V50" s="1056">
        <f t="shared" si="32"/>
        <v>0</v>
      </c>
      <c r="W50" s="1056">
        <f t="shared" si="32"/>
        <v>0</v>
      </c>
      <c r="X50" s="1056">
        <f t="shared" si="32"/>
        <v>0</v>
      </c>
      <c r="Y50" s="1056">
        <f t="shared" si="32"/>
        <v>0</v>
      </c>
      <c r="Z50" s="1056">
        <f t="shared" si="32"/>
        <v>599343.27</v>
      </c>
      <c r="AA50" s="1056">
        <f t="shared" si="32"/>
        <v>0</v>
      </c>
    </row>
    <row r="51" spans="1:27" s="1071" customFormat="1" ht="125.45" customHeight="1">
      <c r="A51" s="1121"/>
      <c r="B51" s="1062" t="s">
        <v>1040</v>
      </c>
      <c r="C51" s="1068">
        <f t="shared" ref="C51:T51" si="33">SUM(C52:C55)</f>
        <v>11562294.279999999</v>
      </c>
      <c r="D51" s="1068">
        <f t="shared" si="33"/>
        <v>850976.14999999991</v>
      </c>
      <c r="E51" s="1068">
        <f t="shared" si="33"/>
        <v>500884.35</v>
      </c>
      <c r="F51" s="1068">
        <f t="shared" si="33"/>
        <v>0</v>
      </c>
      <c r="G51" s="1068">
        <f t="shared" si="33"/>
        <v>0</v>
      </c>
      <c r="H51" s="1068">
        <f t="shared" si="33"/>
        <v>0</v>
      </c>
      <c r="I51" s="1068">
        <f t="shared" si="33"/>
        <v>0</v>
      </c>
      <c r="J51" s="1068">
        <f t="shared" si="33"/>
        <v>350091.8</v>
      </c>
      <c r="K51" s="1063">
        <f t="shared" si="33"/>
        <v>0</v>
      </c>
      <c r="L51" s="1068">
        <f t="shared" si="33"/>
        <v>0</v>
      </c>
      <c r="M51" s="1063">
        <f t="shared" si="33"/>
        <v>0</v>
      </c>
      <c r="N51" s="1068">
        <f t="shared" si="33"/>
        <v>0</v>
      </c>
      <c r="O51" s="1068">
        <f t="shared" si="33"/>
        <v>1164</v>
      </c>
      <c r="P51" s="1068">
        <f t="shared" si="33"/>
        <v>6029528.4800000004</v>
      </c>
      <c r="Q51" s="1068">
        <f t="shared" si="33"/>
        <v>0</v>
      </c>
      <c r="R51" s="1068">
        <f t="shared" si="33"/>
        <v>0</v>
      </c>
      <c r="S51" s="1068">
        <f t="shared" si="33"/>
        <v>1034.1300000000001</v>
      </c>
      <c r="T51" s="1068">
        <f t="shared" si="33"/>
        <v>4082446.38</v>
      </c>
      <c r="U51" s="1056">
        <v>0</v>
      </c>
      <c r="V51" s="1056">
        <v>0</v>
      </c>
      <c r="W51" s="1068">
        <f>SUM(W52:W55)</f>
        <v>0</v>
      </c>
      <c r="X51" s="1068">
        <f>SUM(X52:X55)</f>
        <v>0</v>
      </c>
      <c r="Y51" s="1056">
        <v>0</v>
      </c>
      <c r="Z51" s="1068">
        <f>SUM(Z52:Z55)</f>
        <v>599343.27</v>
      </c>
      <c r="AA51" s="1068">
        <f>SUM(AA52:AA55)</f>
        <v>0</v>
      </c>
    </row>
    <row r="52" spans="1:27" s="1071" customFormat="1" ht="58.15" customHeight="1">
      <c r="A52" s="1121">
        <v>32</v>
      </c>
      <c r="B52" s="1245" t="s">
        <v>1604</v>
      </c>
      <c r="C52" s="1056">
        <f t="shared" ref="C52" si="34">D52+N52+P52+R52+T52+X52+Z52</f>
        <v>917627.8899999999</v>
      </c>
      <c r="D52" s="1056">
        <f t="shared" ref="D52" si="35">SUM(E52:J52)</f>
        <v>850976.14999999991</v>
      </c>
      <c r="E52" s="1056">
        <v>500884.35</v>
      </c>
      <c r="F52" s="1056">
        <v>0</v>
      </c>
      <c r="G52" s="1056">
        <v>0</v>
      </c>
      <c r="H52" s="1056">
        <v>0</v>
      </c>
      <c r="I52" s="1056">
        <v>0</v>
      </c>
      <c r="J52" s="1056">
        <v>350091.8</v>
      </c>
      <c r="K52" s="1063">
        <v>0</v>
      </c>
      <c r="L52" s="1056">
        <v>0</v>
      </c>
      <c r="M52" s="1063">
        <v>0</v>
      </c>
      <c r="N52" s="1056">
        <v>0</v>
      </c>
      <c r="O52" s="1056">
        <v>0</v>
      </c>
      <c r="P52" s="1056">
        <v>0</v>
      </c>
      <c r="Q52" s="1056">
        <v>0</v>
      </c>
      <c r="R52" s="1056">
        <v>0</v>
      </c>
      <c r="S52" s="1056">
        <v>0</v>
      </c>
      <c r="T52" s="1056">
        <v>0</v>
      </c>
      <c r="U52" s="1056">
        <v>0</v>
      </c>
      <c r="V52" s="1056">
        <v>0</v>
      </c>
      <c r="W52" s="1056">
        <v>0</v>
      </c>
      <c r="X52" s="1056">
        <v>0</v>
      </c>
      <c r="Y52" s="1056">
        <v>0</v>
      </c>
      <c r="Z52" s="1056">
        <v>66651.740000000005</v>
      </c>
      <c r="AA52" s="1056">
        <v>0</v>
      </c>
    </row>
    <row r="53" spans="1:27" s="1071" customFormat="1" ht="57" customHeight="1">
      <c r="A53" s="1121">
        <v>33</v>
      </c>
      <c r="B53" s="1245" t="s">
        <v>1605</v>
      </c>
      <c r="C53" s="1056">
        <f t="shared" ref="C53:C55" si="36">D53+N53+P53+R53+T53+X53+Z53</f>
        <v>2878482.59</v>
      </c>
      <c r="D53" s="1056">
        <f t="shared" ref="D53:D55" si="37">SUM(E53:J53)</f>
        <v>0</v>
      </c>
      <c r="E53" s="1056">
        <v>0</v>
      </c>
      <c r="F53" s="1056">
        <v>0</v>
      </c>
      <c r="G53" s="1056">
        <v>0</v>
      </c>
      <c r="H53" s="1056">
        <v>0</v>
      </c>
      <c r="I53" s="1056">
        <v>0</v>
      </c>
      <c r="J53" s="1056">
        <v>0</v>
      </c>
      <c r="K53" s="1063">
        <v>0</v>
      </c>
      <c r="L53" s="1056">
        <v>0</v>
      </c>
      <c r="M53" s="1063">
        <v>0</v>
      </c>
      <c r="N53" s="1056">
        <v>0</v>
      </c>
      <c r="O53" s="1056">
        <v>784</v>
      </c>
      <c r="P53" s="1056">
        <v>2798717.71</v>
      </c>
      <c r="Q53" s="1056">
        <v>0</v>
      </c>
      <c r="R53" s="1056">
        <v>0</v>
      </c>
      <c r="S53" s="1056">
        <v>0</v>
      </c>
      <c r="T53" s="1056">
        <v>0</v>
      </c>
      <c r="U53" s="1056">
        <v>0</v>
      </c>
      <c r="V53" s="1056">
        <v>0</v>
      </c>
      <c r="W53" s="1056">
        <v>0</v>
      </c>
      <c r="X53" s="1056">
        <v>0</v>
      </c>
      <c r="Y53" s="1056">
        <v>0</v>
      </c>
      <c r="Z53" s="1056">
        <v>79764.88</v>
      </c>
      <c r="AA53" s="1056">
        <v>0</v>
      </c>
    </row>
    <row r="54" spans="1:27" s="1071" customFormat="1" ht="57" customHeight="1">
      <c r="A54" s="1121">
        <v>34</v>
      </c>
      <c r="B54" s="1245" t="s">
        <v>1606</v>
      </c>
      <c r="C54" s="1056">
        <f t="shared" si="36"/>
        <v>4282323.43</v>
      </c>
      <c r="D54" s="1056">
        <f t="shared" si="37"/>
        <v>0</v>
      </c>
      <c r="E54" s="1056">
        <v>0</v>
      </c>
      <c r="F54" s="1056">
        <v>0</v>
      </c>
      <c r="G54" s="1056">
        <v>0</v>
      </c>
      <c r="H54" s="1056">
        <v>0</v>
      </c>
      <c r="I54" s="1056">
        <v>0</v>
      </c>
      <c r="J54" s="1056">
        <v>0</v>
      </c>
      <c r="K54" s="1063">
        <v>0</v>
      </c>
      <c r="L54" s="1056">
        <v>0</v>
      </c>
      <c r="M54" s="1063">
        <v>0</v>
      </c>
      <c r="N54" s="1056">
        <v>0</v>
      </c>
      <c r="O54" s="1056">
        <v>0</v>
      </c>
      <c r="P54" s="1056">
        <v>0</v>
      </c>
      <c r="Q54" s="1056">
        <v>0</v>
      </c>
      <c r="R54" s="1056">
        <v>0</v>
      </c>
      <c r="S54" s="1056">
        <v>1034.1300000000001</v>
      </c>
      <c r="T54" s="1056">
        <v>4082446.38</v>
      </c>
      <c r="U54" s="1056">
        <v>0</v>
      </c>
      <c r="V54" s="1056">
        <v>0</v>
      </c>
      <c r="W54" s="1056">
        <v>0</v>
      </c>
      <c r="X54" s="1056">
        <v>0</v>
      </c>
      <c r="Y54" s="1056">
        <v>0</v>
      </c>
      <c r="Z54" s="1056">
        <v>199877.05</v>
      </c>
      <c r="AA54" s="1056">
        <v>0</v>
      </c>
    </row>
    <row r="55" spans="1:27" s="1071" customFormat="1" ht="64.150000000000006" customHeight="1">
      <c r="A55" s="1121">
        <v>35</v>
      </c>
      <c r="B55" s="1245" t="s">
        <v>1607</v>
      </c>
      <c r="C55" s="1056">
        <f t="shared" si="36"/>
        <v>3483860.37</v>
      </c>
      <c r="D55" s="1056">
        <f t="shared" si="37"/>
        <v>0</v>
      </c>
      <c r="E55" s="1056">
        <v>0</v>
      </c>
      <c r="F55" s="1056">
        <v>0</v>
      </c>
      <c r="G55" s="1056">
        <v>0</v>
      </c>
      <c r="H55" s="1056">
        <v>0</v>
      </c>
      <c r="I55" s="1056">
        <v>0</v>
      </c>
      <c r="J55" s="1056">
        <v>0</v>
      </c>
      <c r="K55" s="1063">
        <v>0</v>
      </c>
      <c r="L55" s="1056">
        <v>0</v>
      </c>
      <c r="M55" s="1063">
        <v>0</v>
      </c>
      <c r="N55" s="1056">
        <v>0</v>
      </c>
      <c r="O55" s="1056">
        <v>380</v>
      </c>
      <c r="P55" s="1056">
        <v>3230810.77</v>
      </c>
      <c r="Q55" s="1056">
        <v>0</v>
      </c>
      <c r="R55" s="1056">
        <v>0</v>
      </c>
      <c r="S55" s="1056">
        <v>0</v>
      </c>
      <c r="T55" s="1056">
        <v>0</v>
      </c>
      <c r="U55" s="1056">
        <v>0</v>
      </c>
      <c r="V55" s="1056">
        <v>0</v>
      </c>
      <c r="W55" s="1056">
        <v>0</v>
      </c>
      <c r="X55" s="1056">
        <v>0</v>
      </c>
      <c r="Y55" s="1056">
        <v>0</v>
      </c>
      <c r="Z55" s="1056">
        <v>253049.60000000001</v>
      </c>
      <c r="AA55" s="1056">
        <v>0</v>
      </c>
    </row>
    <row r="56" spans="1:27" s="1071" customFormat="1" ht="98.45" customHeight="1">
      <c r="A56" s="1121"/>
      <c r="B56" s="1062" t="s">
        <v>1092</v>
      </c>
      <c r="C56" s="1056">
        <f>C57+C58+C59</f>
        <v>8902371.5099999998</v>
      </c>
      <c r="D56" s="1056">
        <f t="shared" ref="D56:AA56" si="38">D57+D58+D59</f>
        <v>0</v>
      </c>
      <c r="E56" s="1056">
        <f t="shared" si="38"/>
        <v>0</v>
      </c>
      <c r="F56" s="1056">
        <f t="shared" si="38"/>
        <v>0</v>
      </c>
      <c r="G56" s="1056">
        <f t="shared" si="38"/>
        <v>0</v>
      </c>
      <c r="H56" s="1056">
        <f t="shared" si="38"/>
        <v>0</v>
      </c>
      <c r="I56" s="1056">
        <f t="shared" si="38"/>
        <v>0</v>
      </c>
      <c r="J56" s="1056">
        <f t="shared" si="38"/>
        <v>0</v>
      </c>
      <c r="K56" s="1056">
        <f t="shared" si="38"/>
        <v>0</v>
      </c>
      <c r="L56" s="1056">
        <f t="shared" si="38"/>
        <v>0</v>
      </c>
      <c r="M56" s="1056">
        <f t="shared" si="38"/>
        <v>0</v>
      </c>
      <c r="N56" s="1056">
        <f t="shared" si="38"/>
        <v>0</v>
      </c>
      <c r="O56" s="1056">
        <f t="shared" si="38"/>
        <v>1571.9</v>
      </c>
      <c r="P56" s="1056">
        <f t="shared" si="38"/>
        <v>8482240.9100000001</v>
      </c>
      <c r="Q56" s="1056">
        <f t="shared" si="38"/>
        <v>0</v>
      </c>
      <c r="R56" s="1056">
        <f t="shared" si="38"/>
        <v>0</v>
      </c>
      <c r="S56" s="1056">
        <f t="shared" si="38"/>
        <v>0</v>
      </c>
      <c r="T56" s="1056">
        <f t="shared" si="38"/>
        <v>0</v>
      </c>
      <c r="U56" s="1056">
        <f t="shared" si="38"/>
        <v>0</v>
      </c>
      <c r="V56" s="1056">
        <f t="shared" si="38"/>
        <v>0</v>
      </c>
      <c r="W56" s="1056">
        <f t="shared" si="38"/>
        <v>0</v>
      </c>
      <c r="X56" s="1056">
        <f t="shared" si="38"/>
        <v>0</v>
      </c>
      <c r="Y56" s="1056">
        <f t="shared" si="38"/>
        <v>0</v>
      </c>
      <c r="Z56" s="1056">
        <f t="shared" si="38"/>
        <v>420130.6</v>
      </c>
      <c r="AA56" s="1056">
        <f t="shared" si="38"/>
        <v>0</v>
      </c>
    </row>
    <row r="57" spans="1:27" s="1064" customFormat="1" ht="96" customHeight="1">
      <c r="A57" s="1121">
        <v>36</v>
      </c>
      <c r="B57" s="1055" t="s">
        <v>1219</v>
      </c>
      <c r="C57" s="1056">
        <f t="shared" ref="C57:C59" si="39">D57+N57+P57+R57+T57+X57+Z57</f>
        <v>2999506.97</v>
      </c>
      <c r="D57" s="1056">
        <f t="shared" ref="D57:D59" si="40">SUM(E57:J57)</f>
        <v>0</v>
      </c>
      <c r="E57" s="1056">
        <v>0</v>
      </c>
      <c r="F57" s="1056">
        <v>0</v>
      </c>
      <c r="G57" s="1056">
        <v>0</v>
      </c>
      <c r="H57" s="1056">
        <v>0</v>
      </c>
      <c r="I57" s="1056">
        <v>0</v>
      </c>
      <c r="J57" s="1056">
        <v>0</v>
      </c>
      <c r="K57" s="1063">
        <v>0</v>
      </c>
      <c r="L57" s="1056">
        <v>0</v>
      </c>
      <c r="M57" s="1063">
        <v>0</v>
      </c>
      <c r="N57" s="1056">
        <v>0</v>
      </c>
      <c r="O57" s="1056">
        <v>585.9</v>
      </c>
      <c r="P57" s="1056">
        <v>2883873.97</v>
      </c>
      <c r="Q57" s="1056">
        <v>0</v>
      </c>
      <c r="R57" s="1056">
        <v>0</v>
      </c>
      <c r="S57" s="1056">
        <v>0</v>
      </c>
      <c r="T57" s="1056">
        <v>0</v>
      </c>
      <c r="U57" s="1056">
        <v>0</v>
      </c>
      <c r="V57" s="1056">
        <v>0</v>
      </c>
      <c r="W57" s="1056">
        <v>0</v>
      </c>
      <c r="X57" s="1056">
        <v>0</v>
      </c>
      <c r="Y57" s="1056">
        <v>0</v>
      </c>
      <c r="Z57" s="1056">
        <v>115633</v>
      </c>
      <c r="AA57" s="1056">
        <v>0</v>
      </c>
    </row>
    <row r="58" spans="1:27" s="1064" customFormat="1" ht="96" customHeight="1">
      <c r="A58" s="1121">
        <v>37</v>
      </c>
      <c r="B58" s="1055" t="s">
        <v>1199</v>
      </c>
      <c r="C58" s="1056">
        <f t="shared" ref="C58" si="41">D58+N58+P58+R58+T58+X58+Z58</f>
        <v>3318040.65</v>
      </c>
      <c r="D58" s="1056">
        <f t="shared" ref="D58" si="42">SUM(E58:J58)</f>
        <v>0</v>
      </c>
      <c r="E58" s="1056">
        <v>0</v>
      </c>
      <c r="F58" s="1056">
        <v>0</v>
      </c>
      <c r="G58" s="1056">
        <v>0</v>
      </c>
      <c r="H58" s="1056">
        <v>0</v>
      </c>
      <c r="I58" s="1056">
        <v>0</v>
      </c>
      <c r="J58" s="1056">
        <v>0</v>
      </c>
      <c r="K58" s="1063">
        <v>0</v>
      </c>
      <c r="L58" s="1056">
        <v>0</v>
      </c>
      <c r="M58" s="1063">
        <v>0</v>
      </c>
      <c r="N58" s="1056">
        <v>0</v>
      </c>
      <c r="O58" s="1056">
        <v>499</v>
      </c>
      <c r="P58" s="1056">
        <v>3201291.29</v>
      </c>
      <c r="Q58" s="1056">
        <v>0</v>
      </c>
      <c r="R58" s="1056">
        <v>0</v>
      </c>
      <c r="S58" s="1056">
        <v>0</v>
      </c>
      <c r="T58" s="1056">
        <v>0</v>
      </c>
      <c r="U58" s="1056">
        <v>0</v>
      </c>
      <c r="V58" s="1056">
        <v>0</v>
      </c>
      <c r="W58" s="1056">
        <v>0</v>
      </c>
      <c r="X58" s="1056">
        <v>0</v>
      </c>
      <c r="Y58" s="1056">
        <v>0</v>
      </c>
      <c r="Z58" s="1056">
        <v>116749.36</v>
      </c>
      <c r="AA58" s="1056">
        <v>0</v>
      </c>
    </row>
    <row r="59" spans="1:27" s="1064" customFormat="1" ht="92.45" customHeight="1">
      <c r="A59" s="1121">
        <v>38</v>
      </c>
      <c r="B59" s="1055" t="s">
        <v>1593</v>
      </c>
      <c r="C59" s="1056">
        <f t="shared" si="39"/>
        <v>2584823.8899999997</v>
      </c>
      <c r="D59" s="1056">
        <f t="shared" si="40"/>
        <v>0</v>
      </c>
      <c r="E59" s="1056">
        <v>0</v>
      </c>
      <c r="F59" s="1056">
        <v>0</v>
      </c>
      <c r="G59" s="1056">
        <v>0</v>
      </c>
      <c r="H59" s="1056">
        <v>0</v>
      </c>
      <c r="I59" s="1056">
        <v>0</v>
      </c>
      <c r="J59" s="1056">
        <v>0</v>
      </c>
      <c r="K59" s="1063">
        <v>0</v>
      </c>
      <c r="L59" s="1056">
        <v>0</v>
      </c>
      <c r="M59" s="1063">
        <v>0</v>
      </c>
      <c r="N59" s="1056">
        <v>0</v>
      </c>
      <c r="O59" s="1056">
        <v>487</v>
      </c>
      <c r="P59" s="1056">
        <v>2397075.65</v>
      </c>
      <c r="Q59" s="1056">
        <v>0</v>
      </c>
      <c r="R59" s="1056">
        <v>0</v>
      </c>
      <c r="S59" s="1056">
        <v>0</v>
      </c>
      <c r="T59" s="1056">
        <v>0</v>
      </c>
      <c r="U59" s="1056">
        <v>0</v>
      </c>
      <c r="V59" s="1056">
        <v>0</v>
      </c>
      <c r="W59" s="1056">
        <v>0</v>
      </c>
      <c r="X59" s="1056">
        <v>0</v>
      </c>
      <c r="Y59" s="1056">
        <v>0</v>
      </c>
      <c r="Z59" s="1056">
        <v>187748.24</v>
      </c>
      <c r="AA59" s="1056">
        <v>0</v>
      </c>
    </row>
    <row r="60" spans="1:27" s="1064" customFormat="1" ht="87.6" customHeight="1">
      <c r="A60" s="1121"/>
      <c r="B60" s="1062" t="s">
        <v>1098</v>
      </c>
      <c r="C60" s="1056">
        <f>C61</f>
        <v>5323904.26</v>
      </c>
      <c r="D60" s="1056">
        <f t="shared" ref="D60:AA60" si="43">D61</f>
        <v>0</v>
      </c>
      <c r="E60" s="1056">
        <f t="shared" si="43"/>
        <v>0</v>
      </c>
      <c r="F60" s="1056">
        <f t="shared" si="43"/>
        <v>0</v>
      </c>
      <c r="G60" s="1056">
        <f t="shared" si="43"/>
        <v>0</v>
      </c>
      <c r="H60" s="1056">
        <f t="shared" si="43"/>
        <v>0</v>
      </c>
      <c r="I60" s="1056">
        <f t="shared" si="43"/>
        <v>0</v>
      </c>
      <c r="J60" s="1056">
        <f t="shared" si="43"/>
        <v>0</v>
      </c>
      <c r="K60" s="1056">
        <f t="shared" si="43"/>
        <v>0</v>
      </c>
      <c r="L60" s="1056">
        <f t="shared" si="43"/>
        <v>0</v>
      </c>
      <c r="M60" s="1056">
        <f t="shared" si="43"/>
        <v>0</v>
      </c>
      <c r="N60" s="1056">
        <f t="shared" si="43"/>
        <v>0</v>
      </c>
      <c r="O60" s="1056">
        <f t="shared" si="43"/>
        <v>667.37</v>
      </c>
      <c r="P60" s="1056">
        <f t="shared" si="43"/>
        <v>4937203.3899999997</v>
      </c>
      <c r="Q60" s="1056">
        <f t="shared" si="43"/>
        <v>0</v>
      </c>
      <c r="R60" s="1056">
        <f t="shared" si="43"/>
        <v>0</v>
      </c>
      <c r="S60" s="1056">
        <f t="shared" si="43"/>
        <v>0</v>
      </c>
      <c r="T60" s="1056">
        <f t="shared" si="43"/>
        <v>0</v>
      </c>
      <c r="U60" s="1056">
        <f t="shared" si="43"/>
        <v>0</v>
      </c>
      <c r="V60" s="1056">
        <f t="shared" si="43"/>
        <v>0</v>
      </c>
      <c r="W60" s="1056">
        <f t="shared" si="43"/>
        <v>0</v>
      </c>
      <c r="X60" s="1056">
        <f t="shared" si="43"/>
        <v>0</v>
      </c>
      <c r="Y60" s="1056">
        <f t="shared" si="43"/>
        <v>0</v>
      </c>
      <c r="Z60" s="1056">
        <f t="shared" si="43"/>
        <v>386700.87</v>
      </c>
      <c r="AA60" s="1056">
        <f t="shared" si="43"/>
        <v>0</v>
      </c>
    </row>
    <row r="61" spans="1:27" s="1064" customFormat="1" ht="87.6" customHeight="1">
      <c r="A61" s="1121">
        <v>39</v>
      </c>
      <c r="B61" s="1055" t="s">
        <v>1598</v>
      </c>
      <c r="C61" s="1056">
        <f>D61+N61+P61+R61+T61+X61+Z61</f>
        <v>5323904.26</v>
      </c>
      <c r="D61" s="1056">
        <f>SUM(E61:J61)</f>
        <v>0</v>
      </c>
      <c r="E61" s="1056">
        <v>0</v>
      </c>
      <c r="F61" s="1056">
        <v>0</v>
      </c>
      <c r="G61" s="1056">
        <v>0</v>
      </c>
      <c r="H61" s="1056">
        <v>0</v>
      </c>
      <c r="I61" s="1056">
        <v>0</v>
      </c>
      <c r="J61" s="1056">
        <v>0</v>
      </c>
      <c r="K61" s="1063">
        <v>0</v>
      </c>
      <c r="L61" s="1056">
        <v>0</v>
      </c>
      <c r="M61" s="1063">
        <v>0</v>
      </c>
      <c r="N61" s="1056">
        <v>0</v>
      </c>
      <c r="O61" s="1056">
        <v>667.37</v>
      </c>
      <c r="P61" s="1056">
        <v>4937203.3899999997</v>
      </c>
      <c r="Q61" s="1056">
        <v>0</v>
      </c>
      <c r="R61" s="1056">
        <v>0</v>
      </c>
      <c r="S61" s="1056">
        <v>0</v>
      </c>
      <c r="T61" s="1056">
        <v>0</v>
      </c>
      <c r="U61" s="1056">
        <v>0</v>
      </c>
      <c r="V61" s="1056">
        <v>0</v>
      </c>
      <c r="W61" s="1056">
        <v>0</v>
      </c>
      <c r="X61" s="1056">
        <v>0</v>
      </c>
      <c r="Y61" s="1056">
        <v>0</v>
      </c>
      <c r="Z61" s="1056">
        <v>386700.87</v>
      </c>
      <c r="AA61" s="1056">
        <v>0</v>
      </c>
    </row>
    <row r="62" spans="1:27" s="1064" customFormat="1" ht="90" customHeight="1">
      <c r="A62" s="1121"/>
      <c r="B62" s="1062" t="s">
        <v>1238</v>
      </c>
      <c r="C62" s="1056">
        <f>C63</f>
        <v>2387361.1599999997</v>
      </c>
      <c r="D62" s="1056">
        <f t="shared" ref="D62:AA62" si="44">D63</f>
        <v>0</v>
      </c>
      <c r="E62" s="1056">
        <f t="shared" si="44"/>
        <v>0</v>
      </c>
      <c r="F62" s="1056">
        <f t="shared" si="44"/>
        <v>0</v>
      </c>
      <c r="G62" s="1056">
        <f t="shared" si="44"/>
        <v>0</v>
      </c>
      <c r="H62" s="1056">
        <f t="shared" si="44"/>
        <v>0</v>
      </c>
      <c r="I62" s="1056">
        <f t="shared" si="44"/>
        <v>0</v>
      </c>
      <c r="J62" s="1056">
        <f t="shared" si="44"/>
        <v>0</v>
      </c>
      <c r="K62" s="1056">
        <f t="shared" si="44"/>
        <v>0</v>
      </c>
      <c r="L62" s="1056">
        <f t="shared" si="44"/>
        <v>0</v>
      </c>
      <c r="M62" s="1056">
        <f t="shared" si="44"/>
        <v>0</v>
      </c>
      <c r="N62" s="1056">
        <f t="shared" si="44"/>
        <v>0</v>
      </c>
      <c r="O62" s="1056">
        <f t="shared" si="44"/>
        <v>260.39999999999998</v>
      </c>
      <c r="P62" s="1056">
        <f t="shared" si="44"/>
        <v>2213955.59</v>
      </c>
      <c r="Q62" s="1056">
        <f t="shared" si="44"/>
        <v>0</v>
      </c>
      <c r="R62" s="1056">
        <f t="shared" si="44"/>
        <v>0</v>
      </c>
      <c r="S62" s="1056">
        <f t="shared" si="44"/>
        <v>0</v>
      </c>
      <c r="T62" s="1056">
        <f t="shared" si="44"/>
        <v>0</v>
      </c>
      <c r="U62" s="1056">
        <f t="shared" si="44"/>
        <v>0</v>
      </c>
      <c r="V62" s="1056">
        <f t="shared" si="44"/>
        <v>0</v>
      </c>
      <c r="W62" s="1056">
        <f t="shared" si="44"/>
        <v>0</v>
      </c>
      <c r="X62" s="1056">
        <f t="shared" si="44"/>
        <v>0</v>
      </c>
      <c r="Y62" s="1056">
        <f t="shared" si="44"/>
        <v>0</v>
      </c>
      <c r="Z62" s="1056">
        <f t="shared" si="44"/>
        <v>173405.57</v>
      </c>
      <c r="AA62" s="1056">
        <f t="shared" si="44"/>
        <v>0</v>
      </c>
    </row>
    <row r="63" spans="1:27" s="1064" customFormat="1" ht="90" customHeight="1">
      <c r="A63" s="1121">
        <v>40</v>
      </c>
      <c r="B63" s="1055" t="s">
        <v>1563</v>
      </c>
      <c r="C63" s="1056">
        <f>D63+N63+P63+R63+T63+X63+Z63</f>
        <v>2387361.1599999997</v>
      </c>
      <c r="D63" s="1056">
        <f>SUM(E63:J63)</f>
        <v>0</v>
      </c>
      <c r="E63" s="1056">
        <v>0</v>
      </c>
      <c r="F63" s="1056">
        <v>0</v>
      </c>
      <c r="G63" s="1056">
        <v>0</v>
      </c>
      <c r="H63" s="1056">
        <v>0</v>
      </c>
      <c r="I63" s="1056">
        <v>0</v>
      </c>
      <c r="J63" s="1056">
        <v>0</v>
      </c>
      <c r="K63" s="1063">
        <v>0</v>
      </c>
      <c r="L63" s="1056">
        <v>0</v>
      </c>
      <c r="M63" s="1063">
        <v>0</v>
      </c>
      <c r="N63" s="1056">
        <v>0</v>
      </c>
      <c r="O63" s="1056">
        <v>260.39999999999998</v>
      </c>
      <c r="P63" s="1056">
        <v>2213955.59</v>
      </c>
      <c r="Q63" s="1056">
        <v>0</v>
      </c>
      <c r="R63" s="1056">
        <v>0</v>
      </c>
      <c r="S63" s="1056">
        <v>0</v>
      </c>
      <c r="T63" s="1056">
        <v>0</v>
      </c>
      <c r="U63" s="1056">
        <v>0</v>
      </c>
      <c r="V63" s="1056">
        <v>0</v>
      </c>
      <c r="W63" s="1056">
        <v>0</v>
      </c>
      <c r="X63" s="1056">
        <v>0</v>
      </c>
      <c r="Y63" s="1056">
        <v>0</v>
      </c>
      <c r="Z63" s="1056">
        <v>173405.57</v>
      </c>
      <c r="AA63" s="1056">
        <v>0</v>
      </c>
    </row>
    <row r="64" spans="1:27" s="1064" customFormat="1" ht="67.900000000000006" customHeight="1">
      <c r="A64" s="1121"/>
      <c r="B64" s="1062" t="s">
        <v>49</v>
      </c>
      <c r="C64" s="1056">
        <f t="shared" ref="C64:AA64" si="45">C73+C67+C79+C71+C65+C77+C75</f>
        <v>33600535.260000005</v>
      </c>
      <c r="D64" s="1056">
        <f t="shared" si="45"/>
        <v>586426.80000000005</v>
      </c>
      <c r="E64" s="1056">
        <f t="shared" si="45"/>
        <v>424131.24</v>
      </c>
      <c r="F64" s="1056">
        <f t="shared" si="45"/>
        <v>0</v>
      </c>
      <c r="G64" s="1056">
        <f t="shared" si="45"/>
        <v>0</v>
      </c>
      <c r="H64" s="1056">
        <f t="shared" si="45"/>
        <v>0</v>
      </c>
      <c r="I64" s="1056">
        <f t="shared" si="45"/>
        <v>0</v>
      </c>
      <c r="J64" s="1056">
        <f t="shared" si="45"/>
        <v>162295.56</v>
      </c>
      <c r="K64" s="1056">
        <f t="shared" si="45"/>
        <v>0</v>
      </c>
      <c r="L64" s="1056">
        <f t="shared" si="45"/>
        <v>0</v>
      </c>
      <c r="M64" s="1056">
        <f t="shared" si="45"/>
        <v>0</v>
      </c>
      <c r="N64" s="1056">
        <f t="shared" si="45"/>
        <v>0</v>
      </c>
      <c r="O64" s="1056">
        <f t="shared" si="45"/>
        <v>5462.3</v>
      </c>
      <c r="P64" s="1056">
        <f t="shared" si="45"/>
        <v>30573539.34</v>
      </c>
      <c r="Q64" s="1056">
        <f t="shared" si="45"/>
        <v>0</v>
      </c>
      <c r="R64" s="1056">
        <f t="shared" si="45"/>
        <v>0</v>
      </c>
      <c r="S64" s="1056">
        <f t="shared" si="45"/>
        <v>0</v>
      </c>
      <c r="T64" s="1056">
        <f t="shared" si="45"/>
        <v>0</v>
      </c>
      <c r="U64" s="1056">
        <f t="shared" si="45"/>
        <v>0</v>
      </c>
      <c r="V64" s="1056">
        <f t="shared" si="45"/>
        <v>0</v>
      </c>
      <c r="W64" s="1056">
        <f t="shared" si="45"/>
        <v>0</v>
      </c>
      <c r="X64" s="1056">
        <f t="shared" si="45"/>
        <v>0</v>
      </c>
      <c r="Y64" s="1056">
        <f t="shared" si="45"/>
        <v>0</v>
      </c>
      <c r="Z64" s="1056">
        <f t="shared" si="45"/>
        <v>2440569.12</v>
      </c>
      <c r="AA64" s="1056">
        <f t="shared" si="45"/>
        <v>0</v>
      </c>
    </row>
    <row r="65" spans="1:27" s="1064" customFormat="1" ht="129" customHeight="1">
      <c r="A65" s="1121"/>
      <c r="B65" s="1062" t="s">
        <v>1090</v>
      </c>
      <c r="C65" s="1056">
        <f>C66</f>
        <v>9443095.209999999</v>
      </c>
      <c r="D65" s="1056">
        <f t="shared" ref="D65:AA65" si="46">D66</f>
        <v>0</v>
      </c>
      <c r="E65" s="1056">
        <f t="shared" si="46"/>
        <v>0</v>
      </c>
      <c r="F65" s="1056">
        <f t="shared" si="46"/>
        <v>0</v>
      </c>
      <c r="G65" s="1056">
        <f t="shared" si="46"/>
        <v>0</v>
      </c>
      <c r="H65" s="1056">
        <f t="shared" si="46"/>
        <v>0</v>
      </c>
      <c r="I65" s="1056">
        <f t="shared" si="46"/>
        <v>0</v>
      </c>
      <c r="J65" s="1056">
        <f t="shared" si="46"/>
        <v>0</v>
      </c>
      <c r="K65" s="1063">
        <f t="shared" si="46"/>
        <v>0</v>
      </c>
      <c r="L65" s="1056">
        <f t="shared" si="46"/>
        <v>0</v>
      </c>
      <c r="M65" s="1063">
        <f t="shared" si="46"/>
        <v>0</v>
      </c>
      <c r="N65" s="1056">
        <f t="shared" si="46"/>
        <v>0</v>
      </c>
      <c r="O65" s="1056">
        <f t="shared" si="46"/>
        <v>1030</v>
      </c>
      <c r="P65" s="1056">
        <f t="shared" si="46"/>
        <v>8757197.6099999994</v>
      </c>
      <c r="Q65" s="1056">
        <f t="shared" si="46"/>
        <v>0</v>
      </c>
      <c r="R65" s="1056">
        <f t="shared" si="46"/>
        <v>0</v>
      </c>
      <c r="S65" s="1056">
        <f t="shared" si="46"/>
        <v>0</v>
      </c>
      <c r="T65" s="1056">
        <f t="shared" si="46"/>
        <v>0</v>
      </c>
      <c r="U65" s="1056">
        <v>0</v>
      </c>
      <c r="V65" s="1056">
        <v>0</v>
      </c>
      <c r="W65" s="1056">
        <f t="shared" si="46"/>
        <v>0</v>
      </c>
      <c r="X65" s="1056">
        <f t="shared" si="46"/>
        <v>0</v>
      </c>
      <c r="Y65" s="1056">
        <v>0</v>
      </c>
      <c r="Z65" s="1056">
        <f t="shared" si="46"/>
        <v>685897.6</v>
      </c>
      <c r="AA65" s="1056">
        <f t="shared" si="46"/>
        <v>0</v>
      </c>
    </row>
    <row r="66" spans="1:27" s="1064" customFormat="1" ht="119.25" customHeight="1">
      <c r="A66" s="1121">
        <v>41</v>
      </c>
      <c r="B66" s="1062" t="s">
        <v>1556</v>
      </c>
      <c r="C66" s="1056">
        <f>D66+N66+P66+R66+T66+X66+Z66</f>
        <v>9443095.209999999</v>
      </c>
      <c r="D66" s="1056">
        <f>SUM(E66:J66)</f>
        <v>0</v>
      </c>
      <c r="E66" s="1056">
        <v>0</v>
      </c>
      <c r="F66" s="1056">
        <v>0</v>
      </c>
      <c r="G66" s="1056">
        <v>0</v>
      </c>
      <c r="H66" s="1056">
        <v>0</v>
      </c>
      <c r="I66" s="1056">
        <v>0</v>
      </c>
      <c r="J66" s="1056">
        <v>0</v>
      </c>
      <c r="K66" s="1063">
        <v>0</v>
      </c>
      <c r="L66" s="1056">
        <v>0</v>
      </c>
      <c r="M66" s="1063">
        <v>0</v>
      </c>
      <c r="N66" s="1056">
        <v>0</v>
      </c>
      <c r="O66" s="1056">
        <v>1030</v>
      </c>
      <c r="P66" s="1056">
        <v>8757197.6099999994</v>
      </c>
      <c r="Q66" s="1056">
        <v>0</v>
      </c>
      <c r="R66" s="1056">
        <v>0</v>
      </c>
      <c r="S66" s="1056">
        <v>0</v>
      </c>
      <c r="T66" s="1056">
        <v>0</v>
      </c>
      <c r="U66" s="1056">
        <v>0</v>
      </c>
      <c r="V66" s="1056">
        <v>0</v>
      </c>
      <c r="W66" s="1056">
        <v>0</v>
      </c>
      <c r="X66" s="1056">
        <v>0</v>
      </c>
      <c r="Y66" s="1056">
        <v>0</v>
      </c>
      <c r="Z66" s="1056">
        <v>685897.6</v>
      </c>
      <c r="AA66" s="1056">
        <v>0</v>
      </c>
    </row>
    <row r="67" spans="1:27" s="1064" customFormat="1" ht="126.6" customHeight="1">
      <c r="A67" s="1121"/>
      <c r="B67" s="1062" t="s">
        <v>1056</v>
      </c>
      <c r="C67" s="1056">
        <f>C68+C70+C69</f>
        <v>4792659.72</v>
      </c>
      <c r="D67" s="1056">
        <f t="shared" ref="D67:AA67" si="47">D68+D70+D69</f>
        <v>162295.56</v>
      </c>
      <c r="E67" s="1056">
        <f t="shared" si="47"/>
        <v>0</v>
      </c>
      <c r="F67" s="1056">
        <f t="shared" si="47"/>
        <v>0</v>
      </c>
      <c r="G67" s="1056">
        <f t="shared" si="47"/>
        <v>0</v>
      </c>
      <c r="H67" s="1056">
        <f t="shared" si="47"/>
        <v>0</v>
      </c>
      <c r="I67" s="1056">
        <f t="shared" si="47"/>
        <v>0</v>
      </c>
      <c r="J67" s="1056">
        <f t="shared" si="47"/>
        <v>162295.56</v>
      </c>
      <c r="K67" s="1056">
        <f t="shared" si="47"/>
        <v>0</v>
      </c>
      <c r="L67" s="1056">
        <f t="shared" si="47"/>
        <v>0</v>
      </c>
      <c r="M67" s="1056">
        <f t="shared" si="47"/>
        <v>0</v>
      </c>
      <c r="N67" s="1056">
        <f t="shared" si="47"/>
        <v>0</v>
      </c>
      <c r="O67" s="1056">
        <f t="shared" si="47"/>
        <v>870</v>
      </c>
      <c r="P67" s="1056">
        <f t="shared" si="47"/>
        <v>4282250.1399999997</v>
      </c>
      <c r="Q67" s="1056">
        <f t="shared" si="47"/>
        <v>0</v>
      </c>
      <c r="R67" s="1056">
        <f t="shared" si="47"/>
        <v>0</v>
      </c>
      <c r="S67" s="1056">
        <f t="shared" si="47"/>
        <v>0</v>
      </c>
      <c r="T67" s="1056">
        <f t="shared" si="47"/>
        <v>0</v>
      </c>
      <c r="U67" s="1056">
        <f t="shared" si="47"/>
        <v>0</v>
      </c>
      <c r="V67" s="1056">
        <f t="shared" si="47"/>
        <v>0</v>
      </c>
      <c r="W67" s="1056">
        <f t="shared" si="47"/>
        <v>0</v>
      </c>
      <c r="X67" s="1056">
        <f t="shared" si="47"/>
        <v>0</v>
      </c>
      <c r="Y67" s="1056">
        <f t="shared" si="47"/>
        <v>0</v>
      </c>
      <c r="Z67" s="1056">
        <f t="shared" si="47"/>
        <v>348114.02</v>
      </c>
      <c r="AA67" s="1056">
        <f t="shared" si="47"/>
        <v>0</v>
      </c>
    </row>
    <row r="68" spans="1:27" s="1064" customFormat="1" ht="64.150000000000006" customHeight="1">
      <c r="A68" s="1121">
        <v>42</v>
      </c>
      <c r="B68" s="1062" t="s">
        <v>1429</v>
      </c>
      <c r="C68" s="1056">
        <f>D68+N68+P68+R68+T68+X68+Z68</f>
        <v>2016905.7100000002</v>
      </c>
      <c r="D68" s="1056">
        <f>SUM(E68:J68)</f>
        <v>0</v>
      </c>
      <c r="E68" s="1056">
        <v>0</v>
      </c>
      <c r="F68" s="1056">
        <v>0</v>
      </c>
      <c r="G68" s="1056">
        <v>0</v>
      </c>
      <c r="H68" s="1056">
        <v>0</v>
      </c>
      <c r="I68" s="1056">
        <v>0</v>
      </c>
      <c r="J68" s="1056">
        <v>0</v>
      </c>
      <c r="K68" s="1063">
        <v>0</v>
      </c>
      <c r="L68" s="1056">
        <v>0</v>
      </c>
      <c r="M68" s="1063">
        <v>0</v>
      </c>
      <c r="N68" s="1056">
        <v>0</v>
      </c>
      <c r="O68" s="1056">
        <v>380</v>
      </c>
      <c r="P68" s="1056">
        <v>1870408.11</v>
      </c>
      <c r="Q68" s="1056">
        <v>0</v>
      </c>
      <c r="R68" s="1056">
        <v>0</v>
      </c>
      <c r="S68" s="1056">
        <v>0</v>
      </c>
      <c r="T68" s="1056">
        <v>0</v>
      </c>
      <c r="U68" s="1056">
        <v>0</v>
      </c>
      <c r="V68" s="1056">
        <v>0</v>
      </c>
      <c r="W68" s="1056">
        <v>0</v>
      </c>
      <c r="X68" s="1056">
        <v>0</v>
      </c>
      <c r="Y68" s="1056">
        <v>0</v>
      </c>
      <c r="Z68" s="1056">
        <v>146497.60000000001</v>
      </c>
      <c r="AA68" s="1056">
        <v>0</v>
      </c>
    </row>
    <row r="69" spans="1:27" s="1064" customFormat="1" ht="64.150000000000006" customHeight="1">
      <c r="A69" s="1121">
        <v>43</v>
      </c>
      <c r="B69" s="1062" t="s">
        <v>1430</v>
      </c>
      <c r="C69" s="1056">
        <f>D69+N69+P69+R69+T69+X69+Z69</f>
        <v>2600746.8299999996</v>
      </c>
      <c r="D69" s="1056">
        <f>SUM(E69:J69)</f>
        <v>0</v>
      </c>
      <c r="E69" s="1056"/>
      <c r="F69" s="1056"/>
      <c r="G69" s="1056"/>
      <c r="H69" s="1056"/>
      <c r="I69" s="1056"/>
      <c r="J69" s="1056"/>
      <c r="K69" s="1063"/>
      <c r="L69" s="1056"/>
      <c r="M69" s="1063"/>
      <c r="N69" s="1056"/>
      <c r="O69" s="1056">
        <v>490</v>
      </c>
      <c r="P69" s="1056">
        <v>2411842.0299999998</v>
      </c>
      <c r="Q69" s="1056"/>
      <c r="R69" s="1056"/>
      <c r="S69" s="1056"/>
      <c r="T69" s="1056"/>
      <c r="U69" s="1056"/>
      <c r="V69" s="1056"/>
      <c r="W69" s="1056"/>
      <c r="X69" s="1056"/>
      <c r="Y69" s="1056"/>
      <c r="Z69" s="1056">
        <v>188904.8</v>
      </c>
      <c r="AA69" s="1056"/>
    </row>
    <row r="70" spans="1:27" s="1064" customFormat="1" ht="61.9" customHeight="1">
      <c r="A70" s="1121">
        <v>44</v>
      </c>
      <c r="B70" s="1062" t="s">
        <v>1431</v>
      </c>
      <c r="C70" s="1056">
        <f>D70+N70+P70+R70+T70+X70+Z70</f>
        <v>175007.18</v>
      </c>
      <c r="D70" s="1056">
        <f>SUM(E70:J70)</f>
        <v>162295.56</v>
      </c>
      <c r="E70" s="1056">
        <v>0</v>
      </c>
      <c r="F70" s="1056">
        <v>0</v>
      </c>
      <c r="G70" s="1056">
        <v>0</v>
      </c>
      <c r="H70" s="1056">
        <v>0</v>
      </c>
      <c r="I70" s="1056">
        <v>0</v>
      </c>
      <c r="J70" s="1056">
        <v>162295.56</v>
      </c>
      <c r="K70" s="1063">
        <v>0</v>
      </c>
      <c r="L70" s="1056">
        <v>0</v>
      </c>
      <c r="M70" s="1063">
        <v>0</v>
      </c>
      <c r="N70" s="1056">
        <v>0</v>
      </c>
      <c r="O70" s="1056">
        <v>0</v>
      </c>
      <c r="P70" s="1056">
        <v>0</v>
      </c>
      <c r="Q70" s="1056">
        <v>0</v>
      </c>
      <c r="R70" s="1056">
        <v>0</v>
      </c>
      <c r="S70" s="1056">
        <v>0</v>
      </c>
      <c r="T70" s="1056">
        <v>0</v>
      </c>
      <c r="U70" s="1056">
        <v>0</v>
      </c>
      <c r="V70" s="1056">
        <v>0</v>
      </c>
      <c r="W70" s="1056">
        <v>0</v>
      </c>
      <c r="X70" s="1056">
        <v>0</v>
      </c>
      <c r="Y70" s="1056">
        <v>0</v>
      </c>
      <c r="Z70" s="1056">
        <v>12711.62</v>
      </c>
      <c r="AA70" s="1056">
        <v>0</v>
      </c>
    </row>
    <row r="71" spans="1:27" s="1064" customFormat="1" ht="98.45" customHeight="1">
      <c r="A71" s="1121"/>
      <c r="B71" s="1062" t="s">
        <v>1087</v>
      </c>
      <c r="C71" s="1056">
        <f>C72</f>
        <v>4284863.0999999996</v>
      </c>
      <c r="D71" s="1056">
        <f t="shared" ref="D71:AA71" si="48">D72</f>
        <v>0</v>
      </c>
      <c r="E71" s="1056">
        <f t="shared" si="48"/>
        <v>0</v>
      </c>
      <c r="F71" s="1056">
        <f t="shared" si="48"/>
        <v>0</v>
      </c>
      <c r="G71" s="1056">
        <f t="shared" si="48"/>
        <v>0</v>
      </c>
      <c r="H71" s="1056">
        <f t="shared" si="48"/>
        <v>0</v>
      </c>
      <c r="I71" s="1056">
        <f t="shared" si="48"/>
        <v>0</v>
      </c>
      <c r="J71" s="1056">
        <f t="shared" si="48"/>
        <v>0</v>
      </c>
      <c r="K71" s="1056">
        <f t="shared" si="48"/>
        <v>0</v>
      </c>
      <c r="L71" s="1056">
        <f t="shared" si="48"/>
        <v>0</v>
      </c>
      <c r="M71" s="1056">
        <f t="shared" si="48"/>
        <v>0</v>
      </c>
      <c r="N71" s="1056">
        <f t="shared" si="48"/>
        <v>0</v>
      </c>
      <c r="O71" s="1056">
        <f t="shared" si="48"/>
        <v>807.3</v>
      </c>
      <c r="P71" s="1056">
        <f t="shared" si="48"/>
        <v>3973632.8</v>
      </c>
      <c r="Q71" s="1056">
        <f t="shared" si="48"/>
        <v>0</v>
      </c>
      <c r="R71" s="1056">
        <f t="shared" si="48"/>
        <v>0</v>
      </c>
      <c r="S71" s="1056">
        <f t="shared" si="48"/>
        <v>0</v>
      </c>
      <c r="T71" s="1056">
        <f t="shared" si="48"/>
        <v>0</v>
      </c>
      <c r="U71" s="1056">
        <f t="shared" si="48"/>
        <v>0</v>
      </c>
      <c r="V71" s="1056">
        <f t="shared" si="48"/>
        <v>0</v>
      </c>
      <c r="W71" s="1056">
        <f t="shared" si="48"/>
        <v>0</v>
      </c>
      <c r="X71" s="1056">
        <f t="shared" si="48"/>
        <v>0</v>
      </c>
      <c r="Y71" s="1056">
        <f t="shared" si="48"/>
        <v>0</v>
      </c>
      <c r="Z71" s="1056">
        <f t="shared" si="48"/>
        <v>311230.3</v>
      </c>
      <c r="AA71" s="1056">
        <f t="shared" si="48"/>
        <v>0</v>
      </c>
    </row>
    <row r="72" spans="1:27" s="1064" customFormat="1" ht="66.599999999999994" customHeight="1">
      <c r="A72" s="1121">
        <v>45</v>
      </c>
      <c r="B72" s="1062" t="s">
        <v>1702</v>
      </c>
      <c r="C72" s="1056">
        <f>D72+N72+P72+R72+T72+X72+Z72</f>
        <v>4284863.0999999996</v>
      </c>
      <c r="D72" s="1056">
        <f>SUM(E72:J72)</f>
        <v>0</v>
      </c>
      <c r="E72" s="1056">
        <v>0</v>
      </c>
      <c r="F72" s="1056">
        <v>0</v>
      </c>
      <c r="G72" s="1056">
        <v>0</v>
      </c>
      <c r="H72" s="1056">
        <v>0</v>
      </c>
      <c r="I72" s="1056">
        <v>0</v>
      </c>
      <c r="J72" s="1056">
        <v>0</v>
      </c>
      <c r="K72" s="1063">
        <v>0</v>
      </c>
      <c r="L72" s="1056">
        <v>0</v>
      </c>
      <c r="M72" s="1063">
        <v>0</v>
      </c>
      <c r="N72" s="1056">
        <v>0</v>
      </c>
      <c r="O72" s="1056">
        <v>807.3</v>
      </c>
      <c r="P72" s="1056">
        <v>3973632.8</v>
      </c>
      <c r="Q72" s="1056">
        <v>0</v>
      </c>
      <c r="R72" s="1056">
        <v>0</v>
      </c>
      <c r="S72" s="1056">
        <v>0</v>
      </c>
      <c r="T72" s="1056">
        <v>0</v>
      </c>
      <c r="U72" s="1056">
        <v>0</v>
      </c>
      <c r="V72" s="1056">
        <v>0</v>
      </c>
      <c r="W72" s="1056">
        <v>0</v>
      </c>
      <c r="X72" s="1056">
        <v>0</v>
      </c>
      <c r="Y72" s="1056">
        <v>0</v>
      </c>
      <c r="Z72" s="1056">
        <v>311230.3</v>
      </c>
      <c r="AA72" s="1056">
        <v>0</v>
      </c>
    </row>
    <row r="73" spans="1:27" s="1064" customFormat="1" ht="129" customHeight="1">
      <c r="A73" s="1121"/>
      <c r="B73" s="1062" t="s">
        <v>1060</v>
      </c>
      <c r="C73" s="1056">
        <f>C74</f>
        <v>1831138.0799999998</v>
      </c>
      <c r="D73" s="1056">
        <f t="shared" ref="D73:AA77" si="49">D74</f>
        <v>0</v>
      </c>
      <c r="E73" s="1056">
        <f t="shared" si="49"/>
        <v>0</v>
      </c>
      <c r="F73" s="1056">
        <f t="shared" si="49"/>
        <v>0</v>
      </c>
      <c r="G73" s="1056">
        <f t="shared" si="49"/>
        <v>0</v>
      </c>
      <c r="H73" s="1056">
        <f t="shared" si="49"/>
        <v>0</v>
      </c>
      <c r="I73" s="1056">
        <f t="shared" si="49"/>
        <v>0</v>
      </c>
      <c r="J73" s="1056">
        <f t="shared" si="49"/>
        <v>0</v>
      </c>
      <c r="K73" s="1056">
        <f t="shared" si="49"/>
        <v>0</v>
      </c>
      <c r="L73" s="1056">
        <f t="shared" si="49"/>
        <v>0</v>
      </c>
      <c r="M73" s="1056">
        <f t="shared" si="49"/>
        <v>0</v>
      </c>
      <c r="N73" s="1056">
        <f t="shared" si="49"/>
        <v>0</v>
      </c>
      <c r="O73" s="1056">
        <f t="shared" si="49"/>
        <v>345</v>
      </c>
      <c r="P73" s="1056">
        <f t="shared" si="49"/>
        <v>1698133.68</v>
      </c>
      <c r="Q73" s="1056">
        <f t="shared" si="49"/>
        <v>0</v>
      </c>
      <c r="R73" s="1056">
        <f t="shared" si="49"/>
        <v>0</v>
      </c>
      <c r="S73" s="1056">
        <f t="shared" si="49"/>
        <v>0</v>
      </c>
      <c r="T73" s="1056">
        <f t="shared" si="49"/>
        <v>0</v>
      </c>
      <c r="U73" s="1056">
        <v>0</v>
      </c>
      <c r="V73" s="1056">
        <v>0</v>
      </c>
      <c r="W73" s="1056">
        <f t="shared" si="49"/>
        <v>0</v>
      </c>
      <c r="X73" s="1056">
        <f t="shared" si="49"/>
        <v>0</v>
      </c>
      <c r="Y73" s="1056">
        <f t="shared" si="49"/>
        <v>0</v>
      </c>
      <c r="Z73" s="1056">
        <f t="shared" si="49"/>
        <v>133004.4</v>
      </c>
      <c r="AA73" s="1056">
        <f t="shared" si="49"/>
        <v>0</v>
      </c>
    </row>
    <row r="74" spans="1:27" s="1064" customFormat="1" ht="93.6" customHeight="1">
      <c r="A74" s="1121">
        <v>46</v>
      </c>
      <c r="B74" s="1062" t="s">
        <v>1338</v>
      </c>
      <c r="C74" s="1056">
        <f>D74+N74+P74+R74+T74+X74+Z74</f>
        <v>1831138.0799999998</v>
      </c>
      <c r="D74" s="1056">
        <f>SUM(E74:J74)</f>
        <v>0</v>
      </c>
      <c r="E74" s="1056">
        <v>0</v>
      </c>
      <c r="F74" s="1056">
        <v>0</v>
      </c>
      <c r="G74" s="1056">
        <v>0</v>
      </c>
      <c r="H74" s="1056">
        <v>0</v>
      </c>
      <c r="I74" s="1056">
        <v>0</v>
      </c>
      <c r="J74" s="1056">
        <v>0</v>
      </c>
      <c r="K74" s="1063">
        <v>0</v>
      </c>
      <c r="L74" s="1056">
        <v>0</v>
      </c>
      <c r="M74" s="1063">
        <v>0</v>
      </c>
      <c r="N74" s="1056">
        <v>0</v>
      </c>
      <c r="O74" s="1056">
        <v>345</v>
      </c>
      <c r="P74" s="1056">
        <v>1698133.68</v>
      </c>
      <c r="Q74" s="1056">
        <v>0</v>
      </c>
      <c r="R74" s="1056">
        <v>0</v>
      </c>
      <c r="S74" s="1056">
        <v>0</v>
      </c>
      <c r="T74" s="1056">
        <v>0</v>
      </c>
      <c r="U74" s="1056">
        <v>0</v>
      </c>
      <c r="V74" s="1056">
        <v>0</v>
      </c>
      <c r="W74" s="1056">
        <v>0</v>
      </c>
      <c r="X74" s="1056">
        <v>0</v>
      </c>
      <c r="Y74" s="1056">
        <v>0</v>
      </c>
      <c r="Z74" s="1056">
        <v>133004.4</v>
      </c>
      <c r="AA74" s="1056">
        <v>0</v>
      </c>
    </row>
    <row r="75" spans="1:27" s="1064" customFormat="1" ht="93.6" customHeight="1">
      <c r="A75" s="1121"/>
      <c r="B75" s="1062" t="s">
        <v>1058</v>
      </c>
      <c r="C75" s="1056">
        <f>C76</f>
        <v>457350.83999999997</v>
      </c>
      <c r="D75" s="1056">
        <f t="shared" ref="D75:AA75" si="50">D76</f>
        <v>424131.24</v>
      </c>
      <c r="E75" s="1056">
        <f t="shared" si="50"/>
        <v>424131.24</v>
      </c>
      <c r="F75" s="1056">
        <f t="shared" si="50"/>
        <v>0</v>
      </c>
      <c r="G75" s="1056">
        <f t="shared" si="50"/>
        <v>0</v>
      </c>
      <c r="H75" s="1056">
        <f t="shared" si="50"/>
        <v>0</v>
      </c>
      <c r="I75" s="1056">
        <f t="shared" si="50"/>
        <v>0</v>
      </c>
      <c r="J75" s="1056">
        <f t="shared" si="50"/>
        <v>0</v>
      </c>
      <c r="K75" s="1056">
        <f t="shared" si="50"/>
        <v>0</v>
      </c>
      <c r="L75" s="1056">
        <f t="shared" si="50"/>
        <v>0</v>
      </c>
      <c r="M75" s="1056">
        <f t="shared" si="50"/>
        <v>0</v>
      </c>
      <c r="N75" s="1056">
        <f t="shared" si="50"/>
        <v>0</v>
      </c>
      <c r="O75" s="1056">
        <f t="shared" si="50"/>
        <v>0</v>
      </c>
      <c r="P75" s="1056">
        <f t="shared" si="50"/>
        <v>0</v>
      </c>
      <c r="Q75" s="1056">
        <f t="shared" si="50"/>
        <v>0</v>
      </c>
      <c r="R75" s="1056">
        <f t="shared" si="50"/>
        <v>0</v>
      </c>
      <c r="S75" s="1056">
        <f t="shared" si="50"/>
        <v>0</v>
      </c>
      <c r="T75" s="1056">
        <f t="shared" si="50"/>
        <v>0</v>
      </c>
      <c r="U75" s="1056">
        <f t="shared" si="50"/>
        <v>0</v>
      </c>
      <c r="V75" s="1056">
        <f t="shared" si="50"/>
        <v>0</v>
      </c>
      <c r="W75" s="1056">
        <f t="shared" si="50"/>
        <v>0</v>
      </c>
      <c r="X75" s="1056">
        <f t="shared" si="50"/>
        <v>0</v>
      </c>
      <c r="Y75" s="1056">
        <f t="shared" si="50"/>
        <v>0</v>
      </c>
      <c r="Z75" s="1056">
        <f t="shared" si="50"/>
        <v>33219.599999999999</v>
      </c>
      <c r="AA75" s="1056">
        <f t="shared" si="50"/>
        <v>0</v>
      </c>
    </row>
    <row r="76" spans="1:27" s="1064" customFormat="1" ht="93.6" customHeight="1">
      <c r="A76" s="1121">
        <v>47</v>
      </c>
      <c r="B76" s="1062" t="s">
        <v>1680</v>
      </c>
      <c r="C76" s="1056">
        <f>D76+N76+P76+R76+T76+X76+Z76</f>
        <v>457350.83999999997</v>
      </c>
      <c r="D76" s="1056">
        <f>SUM(E76:J76)</f>
        <v>424131.24</v>
      </c>
      <c r="E76" s="1056">
        <v>424131.24</v>
      </c>
      <c r="F76" s="1056">
        <v>0</v>
      </c>
      <c r="G76" s="1056">
        <v>0</v>
      </c>
      <c r="H76" s="1056">
        <v>0</v>
      </c>
      <c r="I76" s="1056">
        <v>0</v>
      </c>
      <c r="J76" s="1056">
        <v>0</v>
      </c>
      <c r="K76" s="1063">
        <v>0</v>
      </c>
      <c r="L76" s="1056">
        <v>0</v>
      </c>
      <c r="M76" s="1063">
        <v>0</v>
      </c>
      <c r="N76" s="1056">
        <v>0</v>
      </c>
      <c r="O76" s="1056">
        <v>0</v>
      </c>
      <c r="P76" s="1056">
        <v>0</v>
      </c>
      <c r="Q76" s="1056">
        <v>0</v>
      </c>
      <c r="R76" s="1056">
        <v>0</v>
      </c>
      <c r="S76" s="1056">
        <v>0</v>
      </c>
      <c r="T76" s="1056">
        <v>0</v>
      </c>
      <c r="U76" s="1056">
        <v>0</v>
      </c>
      <c r="V76" s="1056">
        <v>0</v>
      </c>
      <c r="W76" s="1056">
        <v>0</v>
      </c>
      <c r="X76" s="1056">
        <v>0</v>
      </c>
      <c r="Y76" s="1056">
        <v>0</v>
      </c>
      <c r="Z76" s="1056">
        <v>33219.599999999999</v>
      </c>
      <c r="AA76" s="1056">
        <v>0</v>
      </c>
    </row>
    <row r="77" spans="1:27" s="1064" customFormat="1" ht="129" customHeight="1">
      <c r="A77" s="1121"/>
      <c r="B77" s="1062" t="s">
        <v>1112</v>
      </c>
      <c r="C77" s="1056">
        <f>C78</f>
        <v>4670729.01</v>
      </c>
      <c r="D77" s="1056">
        <f t="shared" si="49"/>
        <v>0</v>
      </c>
      <c r="E77" s="1056">
        <f t="shared" si="49"/>
        <v>0</v>
      </c>
      <c r="F77" s="1056">
        <f t="shared" si="49"/>
        <v>0</v>
      </c>
      <c r="G77" s="1056">
        <f t="shared" si="49"/>
        <v>0</v>
      </c>
      <c r="H77" s="1056">
        <f t="shared" si="49"/>
        <v>0</v>
      </c>
      <c r="I77" s="1056">
        <f t="shared" si="49"/>
        <v>0</v>
      </c>
      <c r="J77" s="1056">
        <f t="shared" si="49"/>
        <v>0</v>
      </c>
      <c r="K77" s="1056">
        <f t="shared" si="49"/>
        <v>0</v>
      </c>
      <c r="L77" s="1056">
        <f t="shared" si="49"/>
        <v>0</v>
      </c>
      <c r="M77" s="1056">
        <f t="shared" si="49"/>
        <v>0</v>
      </c>
      <c r="N77" s="1056">
        <f t="shared" si="49"/>
        <v>0</v>
      </c>
      <c r="O77" s="1056">
        <f t="shared" si="49"/>
        <v>880</v>
      </c>
      <c r="P77" s="1056">
        <f t="shared" si="49"/>
        <v>4331471.41</v>
      </c>
      <c r="Q77" s="1056">
        <f t="shared" si="49"/>
        <v>0</v>
      </c>
      <c r="R77" s="1056">
        <f t="shared" si="49"/>
        <v>0</v>
      </c>
      <c r="S77" s="1056">
        <f t="shared" si="49"/>
        <v>0</v>
      </c>
      <c r="T77" s="1056">
        <f t="shared" si="49"/>
        <v>0</v>
      </c>
      <c r="U77" s="1056">
        <v>0</v>
      </c>
      <c r="V77" s="1056">
        <v>0</v>
      </c>
      <c r="W77" s="1056">
        <f t="shared" si="49"/>
        <v>0</v>
      </c>
      <c r="X77" s="1056">
        <f t="shared" si="49"/>
        <v>0</v>
      </c>
      <c r="Y77" s="1056">
        <f t="shared" si="49"/>
        <v>0</v>
      </c>
      <c r="Z77" s="1056">
        <f t="shared" si="49"/>
        <v>339257.59999999998</v>
      </c>
      <c r="AA77" s="1056">
        <f t="shared" si="49"/>
        <v>0</v>
      </c>
    </row>
    <row r="78" spans="1:27" s="1064" customFormat="1" ht="93.6" customHeight="1">
      <c r="A78" s="1121">
        <v>48</v>
      </c>
      <c r="B78" s="1062" t="s">
        <v>1348</v>
      </c>
      <c r="C78" s="1056">
        <f>D78+N78+P78+R78+T78+X78+Z78</f>
        <v>4670729.01</v>
      </c>
      <c r="D78" s="1056">
        <f>SUM(E78:J78)</f>
        <v>0</v>
      </c>
      <c r="E78" s="1056">
        <v>0</v>
      </c>
      <c r="F78" s="1056">
        <v>0</v>
      </c>
      <c r="G78" s="1056">
        <v>0</v>
      </c>
      <c r="H78" s="1056">
        <v>0</v>
      </c>
      <c r="I78" s="1056">
        <v>0</v>
      </c>
      <c r="J78" s="1056">
        <v>0</v>
      </c>
      <c r="K78" s="1063">
        <v>0</v>
      </c>
      <c r="L78" s="1056">
        <v>0</v>
      </c>
      <c r="M78" s="1063">
        <v>0</v>
      </c>
      <c r="N78" s="1056">
        <v>0</v>
      </c>
      <c r="O78" s="1056">
        <v>880</v>
      </c>
      <c r="P78" s="1056">
        <v>4331471.41</v>
      </c>
      <c r="Q78" s="1056">
        <v>0</v>
      </c>
      <c r="R78" s="1056">
        <v>0</v>
      </c>
      <c r="S78" s="1056">
        <v>0</v>
      </c>
      <c r="T78" s="1056">
        <v>0</v>
      </c>
      <c r="U78" s="1056">
        <v>0</v>
      </c>
      <c r="V78" s="1056">
        <v>0</v>
      </c>
      <c r="W78" s="1056">
        <v>0</v>
      </c>
      <c r="X78" s="1056">
        <v>0</v>
      </c>
      <c r="Y78" s="1056">
        <v>0</v>
      </c>
      <c r="Z78" s="1056">
        <v>339257.59999999998</v>
      </c>
      <c r="AA78" s="1056">
        <v>0</v>
      </c>
    </row>
    <row r="79" spans="1:27" s="1072" customFormat="1" ht="126.6" customHeight="1">
      <c r="A79" s="1121"/>
      <c r="B79" s="1062" t="s">
        <v>1063</v>
      </c>
      <c r="C79" s="1056">
        <f>C80+C81</f>
        <v>8120699.3000000007</v>
      </c>
      <c r="D79" s="1056">
        <f t="shared" ref="D79:AA79" si="51">D80+D81</f>
        <v>0</v>
      </c>
      <c r="E79" s="1056">
        <f t="shared" si="51"/>
        <v>0</v>
      </c>
      <c r="F79" s="1056">
        <f t="shared" si="51"/>
        <v>0</v>
      </c>
      <c r="G79" s="1056">
        <f t="shared" si="51"/>
        <v>0</v>
      </c>
      <c r="H79" s="1056">
        <f t="shared" si="51"/>
        <v>0</v>
      </c>
      <c r="I79" s="1056">
        <f t="shared" si="51"/>
        <v>0</v>
      </c>
      <c r="J79" s="1056">
        <f t="shared" si="51"/>
        <v>0</v>
      </c>
      <c r="K79" s="1063">
        <f t="shared" si="51"/>
        <v>0</v>
      </c>
      <c r="L79" s="1056">
        <f t="shared" si="51"/>
        <v>0</v>
      </c>
      <c r="M79" s="1063">
        <f t="shared" si="51"/>
        <v>0</v>
      </c>
      <c r="N79" s="1056">
        <f t="shared" si="51"/>
        <v>0</v>
      </c>
      <c r="O79" s="1056">
        <f t="shared" si="51"/>
        <v>1530</v>
      </c>
      <c r="P79" s="1056">
        <f t="shared" si="51"/>
        <v>7530853.7000000002</v>
      </c>
      <c r="Q79" s="1056">
        <f t="shared" si="51"/>
        <v>0</v>
      </c>
      <c r="R79" s="1056">
        <f t="shared" si="51"/>
        <v>0</v>
      </c>
      <c r="S79" s="1056">
        <f t="shared" si="51"/>
        <v>0</v>
      </c>
      <c r="T79" s="1056">
        <f t="shared" si="51"/>
        <v>0</v>
      </c>
      <c r="U79" s="1056">
        <v>0</v>
      </c>
      <c r="V79" s="1056">
        <v>0</v>
      </c>
      <c r="W79" s="1056">
        <f t="shared" si="51"/>
        <v>0</v>
      </c>
      <c r="X79" s="1056">
        <f t="shared" si="51"/>
        <v>0</v>
      </c>
      <c r="Y79" s="1056">
        <v>0</v>
      </c>
      <c r="Z79" s="1056">
        <f t="shared" si="51"/>
        <v>589845.60000000009</v>
      </c>
      <c r="AA79" s="1056">
        <f t="shared" si="51"/>
        <v>0</v>
      </c>
    </row>
    <row r="80" spans="1:27" s="1064" customFormat="1" ht="69" customHeight="1">
      <c r="A80" s="1121">
        <v>49</v>
      </c>
      <c r="B80" s="1055" t="s">
        <v>1346</v>
      </c>
      <c r="C80" s="1056">
        <f>D80+N80+P80+R80+T80+X80+Z80</f>
        <v>4033811.4200000004</v>
      </c>
      <c r="D80" s="1056">
        <f>SUM(E80:J80)</f>
        <v>0</v>
      </c>
      <c r="E80" s="1056">
        <v>0</v>
      </c>
      <c r="F80" s="1056">
        <v>0</v>
      </c>
      <c r="G80" s="1056">
        <v>0</v>
      </c>
      <c r="H80" s="1056">
        <v>0</v>
      </c>
      <c r="I80" s="1056">
        <v>0</v>
      </c>
      <c r="J80" s="1056">
        <v>0</v>
      </c>
      <c r="K80" s="1063">
        <v>0</v>
      </c>
      <c r="L80" s="1056">
        <v>0</v>
      </c>
      <c r="M80" s="1063">
        <v>0</v>
      </c>
      <c r="N80" s="1056">
        <v>0</v>
      </c>
      <c r="O80" s="1056">
        <v>760</v>
      </c>
      <c r="P80" s="1056">
        <v>3740816.22</v>
      </c>
      <c r="Q80" s="1056">
        <v>0</v>
      </c>
      <c r="R80" s="1056">
        <v>0</v>
      </c>
      <c r="S80" s="1056">
        <v>0</v>
      </c>
      <c r="T80" s="1056">
        <v>0</v>
      </c>
      <c r="U80" s="1056">
        <v>0</v>
      </c>
      <c r="V80" s="1056">
        <v>0</v>
      </c>
      <c r="W80" s="1056">
        <v>0</v>
      </c>
      <c r="X80" s="1056">
        <v>0</v>
      </c>
      <c r="Y80" s="1056">
        <v>0</v>
      </c>
      <c r="Z80" s="1056">
        <v>292995.20000000001</v>
      </c>
      <c r="AA80" s="1056">
        <v>0</v>
      </c>
    </row>
    <row r="81" spans="1:27" s="1064" customFormat="1" ht="70.150000000000006" customHeight="1">
      <c r="A81" s="1121">
        <v>50</v>
      </c>
      <c r="B81" s="1055" t="s">
        <v>1347</v>
      </c>
      <c r="C81" s="1056">
        <f>D81+N81+P81+R81+T81+X81+Z81</f>
        <v>4086887.88</v>
      </c>
      <c r="D81" s="1056">
        <f>SUM(E81:J81)</f>
        <v>0</v>
      </c>
      <c r="E81" s="1056">
        <v>0</v>
      </c>
      <c r="F81" s="1056">
        <v>0</v>
      </c>
      <c r="G81" s="1056">
        <v>0</v>
      </c>
      <c r="H81" s="1056">
        <v>0</v>
      </c>
      <c r="I81" s="1056">
        <v>0</v>
      </c>
      <c r="J81" s="1056">
        <v>0</v>
      </c>
      <c r="K81" s="1063">
        <v>0</v>
      </c>
      <c r="L81" s="1056">
        <v>0</v>
      </c>
      <c r="M81" s="1063">
        <v>0</v>
      </c>
      <c r="N81" s="1056">
        <v>0</v>
      </c>
      <c r="O81" s="1056">
        <v>770</v>
      </c>
      <c r="P81" s="1056">
        <v>3790037.48</v>
      </c>
      <c r="Q81" s="1056">
        <v>0</v>
      </c>
      <c r="R81" s="1056">
        <v>0</v>
      </c>
      <c r="S81" s="1056">
        <v>0</v>
      </c>
      <c r="T81" s="1056">
        <v>0</v>
      </c>
      <c r="U81" s="1056">
        <v>0</v>
      </c>
      <c r="V81" s="1056">
        <v>0</v>
      </c>
      <c r="W81" s="1056">
        <v>0</v>
      </c>
      <c r="X81" s="1056">
        <v>0</v>
      </c>
      <c r="Y81" s="1056">
        <v>0</v>
      </c>
      <c r="Z81" s="1056">
        <v>296850.40000000002</v>
      </c>
      <c r="AA81" s="1056">
        <v>0</v>
      </c>
    </row>
    <row r="82" spans="1:27" s="1064" customFormat="1" ht="85.15" customHeight="1">
      <c r="A82" s="1121"/>
      <c r="B82" s="1062" t="s">
        <v>50</v>
      </c>
      <c r="C82" s="1056">
        <f t="shared" ref="C82:J82" si="52">C83</f>
        <v>30135392.18</v>
      </c>
      <c r="D82" s="1056">
        <f t="shared" si="52"/>
        <v>0</v>
      </c>
      <c r="E82" s="1056">
        <f t="shared" si="52"/>
        <v>0</v>
      </c>
      <c r="F82" s="1056">
        <f t="shared" si="52"/>
        <v>0</v>
      </c>
      <c r="G82" s="1056">
        <f t="shared" si="52"/>
        <v>0</v>
      </c>
      <c r="H82" s="1056">
        <f t="shared" si="52"/>
        <v>0</v>
      </c>
      <c r="I82" s="1056">
        <f t="shared" si="52"/>
        <v>0</v>
      </c>
      <c r="J82" s="1056">
        <f t="shared" si="52"/>
        <v>0</v>
      </c>
      <c r="K82" s="1063">
        <v>0</v>
      </c>
      <c r="L82" s="1056">
        <v>0</v>
      </c>
      <c r="M82" s="1063">
        <f t="shared" ref="M82:X82" si="53">M83</f>
        <v>0</v>
      </c>
      <c r="N82" s="1056">
        <f t="shared" si="53"/>
        <v>0</v>
      </c>
      <c r="O82" s="1056">
        <f t="shared" si="53"/>
        <v>3287</v>
      </c>
      <c r="P82" s="1056">
        <f t="shared" si="53"/>
        <v>27946513.139999997</v>
      </c>
      <c r="Q82" s="1056">
        <f t="shared" si="53"/>
        <v>0</v>
      </c>
      <c r="R82" s="1056">
        <f t="shared" si="53"/>
        <v>0</v>
      </c>
      <c r="S82" s="1056">
        <f t="shared" si="53"/>
        <v>0</v>
      </c>
      <c r="T82" s="1056">
        <f t="shared" si="53"/>
        <v>0</v>
      </c>
      <c r="U82" s="1056">
        <v>0</v>
      </c>
      <c r="V82" s="1056">
        <v>0</v>
      </c>
      <c r="W82" s="1056">
        <f t="shared" si="53"/>
        <v>0</v>
      </c>
      <c r="X82" s="1056">
        <f t="shared" si="53"/>
        <v>0</v>
      </c>
      <c r="Y82" s="1056">
        <v>0</v>
      </c>
      <c r="Z82" s="1056">
        <f t="shared" ref="Z82" si="54">Z83</f>
        <v>2188879.04</v>
      </c>
      <c r="AA82" s="1056">
        <v>0</v>
      </c>
    </row>
    <row r="83" spans="1:27" s="1064" customFormat="1" ht="110.25" customHeight="1">
      <c r="A83" s="1121"/>
      <c r="B83" s="1062" t="s">
        <v>1028</v>
      </c>
      <c r="C83" s="1068">
        <f t="shared" ref="C83:T83" si="55">SUM(C84:C89)</f>
        <v>30135392.18</v>
      </c>
      <c r="D83" s="1068">
        <f t="shared" si="55"/>
        <v>0</v>
      </c>
      <c r="E83" s="1068">
        <f t="shared" si="55"/>
        <v>0</v>
      </c>
      <c r="F83" s="1068">
        <f t="shared" si="55"/>
        <v>0</v>
      </c>
      <c r="G83" s="1068">
        <f t="shared" si="55"/>
        <v>0</v>
      </c>
      <c r="H83" s="1068">
        <f t="shared" si="55"/>
        <v>0</v>
      </c>
      <c r="I83" s="1068">
        <f t="shared" si="55"/>
        <v>0</v>
      </c>
      <c r="J83" s="1068">
        <f t="shared" si="55"/>
        <v>0</v>
      </c>
      <c r="K83" s="1063">
        <f t="shared" si="55"/>
        <v>0</v>
      </c>
      <c r="L83" s="1068">
        <f t="shared" si="55"/>
        <v>0</v>
      </c>
      <c r="M83" s="1063">
        <f t="shared" si="55"/>
        <v>0</v>
      </c>
      <c r="N83" s="1068">
        <f t="shared" si="55"/>
        <v>0</v>
      </c>
      <c r="O83" s="1068">
        <f t="shared" si="55"/>
        <v>3287</v>
      </c>
      <c r="P83" s="1068">
        <f t="shared" si="55"/>
        <v>27946513.139999997</v>
      </c>
      <c r="Q83" s="1068">
        <f t="shared" si="55"/>
        <v>0</v>
      </c>
      <c r="R83" s="1068">
        <f t="shared" si="55"/>
        <v>0</v>
      </c>
      <c r="S83" s="1068">
        <f t="shared" si="55"/>
        <v>0</v>
      </c>
      <c r="T83" s="1068">
        <f t="shared" si="55"/>
        <v>0</v>
      </c>
      <c r="U83" s="1056">
        <v>0</v>
      </c>
      <c r="V83" s="1056">
        <v>0</v>
      </c>
      <c r="W83" s="1068">
        <f>SUM(W84:W89)</f>
        <v>0</v>
      </c>
      <c r="X83" s="1068">
        <f>SUM(X84:X89)</f>
        <v>0</v>
      </c>
      <c r="Y83" s="1056">
        <v>0</v>
      </c>
      <c r="Z83" s="1068">
        <f>SUM(Z84:Z89)</f>
        <v>2188879.04</v>
      </c>
      <c r="AA83" s="1068">
        <f>SUM(AA84:AA89)</f>
        <v>0</v>
      </c>
    </row>
    <row r="84" spans="1:27" s="1064" customFormat="1" ht="97.5" customHeight="1">
      <c r="A84" s="1121">
        <v>51</v>
      </c>
      <c r="B84" s="1055" t="s">
        <v>1464</v>
      </c>
      <c r="C84" s="1056">
        <f t="shared" ref="C84:C89" si="56">D84+N84+P84+R84+T84+X84+Z84</f>
        <v>5867554.2999999998</v>
      </c>
      <c r="D84" s="1056">
        <f t="shared" ref="D84:D89" si="57">SUM(E84:J84)</f>
        <v>0</v>
      </c>
      <c r="E84" s="1056">
        <f>([1]база!E260-(([1]база!E260*8)/110.14))</f>
        <v>0</v>
      </c>
      <c r="F84" s="1056">
        <f>([1]база!F260-(([1]база!F260*8)/110.14))</f>
        <v>0</v>
      </c>
      <c r="G84" s="1056">
        <f>([1]база!G260-(([1]база!G260*8)/110.14))</f>
        <v>0</v>
      </c>
      <c r="H84" s="1056">
        <f>([1]база!H260-(([1]база!H260*8)/110.14))</f>
        <v>0</v>
      </c>
      <c r="I84" s="1056">
        <f>([1]база!I260-(([1]база!I260*8)/110.14))</f>
        <v>0</v>
      </c>
      <c r="J84" s="1056">
        <f>([1]база!J260-(([1]база!J260*8)/110.14))</f>
        <v>0</v>
      </c>
      <c r="K84" s="1063">
        <v>0</v>
      </c>
      <c r="L84" s="1056">
        <v>0</v>
      </c>
      <c r="M84" s="1063">
        <v>0</v>
      </c>
      <c r="N84" s="1056">
        <f>([1]база!L260-([1]база!L260*8)/110.14)</f>
        <v>0</v>
      </c>
      <c r="O84" s="1056">
        <v>640</v>
      </c>
      <c r="P84" s="1068">
        <v>5441365.5</v>
      </c>
      <c r="Q84" s="1056">
        <v>0</v>
      </c>
      <c r="R84" s="1056">
        <v>0</v>
      </c>
      <c r="S84" s="1056">
        <v>0</v>
      </c>
      <c r="T84" s="1056">
        <v>0</v>
      </c>
      <c r="U84" s="1056">
        <v>0</v>
      </c>
      <c r="V84" s="1056">
        <v>0</v>
      </c>
      <c r="W84" s="1056">
        <v>0</v>
      </c>
      <c r="X84" s="1056">
        <v>0</v>
      </c>
      <c r="Y84" s="1056">
        <v>0</v>
      </c>
      <c r="Z84" s="1056">
        <v>426188.79999999999</v>
      </c>
      <c r="AA84" s="1056">
        <v>0</v>
      </c>
    </row>
    <row r="85" spans="1:27" s="1064" customFormat="1" ht="112.5" customHeight="1">
      <c r="A85" s="1121">
        <v>52</v>
      </c>
      <c r="B85" s="1055" t="s">
        <v>1465</v>
      </c>
      <c r="C85" s="1056">
        <f t="shared" si="56"/>
        <v>8984692.5299999993</v>
      </c>
      <c r="D85" s="1056">
        <f t="shared" si="57"/>
        <v>0</v>
      </c>
      <c r="E85" s="1056">
        <f>([1]база!E261-(([1]база!E261*8)/110.14))</f>
        <v>0</v>
      </c>
      <c r="F85" s="1056">
        <f>([1]база!F261-(([1]база!F261*8)/110.14))</f>
        <v>0</v>
      </c>
      <c r="G85" s="1056">
        <f>([1]база!G261-(([1]база!G261*8)/110.14))</f>
        <v>0</v>
      </c>
      <c r="H85" s="1056">
        <f>([1]база!H261-(([1]база!H261*8)/110.14))</f>
        <v>0</v>
      </c>
      <c r="I85" s="1056">
        <f>([1]база!I261-(([1]база!I261*8)/110.14))</f>
        <v>0</v>
      </c>
      <c r="J85" s="1056">
        <f>([1]база!J261-(([1]база!J261*8)/110.14))</f>
        <v>0</v>
      </c>
      <c r="K85" s="1063">
        <v>0</v>
      </c>
      <c r="L85" s="1056">
        <v>0</v>
      </c>
      <c r="M85" s="1063">
        <v>0</v>
      </c>
      <c r="N85" s="1056">
        <f>([1]база!L261-([1]база!L261*8)/110.14)</f>
        <v>0</v>
      </c>
      <c r="O85" s="1056">
        <v>980</v>
      </c>
      <c r="P85" s="1068">
        <v>8332090.9299999997</v>
      </c>
      <c r="Q85" s="1056">
        <v>0</v>
      </c>
      <c r="R85" s="1056">
        <v>0</v>
      </c>
      <c r="S85" s="1056">
        <v>0</v>
      </c>
      <c r="T85" s="1056">
        <v>0</v>
      </c>
      <c r="U85" s="1056">
        <v>0</v>
      </c>
      <c r="V85" s="1056">
        <v>0</v>
      </c>
      <c r="W85" s="1056">
        <v>0</v>
      </c>
      <c r="X85" s="1056">
        <v>0</v>
      </c>
      <c r="Y85" s="1056">
        <v>0</v>
      </c>
      <c r="Z85" s="1056">
        <v>652601.59999999998</v>
      </c>
      <c r="AA85" s="1056">
        <v>0</v>
      </c>
    </row>
    <row r="86" spans="1:27" s="1064" customFormat="1" ht="112.5" customHeight="1">
      <c r="A86" s="1121">
        <v>53</v>
      </c>
      <c r="B86" s="1055" t="s">
        <v>1466</v>
      </c>
      <c r="C86" s="1056">
        <f t="shared" si="56"/>
        <v>3942263.0500000003</v>
      </c>
      <c r="D86" s="1056">
        <f t="shared" si="57"/>
        <v>0</v>
      </c>
      <c r="E86" s="1056">
        <f>([1]база!E263-(([1]база!E263*8)/110.14))</f>
        <v>0</v>
      </c>
      <c r="F86" s="1056">
        <f>([1]база!F263-(([1]база!F263*8)/110.14))</f>
        <v>0</v>
      </c>
      <c r="G86" s="1056">
        <f>([1]база!G263-(([1]база!G263*8)/110.14))</f>
        <v>0</v>
      </c>
      <c r="H86" s="1056">
        <f>([1]база!H263-(([1]база!H263*8)/110.14))</f>
        <v>0</v>
      </c>
      <c r="I86" s="1056">
        <f>([1]база!I263-(([1]база!I263*8)/110.14))</f>
        <v>0</v>
      </c>
      <c r="J86" s="1056">
        <f>([1]база!J263-(([1]база!J263*8)/110.14))</f>
        <v>0</v>
      </c>
      <c r="K86" s="1063">
        <v>0</v>
      </c>
      <c r="L86" s="1056">
        <v>0</v>
      </c>
      <c r="M86" s="1063">
        <v>0</v>
      </c>
      <c r="N86" s="1056">
        <f>([1]база!L263-([1]база!L263*8)/110.14)</f>
        <v>0</v>
      </c>
      <c r="O86" s="1056">
        <v>430</v>
      </c>
      <c r="P86" s="1068">
        <v>3655917.45</v>
      </c>
      <c r="Q86" s="1056">
        <v>0</v>
      </c>
      <c r="R86" s="1056">
        <v>0</v>
      </c>
      <c r="S86" s="1056">
        <v>0</v>
      </c>
      <c r="T86" s="1056">
        <v>0</v>
      </c>
      <c r="U86" s="1056">
        <v>0</v>
      </c>
      <c r="V86" s="1056">
        <v>0</v>
      </c>
      <c r="W86" s="1056">
        <v>0</v>
      </c>
      <c r="X86" s="1056">
        <v>0</v>
      </c>
      <c r="Y86" s="1056">
        <v>0</v>
      </c>
      <c r="Z86" s="1056">
        <v>286345.59999999998</v>
      </c>
      <c r="AA86" s="1056">
        <v>0</v>
      </c>
    </row>
    <row r="87" spans="1:27" s="1064" customFormat="1" ht="94.5" customHeight="1">
      <c r="A87" s="1121">
        <v>54</v>
      </c>
      <c r="B87" s="1055" t="s">
        <v>1467</v>
      </c>
      <c r="C87" s="1056">
        <f t="shared" si="56"/>
        <v>2823760.51</v>
      </c>
      <c r="D87" s="1056">
        <f t="shared" si="57"/>
        <v>0</v>
      </c>
      <c r="E87" s="1056">
        <f>([1]база!E264-(([1]база!E264*8)/110.14))</f>
        <v>0</v>
      </c>
      <c r="F87" s="1056">
        <f>([1]база!F264-(([1]база!F264*8)/110.14))</f>
        <v>0</v>
      </c>
      <c r="G87" s="1056">
        <f>([1]база!G264-(([1]база!G264*8)/110.14))</f>
        <v>0</v>
      </c>
      <c r="H87" s="1056">
        <f>([1]база!H264-(([1]база!H264*8)/110.14))</f>
        <v>0</v>
      </c>
      <c r="I87" s="1056">
        <f>([1]база!I264-(([1]база!I264*8)/110.14))</f>
        <v>0</v>
      </c>
      <c r="J87" s="1056">
        <f>([1]база!J264-(([1]база!J264*8)/110.14))</f>
        <v>0</v>
      </c>
      <c r="K87" s="1063">
        <v>0</v>
      </c>
      <c r="L87" s="1056">
        <v>0</v>
      </c>
      <c r="M87" s="1063">
        <v>0</v>
      </c>
      <c r="N87" s="1056">
        <f>([1]база!L264-([1]база!L264*8)/110.14)</f>
        <v>0</v>
      </c>
      <c r="O87" s="1056">
        <v>308</v>
      </c>
      <c r="P87" s="1068">
        <v>2618657.15</v>
      </c>
      <c r="Q87" s="1056">
        <v>0</v>
      </c>
      <c r="R87" s="1056">
        <v>0</v>
      </c>
      <c r="S87" s="1056">
        <v>0</v>
      </c>
      <c r="T87" s="1056">
        <v>0</v>
      </c>
      <c r="U87" s="1056">
        <v>0</v>
      </c>
      <c r="V87" s="1056">
        <v>0</v>
      </c>
      <c r="W87" s="1056">
        <v>0</v>
      </c>
      <c r="X87" s="1056">
        <v>0</v>
      </c>
      <c r="Y87" s="1056">
        <v>0</v>
      </c>
      <c r="Z87" s="1056">
        <v>205103.35999999999</v>
      </c>
      <c r="AA87" s="1056">
        <v>0</v>
      </c>
    </row>
    <row r="88" spans="1:27" s="1064" customFormat="1" ht="100.5" customHeight="1">
      <c r="A88" s="1121">
        <v>55</v>
      </c>
      <c r="B88" s="1055" t="s">
        <v>1468</v>
      </c>
      <c r="C88" s="1056">
        <f t="shared" si="56"/>
        <v>3263827.08</v>
      </c>
      <c r="D88" s="1056">
        <f t="shared" si="57"/>
        <v>0</v>
      </c>
      <c r="E88" s="1056">
        <f>([1]база!E267-(([1]база!E267*8)/110.14))</f>
        <v>0</v>
      </c>
      <c r="F88" s="1056">
        <f>([1]база!F267-(([1]база!F267*8)/110.14))</f>
        <v>0</v>
      </c>
      <c r="G88" s="1056">
        <f>([1]база!G267-(([1]база!G267*8)/110.14))</f>
        <v>0</v>
      </c>
      <c r="H88" s="1056">
        <f>([1]база!H267-(([1]база!H267*8)/110.14))</f>
        <v>0</v>
      </c>
      <c r="I88" s="1056">
        <f>([1]база!I267-(([1]база!I267*8)/110.14))</f>
        <v>0</v>
      </c>
      <c r="J88" s="1056">
        <f>([1]база!J267-(([1]база!J267*8)/110.14))</f>
        <v>0</v>
      </c>
      <c r="K88" s="1063">
        <v>0</v>
      </c>
      <c r="L88" s="1056">
        <v>0</v>
      </c>
      <c r="M88" s="1063">
        <v>0</v>
      </c>
      <c r="N88" s="1056">
        <f>([1]база!L267-([1]база!L267*8)/110.14)</f>
        <v>0</v>
      </c>
      <c r="O88" s="1056">
        <v>356</v>
      </c>
      <c r="P88" s="1068">
        <v>3026759.56</v>
      </c>
      <c r="Q88" s="1056">
        <v>0</v>
      </c>
      <c r="R88" s="1056">
        <v>0</v>
      </c>
      <c r="S88" s="1056">
        <v>0</v>
      </c>
      <c r="T88" s="1056">
        <v>0</v>
      </c>
      <c r="U88" s="1056">
        <v>0</v>
      </c>
      <c r="V88" s="1056">
        <v>0</v>
      </c>
      <c r="W88" s="1056">
        <v>0</v>
      </c>
      <c r="X88" s="1056">
        <v>0</v>
      </c>
      <c r="Y88" s="1056">
        <v>0</v>
      </c>
      <c r="Z88" s="1056">
        <v>237067.51999999999</v>
      </c>
      <c r="AA88" s="1056">
        <v>0</v>
      </c>
    </row>
    <row r="89" spans="1:27" s="1064" customFormat="1" ht="133.5" customHeight="1">
      <c r="A89" s="1121">
        <v>56</v>
      </c>
      <c r="B89" s="1055" t="s">
        <v>1469</v>
      </c>
      <c r="C89" s="1056">
        <f t="shared" si="56"/>
        <v>5253294.71</v>
      </c>
      <c r="D89" s="1056">
        <f t="shared" si="57"/>
        <v>0</v>
      </c>
      <c r="E89" s="1056">
        <f>([1]база!E268-(([1]база!E268*8)/110.14))</f>
        <v>0</v>
      </c>
      <c r="F89" s="1056">
        <f>([1]база!F268-(([1]база!F268*8)/110.14))</f>
        <v>0</v>
      </c>
      <c r="G89" s="1056">
        <f>([1]база!G268-(([1]база!G268*8)/110.14))</f>
        <v>0</v>
      </c>
      <c r="H89" s="1056">
        <f>([1]база!H268-(([1]база!H268*8)/110.14))</f>
        <v>0</v>
      </c>
      <c r="I89" s="1056">
        <f>([1]база!I268-(([1]база!I268*8)/110.14))</f>
        <v>0</v>
      </c>
      <c r="J89" s="1056">
        <f>([1]база!J268-(([1]база!J268*8)/110.14))</f>
        <v>0</v>
      </c>
      <c r="K89" s="1063">
        <v>0</v>
      </c>
      <c r="L89" s="1056">
        <v>0</v>
      </c>
      <c r="M89" s="1063">
        <v>0</v>
      </c>
      <c r="N89" s="1056">
        <f>([1]база!L268-([1]база!L268*8)/110.14)</f>
        <v>0</v>
      </c>
      <c r="O89" s="1056">
        <v>573</v>
      </c>
      <c r="P89" s="1068">
        <v>4871722.55</v>
      </c>
      <c r="Q89" s="1056">
        <v>0</v>
      </c>
      <c r="R89" s="1056">
        <v>0</v>
      </c>
      <c r="S89" s="1056">
        <v>0</v>
      </c>
      <c r="T89" s="1056">
        <v>0</v>
      </c>
      <c r="U89" s="1056">
        <v>0</v>
      </c>
      <c r="V89" s="1056">
        <v>0</v>
      </c>
      <c r="W89" s="1056">
        <v>0</v>
      </c>
      <c r="X89" s="1056">
        <v>0</v>
      </c>
      <c r="Y89" s="1056">
        <v>0</v>
      </c>
      <c r="Z89" s="1056">
        <v>381572.16</v>
      </c>
      <c r="AA89" s="1056">
        <v>0</v>
      </c>
    </row>
    <row r="90" spans="1:27" s="1064" customFormat="1" ht="128.25" customHeight="1">
      <c r="A90" s="1121"/>
      <c r="B90" s="1062" t="s">
        <v>1067</v>
      </c>
      <c r="C90" s="1068">
        <f t="shared" ref="C90:T90" si="58">SUM(C91:C97)</f>
        <v>8582395</v>
      </c>
      <c r="D90" s="1068">
        <f t="shared" si="58"/>
        <v>0</v>
      </c>
      <c r="E90" s="1068">
        <f t="shared" si="58"/>
        <v>0</v>
      </c>
      <c r="F90" s="1068">
        <f t="shared" si="58"/>
        <v>0</v>
      </c>
      <c r="G90" s="1068">
        <f t="shared" si="58"/>
        <v>0</v>
      </c>
      <c r="H90" s="1068">
        <f t="shared" si="58"/>
        <v>0</v>
      </c>
      <c r="I90" s="1068">
        <f t="shared" si="58"/>
        <v>0</v>
      </c>
      <c r="J90" s="1068">
        <f t="shared" si="58"/>
        <v>0</v>
      </c>
      <c r="K90" s="1063">
        <f t="shared" si="58"/>
        <v>0</v>
      </c>
      <c r="L90" s="1068">
        <f t="shared" si="58"/>
        <v>0</v>
      </c>
      <c r="M90" s="1063">
        <f t="shared" si="58"/>
        <v>0</v>
      </c>
      <c r="N90" s="1068">
        <f t="shared" si="58"/>
        <v>0</v>
      </c>
      <c r="O90" s="1068">
        <f t="shared" si="58"/>
        <v>0</v>
      </c>
      <c r="P90" s="1068">
        <f t="shared" si="58"/>
        <v>0</v>
      </c>
      <c r="Q90" s="1068">
        <f t="shared" si="58"/>
        <v>0</v>
      </c>
      <c r="R90" s="1068">
        <f t="shared" si="58"/>
        <v>0</v>
      </c>
      <c r="S90" s="1068">
        <f t="shared" si="58"/>
        <v>0</v>
      </c>
      <c r="T90" s="1068">
        <f t="shared" si="58"/>
        <v>0</v>
      </c>
      <c r="U90" s="1056">
        <v>0</v>
      </c>
      <c r="V90" s="1056">
        <v>0</v>
      </c>
      <c r="W90" s="1068">
        <f>SUM(W91:W97)</f>
        <v>0</v>
      </c>
      <c r="X90" s="1068">
        <f>SUM(X91:X97)</f>
        <v>0</v>
      </c>
      <c r="Y90" s="1056">
        <v>0</v>
      </c>
      <c r="Z90" s="1068">
        <f>SUM(Z91:Z97)</f>
        <v>8582395</v>
      </c>
      <c r="AA90" s="1068">
        <f>SUM(AA91:AA97)</f>
        <v>0</v>
      </c>
    </row>
    <row r="91" spans="1:27" s="1064" customFormat="1" ht="106.5" customHeight="1">
      <c r="A91" s="1121">
        <v>57</v>
      </c>
      <c r="B91" s="1245" t="s">
        <v>1516</v>
      </c>
      <c r="C91" s="1056">
        <f t="shared" ref="C91:C97" si="59">D91+N91+P91+R91+T91+X91+Z91</f>
        <v>1195838</v>
      </c>
      <c r="D91" s="1056">
        <f t="shared" ref="D91:D97" si="60">SUM(E91:J91)</f>
        <v>0</v>
      </c>
      <c r="E91" s="1056">
        <v>0</v>
      </c>
      <c r="F91" s="1056">
        <v>0</v>
      </c>
      <c r="G91" s="1056">
        <v>0</v>
      </c>
      <c r="H91" s="1056">
        <v>0</v>
      </c>
      <c r="I91" s="1056">
        <v>0</v>
      </c>
      <c r="J91" s="1056">
        <v>0</v>
      </c>
      <c r="K91" s="1063">
        <v>0</v>
      </c>
      <c r="L91" s="1056">
        <v>0</v>
      </c>
      <c r="M91" s="1063">
        <v>0</v>
      </c>
      <c r="N91" s="1056">
        <v>0</v>
      </c>
      <c r="O91" s="1056">
        <v>0</v>
      </c>
      <c r="P91" s="1056">
        <v>0</v>
      </c>
      <c r="Q91" s="1056">
        <v>0</v>
      </c>
      <c r="R91" s="1056">
        <v>0</v>
      </c>
      <c r="S91" s="1056">
        <v>0</v>
      </c>
      <c r="T91" s="1056">
        <v>0</v>
      </c>
      <c r="U91" s="1056">
        <v>0</v>
      </c>
      <c r="V91" s="1056">
        <v>0</v>
      </c>
      <c r="W91" s="1056">
        <v>0</v>
      </c>
      <c r="X91" s="1056">
        <v>0</v>
      </c>
      <c r="Y91" s="1056">
        <v>0</v>
      </c>
      <c r="Z91" s="1246">
        <v>1195838</v>
      </c>
      <c r="AA91" s="1056">
        <v>0</v>
      </c>
    </row>
    <row r="92" spans="1:27" s="1064" customFormat="1" ht="124.15" customHeight="1">
      <c r="A92" s="1121">
        <v>58</v>
      </c>
      <c r="B92" s="1247" t="s">
        <v>2094</v>
      </c>
      <c r="C92" s="1056">
        <f t="shared" si="59"/>
        <v>1215045</v>
      </c>
      <c r="D92" s="1056">
        <f t="shared" si="60"/>
        <v>0</v>
      </c>
      <c r="E92" s="1056">
        <v>0</v>
      </c>
      <c r="F92" s="1056">
        <v>0</v>
      </c>
      <c r="G92" s="1056">
        <v>0</v>
      </c>
      <c r="H92" s="1056">
        <v>0</v>
      </c>
      <c r="I92" s="1056">
        <v>0</v>
      </c>
      <c r="J92" s="1056">
        <v>0</v>
      </c>
      <c r="K92" s="1063">
        <v>0</v>
      </c>
      <c r="L92" s="1056">
        <v>0</v>
      </c>
      <c r="M92" s="1063">
        <v>0</v>
      </c>
      <c r="N92" s="1056">
        <v>0</v>
      </c>
      <c r="O92" s="1056">
        <v>0</v>
      </c>
      <c r="P92" s="1056">
        <v>0</v>
      </c>
      <c r="Q92" s="1056">
        <v>0</v>
      </c>
      <c r="R92" s="1056">
        <v>0</v>
      </c>
      <c r="S92" s="1056">
        <v>0</v>
      </c>
      <c r="T92" s="1056">
        <v>0</v>
      </c>
      <c r="U92" s="1056">
        <v>0</v>
      </c>
      <c r="V92" s="1056">
        <v>0</v>
      </c>
      <c r="W92" s="1056">
        <v>0</v>
      </c>
      <c r="X92" s="1056">
        <v>0</v>
      </c>
      <c r="Y92" s="1056">
        <v>0</v>
      </c>
      <c r="Z92" s="1246">
        <v>1215045</v>
      </c>
      <c r="AA92" s="1056">
        <v>0</v>
      </c>
    </row>
    <row r="93" spans="1:27" s="1064" customFormat="1" ht="96.75" customHeight="1">
      <c r="A93" s="1121">
        <v>59</v>
      </c>
      <c r="B93" s="1245" t="s">
        <v>1517</v>
      </c>
      <c r="C93" s="1056">
        <f t="shared" si="59"/>
        <v>1191236</v>
      </c>
      <c r="D93" s="1056">
        <f t="shared" si="60"/>
        <v>0</v>
      </c>
      <c r="E93" s="1056">
        <v>0</v>
      </c>
      <c r="F93" s="1056">
        <v>0</v>
      </c>
      <c r="G93" s="1056">
        <v>0</v>
      </c>
      <c r="H93" s="1056">
        <v>0</v>
      </c>
      <c r="I93" s="1056">
        <v>0</v>
      </c>
      <c r="J93" s="1056">
        <v>0</v>
      </c>
      <c r="K93" s="1063">
        <v>0</v>
      </c>
      <c r="L93" s="1056">
        <v>0</v>
      </c>
      <c r="M93" s="1063">
        <v>0</v>
      </c>
      <c r="N93" s="1056">
        <v>0</v>
      </c>
      <c r="O93" s="1056">
        <v>0</v>
      </c>
      <c r="P93" s="1056">
        <v>0</v>
      </c>
      <c r="Q93" s="1056">
        <v>0</v>
      </c>
      <c r="R93" s="1056">
        <v>0</v>
      </c>
      <c r="S93" s="1056">
        <v>0</v>
      </c>
      <c r="T93" s="1056">
        <v>0</v>
      </c>
      <c r="U93" s="1056">
        <v>0</v>
      </c>
      <c r="V93" s="1056">
        <v>0</v>
      </c>
      <c r="W93" s="1056">
        <v>0</v>
      </c>
      <c r="X93" s="1056">
        <v>0</v>
      </c>
      <c r="Y93" s="1056">
        <v>0</v>
      </c>
      <c r="Z93" s="1246">
        <v>1191236</v>
      </c>
      <c r="AA93" s="1056">
        <v>0</v>
      </c>
    </row>
    <row r="94" spans="1:27" s="1064" customFormat="1" ht="92.45" customHeight="1">
      <c r="A94" s="1121">
        <v>60</v>
      </c>
      <c r="B94" s="1245" t="s">
        <v>1518</v>
      </c>
      <c r="C94" s="1056">
        <f t="shared" si="59"/>
        <v>1230002</v>
      </c>
      <c r="D94" s="1056">
        <f t="shared" si="60"/>
        <v>0</v>
      </c>
      <c r="E94" s="1056">
        <v>0</v>
      </c>
      <c r="F94" s="1056">
        <v>0</v>
      </c>
      <c r="G94" s="1056">
        <v>0</v>
      </c>
      <c r="H94" s="1056">
        <v>0</v>
      </c>
      <c r="I94" s="1056">
        <v>0</v>
      </c>
      <c r="J94" s="1056">
        <v>0</v>
      </c>
      <c r="K94" s="1063">
        <v>0</v>
      </c>
      <c r="L94" s="1056">
        <v>0</v>
      </c>
      <c r="M94" s="1063">
        <v>0</v>
      </c>
      <c r="N94" s="1056">
        <v>0</v>
      </c>
      <c r="O94" s="1056">
        <v>0</v>
      </c>
      <c r="P94" s="1056">
        <v>0</v>
      </c>
      <c r="Q94" s="1056">
        <v>0</v>
      </c>
      <c r="R94" s="1056">
        <v>0</v>
      </c>
      <c r="S94" s="1056">
        <v>0</v>
      </c>
      <c r="T94" s="1056">
        <v>0</v>
      </c>
      <c r="U94" s="1056">
        <v>0</v>
      </c>
      <c r="V94" s="1056">
        <v>0</v>
      </c>
      <c r="W94" s="1056">
        <v>0</v>
      </c>
      <c r="X94" s="1056">
        <v>0</v>
      </c>
      <c r="Y94" s="1056">
        <v>0</v>
      </c>
      <c r="Z94" s="1246">
        <v>1230002</v>
      </c>
      <c r="AA94" s="1056">
        <v>0</v>
      </c>
    </row>
    <row r="95" spans="1:27" s="1064" customFormat="1" ht="90" customHeight="1">
      <c r="A95" s="1121">
        <v>61</v>
      </c>
      <c r="B95" s="1245" t="s">
        <v>1519</v>
      </c>
      <c r="C95" s="1056">
        <f t="shared" si="59"/>
        <v>1182844</v>
      </c>
      <c r="D95" s="1056">
        <f t="shared" si="60"/>
        <v>0</v>
      </c>
      <c r="E95" s="1056">
        <v>0</v>
      </c>
      <c r="F95" s="1056">
        <v>0</v>
      </c>
      <c r="G95" s="1056">
        <v>0</v>
      </c>
      <c r="H95" s="1056">
        <v>0</v>
      </c>
      <c r="I95" s="1056">
        <v>0</v>
      </c>
      <c r="J95" s="1056">
        <v>0</v>
      </c>
      <c r="K95" s="1063">
        <v>0</v>
      </c>
      <c r="L95" s="1056">
        <v>0</v>
      </c>
      <c r="M95" s="1063">
        <v>0</v>
      </c>
      <c r="N95" s="1056">
        <v>0</v>
      </c>
      <c r="O95" s="1056">
        <v>0</v>
      </c>
      <c r="P95" s="1056">
        <v>0</v>
      </c>
      <c r="Q95" s="1056">
        <v>0</v>
      </c>
      <c r="R95" s="1056">
        <v>0</v>
      </c>
      <c r="S95" s="1056">
        <v>0</v>
      </c>
      <c r="T95" s="1056">
        <v>0</v>
      </c>
      <c r="U95" s="1056">
        <v>0</v>
      </c>
      <c r="V95" s="1056">
        <v>0</v>
      </c>
      <c r="W95" s="1056">
        <v>0</v>
      </c>
      <c r="X95" s="1056">
        <v>0</v>
      </c>
      <c r="Y95" s="1056">
        <v>0</v>
      </c>
      <c r="Z95" s="1246">
        <v>1182844</v>
      </c>
      <c r="AA95" s="1056">
        <v>0</v>
      </c>
    </row>
    <row r="96" spans="1:27" s="1064" customFormat="1" ht="123" customHeight="1">
      <c r="A96" s="1121">
        <v>62</v>
      </c>
      <c r="B96" s="1245" t="s">
        <v>1520</v>
      </c>
      <c r="C96" s="1056">
        <f t="shared" si="59"/>
        <v>1271553</v>
      </c>
      <c r="D96" s="1056">
        <f t="shared" si="60"/>
        <v>0</v>
      </c>
      <c r="E96" s="1056">
        <v>0</v>
      </c>
      <c r="F96" s="1056">
        <v>0</v>
      </c>
      <c r="G96" s="1056">
        <v>0</v>
      </c>
      <c r="H96" s="1056">
        <v>0</v>
      </c>
      <c r="I96" s="1056">
        <v>0</v>
      </c>
      <c r="J96" s="1056">
        <v>0</v>
      </c>
      <c r="K96" s="1063">
        <v>0</v>
      </c>
      <c r="L96" s="1056">
        <v>0</v>
      </c>
      <c r="M96" s="1063">
        <v>0</v>
      </c>
      <c r="N96" s="1056">
        <v>0</v>
      </c>
      <c r="O96" s="1056">
        <v>0</v>
      </c>
      <c r="P96" s="1056">
        <v>0</v>
      </c>
      <c r="Q96" s="1056">
        <v>0</v>
      </c>
      <c r="R96" s="1056">
        <v>0</v>
      </c>
      <c r="S96" s="1056">
        <v>0</v>
      </c>
      <c r="T96" s="1056">
        <v>0</v>
      </c>
      <c r="U96" s="1056">
        <v>0</v>
      </c>
      <c r="V96" s="1056">
        <v>0</v>
      </c>
      <c r="W96" s="1056">
        <v>0</v>
      </c>
      <c r="X96" s="1056">
        <v>0</v>
      </c>
      <c r="Y96" s="1056">
        <v>0</v>
      </c>
      <c r="Z96" s="1248">
        <v>1271553</v>
      </c>
      <c r="AA96" s="1056">
        <v>0</v>
      </c>
    </row>
    <row r="97" spans="1:27" s="1064" customFormat="1" ht="88.9" customHeight="1">
      <c r="A97" s="1121">
        <v>63</v>
      </c>
      <c r="B97" s="1245" t="s">
        <v>1521</v>
      </c>
      <c r="C97" s="1056">
        <f t="shared" si="59"/>
        <v>1295877</v>
      </c>
      <c r="D97" s="1056">
        <f t="shared" si="60"/>
        <v>0</v>
      </c>
      <c r="E97" s="1056">
        <v>0</v>
      </c>
      <c r="F97" s="1056">
        <v>0</v>
      </c>
      <c r="G97" s="1056">
        <v>0</v>
      </c>
      <c r="H97" s="1056">
        <v>0</v>
      </c>
      <c r="I97" s="1056">
        <v>0</v>
      </c>
      <c r="J97" s="1056">
        <v>0</v>
      </c>
      <c r="K97" s="1063">
        <v>0</v>
      </c>
      <c r="L97" s="1056">
        <v>0</v>
      </c>
      <c r="M97" s="1063">
        <v>0</v>
      </c>
      <c r="N97" s="1056">
        <v>0</v>
      </c>
      <c r="O97" s="1056">
        <v>0</v>
      </c>
      <c r="P97" s="1056">
        <v>0</v>
      </c>
      <c r="Q97" s="1056">
        <v>0</v>
      </c>
      <c r="R97" s="1056">
        <v>0</v>
      </c>
      <c r="S97" s="1056">
        <v>0</v>
      </c>
      <c r="T97" s="1056">
        <v>0</v>
      </c>
      <c r="U97" s="1056">
        <v>0</v>
      </c>
      <c r="V97" s="1056">
        <v>0</v>
      </c>
      <c r="W97" s="1056">
        <v>0</v>
      </c>
      <c r="X97" s="1056">
        <v>0</v>
      </c>
      <c r="Y97" s="1056">
        <v>0</v>
      </c>
      <c r="Z97" s="1246">
        <v>1295877</v>
      </c>
      <c r="AA97" s="1056">
        <v>0</v>
      </c>
    </row>
    <row r="98" spans="1:27" s="1064" customFormat="1" ht="108" customHeight="1">
      <c r="A98" s="1121"/>
      <c r="B98" s="1062" t="s">
        <v>1707</v>
      </c>
      <c r="C98" s="1068">
        <f>C99</f>
        <v>1021741.25</v>
      </c>
      <c r="D98" s="1068">
        <f t="shared" ref="D98:AA98" si="61">D99</f>
        <v>947527.25</v>
      </c>
      <c r="E98" s="1068">
        <f t="shared" si="61"/>
        <v>947527.25</v>
      </c>
      <c r="F98" s="1068">
        <f t="shared" si="61"/>
        <v>0</v>
      </c>
      <c r="G98" s="1068">
        <f t="shared" si="61"/>
        <v>0</v>
      </c>
      <c r="H98" s="1068">
        <f t="shared" si="61"/>
        <v>0</v>
      </c>
      <c r="I98" s="1068">
        <f t="shared" si="61"/>
        <v>0</v>
      </c>
      <c r="J98" s="1068">
        <f t="shared" si="61"/>
        <v>0</v>
      </c>
      <c r="K98" s="1068">
        <f t="shared" si="61"/>
        <v>0</v>
      </c>
      <c r="L98" s="1068">
        <f t="shared" si="61"/>
        <v>0</v>
      </c>
      <c r="M98" s="1068">
        <f t="shared" si="61"/>
        <v>0</v>
      </c>
      <c r="N98" s="1068">
        <f t="shared" si="61"/>
        <v>0</v>
      </c>
      <c r="O98" s="1068">
        <f t="shared" si="61"/>
        <v>0</v>
      </c>
      <c r="P98" s="1068">
        <f t="shared" si="61"/>
        <v>0</v>
      </c>
      <c r="Q98" s="1068">
        <f t="shared" si="61"/>
        <v>0</v>
      </c>
      <c r="R98" s="1068">
        <f t="shared" si="61"/>
        <v>0</v>
      </c>
      <c r="S98" s="1068">
        <f t="shared" si="61"/>
        <v>0</v>
      </c>
      <c r="T98" s="1068">
        <f t="shared" si="61"/>
        <v>0</v>
      </c>
      <c r="U98" s="1068">
        <f t="shared" si="61"/>
        <v>0</v>
      </c>
      <c r="V98" s="1068">
        <f t="shared" si="61"/>
        <v>0</v>
      </c>
      <c r="W98" s="1068">
        <f t="shared" si="61"/>
        <v>0</v>
      </c>
      <c r="X98" s="1068">
        <f t="shared" si="61"/>
        <v>0</v>
      </c>
      <c r="Y98" s="1068">
        <f t="shared" si="61"/>
        <v>0</v>
      </c>
      <c r="Z98" s="1068">
        <f t="shared" si="61"/>
        <v>74214</v>
      </c>
      <c r="AA98" s="1068">
        <f t="shared" si="61"/>
        <v>0</v>
      </c>
    </row>
    <row r="99" spans="1:27" s="1064" customFormat="1" ht="88.9" customHeight="1">
      <c r="A99" s="1121">
        <v>65</v>
      </c>
      <c r="B99" s="1245" t="s">
        <v>1706</v>
      </c>
      <c r="C99" s="1056">
        <f t="shared" ref="C99" si="62">D99+N99+P99+R99+T99+X99+Z99</f>
        <v>1021741.25</v>
      </c>
      <c r="D99" s="1056">
        <f t="shared" ref="D99" si="63">SUM(E99:J99)</f>
        <v>947527.25</v>
      </c>
      <c r="E99" s="1056">
        <v>947527.25</v>
      </c>
      <c r="F99" s="1056">
        <v>0</v>
      </c>
      <c r="G99" s="1056">
        <v>0</v>
      </c>
      <c r="H99" s="1056">
        <v>0</v>
      </c>
      <c r="I99" s="1056">
        <v>0</v>
      </c>
      <c r="J99" s="1056">
        <v>0</v>
      </c>
      <c r="K99" s="1063">
        <v>0</v>
      </c>
      <c r="L99" s="1056">
        <v>0</v>
      </c>
      <c r="M99" s="1063">
        <v>0</v>
      </c>
      <c r="N99" s="1056">
        <v>0</v>
      </c>
      <c r="O99" s="1056">
        <v>0</v>
      </c>
      <c r="P99" s="1056">
        <v>0</v>
      </c>
      <c r="Q99" s="1056">
        <v>0</v>
      </c>
      <c r="R99" s="1056">
        <v>0</v>
      </c>
      <c r="S99" s="1056">
        <v>0</v>
      </c>
      <c r="T99" s="1056">
        <v>0</v>
      </c>
      <c r="U99" s="1056">
        <v>0</v>
      </c>
      <c r="V99" s="1056">
        <v>0</v>
      </c>
      <c r="W99" s="1056">
        <v>0</v>
      </c>
      <c r="X99" s="1056">
        <v>0</v>
      </c>
      <c r="Y99" s="1056">
        <v>0</v>
      </c>
      <c r="Z99" s="1246">
        <v>74214</v>
      </c>
      <c r="AA99" s="1056">
        <v>0</v>
      </c>
    </row>
    <row r="100" spans="1:27" s="1064" customFormat="1" ht="111" customHeight="1">
      <c r="A100" s="1121"/>
      <c r="B100" s="1062" t="s">
        <v>1243</v>
      </c>
      <c r="C100" s="1068">
        <f>SUM(C101:C106)</f>
        <v>42147210.329999998</v>
      </c>
      <c r="D100" s="1068">
        <f t="shared" ref="D100:AA100" si="64">SUM(D101:D106)</f>
        <v>0</v>
      </c>
      <c r="E100" s="1068">
        <f t="shared" si="64"/>
        <v>0</v>
      </c>
      <c r="F100" s="1068">
        <f t="shared" si="64"/>
        <v>0</v>
      </c>
      <c r="G100" s="1068">
        <f t="shared" si="64"/>
        <v>0</v>
      </c>
      <c r="H100" s="1068">
        <f t="shared" si="64"/>
        <v>0</v>
      </c>
      <c r="I100" s="1068">
        <f t="shared" si="64"/>
        <v>0</v>
      </c>
      <c r="J100" s="1068">
        <f t="shared" si="64"/>
        <v>0</v>
      </c>
      <c r="K100" s="1068">
        <f t="shared" si="64"/>
        <v>0</v>
      </c>
      <c r="L100" s="1068">
        <f t="shared" si="64"/>
        <v>0</v>
      </c>
      <c r="M100" s="1068">
        <f t="shared" si="64"/>
        <v>0</v>
      </c>
      <c r="N100" s="1068">
        <f t="shared" si="64"/>
        <v>0</v>
      </c>
      <c r="O100" s="1068">
        <f t="shared" si="64"/>
        <v>3889.8599999999997</v>
      </c>
      <c r="P100" s="1068">
        <f t="shared" si="64"/>
        <v>33072109.390000001</v>
      </c>
      <c r="Q100" s="1068">
        <f t="shared" si="64"/>
        <v>0</v>
      </c>
      <c r="R100" s="1068">
        <f t="shared" si="64"/>
        <v>0</v>
      </c>
      <c r="S100" s="1068">
        <f t="shared" si="64"/>
        <v>1523.35</v>
      </c>
      <c r="T100" s="1068">
        <f t="shared" si="64"/>
        <v>6013745.5499999998</v>
      </c>
      <c r="U100" s="1068">
        <f t="shared" si="64"/>
        <v>0</v>
      </c>
      <c r="V100" s="1068">
        <f t="shared" si="64"/>
        <v>0</v>
      </c>
      <c r="W100" s="1068">
        <f t="shared" si="64"/>
        <v>0</v>
      </c>
      <c r="X100" s="1068">
        <f t="shared" si="64"/>
        <v>0</v>
      </c>
      <c r="Y100" s="1068">
        <f t="shared" si="64"/>
        <v>0</v>
      </c>
      <c r="Z100" s="1068">
        <f t="shared" si="64"/>
        <v>3061355.3899999997</v>
      </c>
      <c r="AA100" s="1068">
        <f t="shared" si="64"/>
        <v>0</v>
      </c>
    </row>
    <row r="101" spans="1:27" s="1069" customFormat="1" ht="94.15" customHeight="1">
      <c r="A101" s="1121">
        <v>65</v>
      </c>
      <c r="B101" s="1062" t="s">
        <v>1419</v>
      </c>
      <c r="C101" s="1056">
        <f>D101+N101+P101+R101+T101+X101+Z101</f>
        <v>5953275.6000000006</v>
      </c>
      <c r="D101" s="1056">
        <f t="shared" ref="D101" si="65">SUM(E101:J101)</f>
        <v>0</v>
      </c>
      <c r="E101" s="1056">
        <v>0</v>
      </c>
      <c r="F101" s="1056">
        <v>0</v>
      </c>
      <c r="G101" s="1056">
        <v>0</v>
      </c>
      <c r="H101" s="1056">
        <v>0</v>
      </c>
      <c r="I101" s="1056">
        <v>0</v>
      </c>
      <c r="J101" s="1056">
        <v>0</v>
      </c>
      <c r="K101" s="1063">
        <v>0</v>
      </c>
      <c r="L101" s="1056">
        <v>0</v>
      </c>
      <c r="M101" s="1063">
        <v>0</v>
      </c>
      <c r="N101" s="1056">
        <v>0</v>
      </c>
      <c r="O101" s="1056">
        <v>649.35</v>
      </c>
      <c r="P101" s="1056">
        <v>5520860.4500000002</v>
      </c>
      <c r="Q101" s="1070">
        <v>0</v>
      </c>
      <c r="R101" s="1056">
        <v>0</v>
      </c>
      <c r="S101" s="1070">
        <v>0</v>
      </c>
      <c r="T101" s="1056">
        <v>0</v>
      </c>
      <c r="U101" s="1056">
        <v>0</v>
      </c>
      <c r="V101" s="1056">
        <v>0</v>
      </c>
      <c r="W101" s="1070">
        <v>0</v>
      </c>
      <c r="X101" s="1056">
        <v>0</v>
      </c>
      <c r="Y101" s="1056">
        <v>0</v>
      </c>
      <c r="Z101" s="1056">
        <v>432415.15</v>
      </c>
      <c r="AA101" s="1056">
        <v>0</v>
      </c>
    </row>
    <row r="102" spans="1:27" s="1069" customFormat="1" ht="87" customHeight="1">
      <c r="A102" s="1121">
        <v>66</v>
      </c>
      <c r="B102" s="1062" t="s">
        <v>1420</v>
      </c>
      <c r="C102" s="1056">
        <f t="shared" ref="C102:C105" si="66">D102+N102+P102+R102+T102+X102+Z102</f>
        <v>14320499.719999999</v>
      </c>
      <c r="D102" s="1056">
        <f t="shared" ref="D102:D105" si="67">SUM(E102:J102)</f>
        <v>0</v>
      </c>
      <c r="E102" s="1056">
        <v>0</v>
      </c>
      <c r="F102" s="1056">
        <v>0</v>
      </c>
      <c r="G102" s="1056">
        <v>0</v>
      </c>
      <c r="H102" s="1056">
        <v>0</v>
      </c>
      <c r="I102" s="1056">
        <v>0</v>
      </c>
      <c r="J102" s="1056">
        <v>0</v>
      </c>
      <c r="K102" s="1063">
        <v>0</v>
      </c>
      <c r="L102" s="1056">
        <v>0</v>
      </c>
      <c r="M102" s="1063">
        <v>0</v>
      </c>
      <c r="N102" s="1056">
        <v>0</v>
      </c>
      <c r="O102" s="1056">
        <v>1562</v>
      </c>
      <c r="P102" s="1056">
        <v>13280332.68</v>
      </c>
      <c r="Q102" s="1070">
        <v>0</v>
      </c>
      <c r="R102" s="1056">
        <v>0</v>
      </c>
      <c r="S102" s="1070">
        <v>0</v>
      </c>
      <c r="T102" s="1056">
        <v>0</v>
      </c>
      <c r="U102" s="1056">
        <v>0</v>
      </c>
      <c r="V102" s="1056">
        <v>0</v>
      </c>
      <c r="W102" s="1070">
        <v>0</v>
      </c>
      <c r="X102" s="1056">
        <v>0</v>
      </c>
      <c r="Y102" s="1056">
        <v>0</v>
      </c>
      <c r="Z102" s="1056">
        <v>1040167.04</v>
      </c>
      <c r="AA102" s="1056">
        <v>0</v>
      </c>
    </row>
    <row r="103" spans="1:27" s="1069" customFormat="1" ht="102.75" customHeight="1">
      <c r="A103" s="1121">
        <v>67</v>
      </c>
      <c r="B103" s="1062" t="s">
        <v>1421</v>
      </c>
      <c r="C103" s="1056">
        <f t="shared" si="66"/>
        <v>3575540.9</v>
      </c>
      <c r="D103" s="1056">
        <f t="shared" si="67"/>
        <v>0</v>
      </c>
      <c r="E103" s="1056">
        <v>0</v>
      </c>
      <c r="F103" s="1056">
        <v>0</v>
      </c>
      <c r="G103" s="1056">
        <v>0</v>
      </c>
      <c r="H103" s="1056">
        <v>0</v>
      </c>
      <c r="I103" s="1056">
        <v>0</v>
      </c>
      <c r="J103" s="1056">
        <v>0</v>
      </c>
      <c r="K103" s="1063">
        <v>0</v>
      </c>
      <c r="L103" s="1056">
        <v>0</v>
      </c>
      <c r="M103" s="1063">
        <v>0</v>
      </c>
      <c r="N103" s="1056">
        <v>0</v>
      </c>
      <c r="O103" s="1056">
        <v>390</v>
      </c>
      <c r="P103" s="1056">
        <v>3315832.1</v>
      </c>
      <c r="Q103" s="1070">
        <v>0</v>
      </c>
      <c r="R103" s="1056">
        <v>0</v>
      </c>
      <c r="S103" s="1070">
        <v>0</v>
      </c>
      <c r="T103" s="1056">
        <v>0</v>
      </c>
      <c r="U103" s="1056">
        <v>0</v>
      </c>
      <c r="V103" s="1056">
        <v>0</v>
      </c>
      <c r="W103" s="1070">
        <v>0</v>
      </c>
      <c r="X103" s="1056">
        <v>0</v>
      </c>
      <c r="Y103" s="1056">
        <v>0</v>
      </c>
      <c r="Z103" s="1056">
        <v>259708.79999999999</v>
      </c>
      <c r="AA103" s="1056">
        <v>0</v>
      </c>
    </row>
    <row r="104" spans="1:27" s="1069" customFormat="1" ht="95.25" customHeight="1">
      <c r="A104" s="1121">
        <v>68</v>
      </c>
      <c r="B104" s="1062" t="s">
        <v>1422</v>
      </c>
      <c r="C104" s="1056">
        <f t="shared" si="66"/>
        <v>8131238.4199999999</v>
      </c>
      <c r="D104" s="1056">
        <f t="shared" si="67"/>
        <v>0</v>
      </c>
      <c r="E104" s="1056">
        <v>0</v>
      </c>
      <c r="F104" s="1056">
        <v>0</v>
      </c>
      <c r="G104" s="1056">
        <v>0</v>
      </c>
      <c r="H104" s="1056">
        <v>0</v>
      </c>
      <c r="I104" s="1056">
        <v>0</v>
      </c>
      <c r="J104" s="1056">
        <v>0</v>
      </c>
      <c r="K104" s="1063">
        <v>0</v>
      </c>
      <c r="L104" s="1056">
        <v>0</v>
      </c>
      <c r="M104" s="1063">
        <v>0</v>
      </c>
      <c r="N104" s="1056">
        <v>0</v>
      </c>
      <c r="O104" s="1056">
        <v>886.91</v>
      </c>
      <c r="P104" s="1056">
        <v>7540627.3099999996</v>
      </c>
      <c r="Q104" s="1070">
        <v>0</v>
      </c>
      <c r="R104" s="1056">
        <v>0</v>
      </c>
      <c r="S104" s="1070">
        <v>0</v>
      </c>
      <c r="T104" s="1056">
        <v>0</v>
      </c>
      <c r="U104" s="1056">
        <v>0</v>
      </c>
      <c r="V104" s="1056">
        <v>0</v>
      </c>
      <c r="W104" s="1070">
        <v>0</v>
      </c>
      <c r="X104" s="1056">
        <v>0</v>
      </c>
      <c r="Y104" s="1056">
        <v>0</v>
      </c>
      <c r="Z104" s="1056">
        <v>590611.11</v>
      </c>
      <c r="AA104" s="1056">
        <v>0</v>
      </c>
    </row>
    <row r="105" spans="1:27" s="1069" customFormat="1" ht="121.5" customHeight="1">
      <c r="A105" s="1121">
        <v>69</v>
      </c>
      <c r="B105" s="1062" t="s">
        <v>1423</v>
      </c>
      <c r="C105" s="1056">
        <f t="shared" si="66"/>
        <v>6484765.3700000001</v>
      </c>
      <c r="D105" s="1056">
        <f t="shared" si="67"/>
        <v>0</v>
      </c>
      <c r="E105" s="1056">
        <v>0</v>
      </c>
      <c r="F105" s="1056">
        <v>0</v>
      </c>
      <c r="G105" s="1056">
        <v>0</v>
      </c>
      <c r="H105" s="1056">
        <v>0</v>
      </c>
      <c r="I105" s="1056">
        <v>0</v>
      </c>
      <c r="J105" s="1056">
        <v>0</v>
      </c>
      <c r="K105" s="1063">
        <v>0</v>
      </c>
      <c r="L105" s="1056">
        <v>0</v>
      </c>
      <c r="M105" s="1063">
        <v>0</v>
      </c>
      <c r="N105" s="1056">
        <v>0</v>
      </c>
      <c r="O105" s="1056">
        <v>0</v>
      </c>
      <c r="P105" s="1056">
        <v>0</v>
      </c>
      <c r="Q105" s="1070">
        <v>0</v>
      </c>
      <c r="R105" s="1056">
        <v>0</v>
      </c>
      <c r="S105" s="1070">
        <v>1523.35</v>
      </c>
      <c r="T105" s="1056">
        <v>6013745.5499999998</v>
      </c>
      <c r="U105" s="1056">
        <v>0</v>
      </c>
      <c r="V105" s="1056">
        <v>0</v>
      </c>
      <c r="W105" s="1070">
        <v>0</v>
      </c>
      <c r="X105" s="1056">
        <v>0</v>
      </c>
      <c r="Y105" s="1056">
        <v>0</v>
      </c>
      <c r="Z105" s="1056">
        <v>471019.82</v>
      </c>
      <c r="AA105" s="1056">
        <v>0</v>
      </c>
    </row>
    <row r="106" spans="1:27" s="1069" customFormat="1" ht="121.5" customHeight="1">
      <c r="A106" s="1121">
        <v>70</v>
      </c>
      <c r="B106" s="1062" t="s">
        <v>1584</v>
      </c>
      <c r="C106" s="1056">
        <f t="shared" ref="C106" si="68">D106+N106+P106+R106+T106+X106+Z106</f>
        <v>3681890.3200000003</v>
      </c>
      <c r="D106" s="1056">
        <f t="shared" ref="D106" si="69">SUM(E106:J106)</f>
        <v>0</v>
      </c>
      <c r="E106" s="1056">
        <v>0</v>
      </c>
      <c r="F106" s="1056">
        <v>0</v>
      </c>
      <c r="G106" s="1056">
        <v>0</v>
      </c>
      <c r="H106" s="1056">
        <v>0</v>
      </c>
      <c r="I106" s="1056">
        <v>0</v>
      </c>
      <c r="J106" s="1056">
        <v>0</v>
      </c>
      <c r="K106" s="1063">
        <v>0</v>
      </c>
      <c r="L106" s="1056">
        <v>0</v>
      </c>
      <c r="M106" s="1063">
        <v>0</v>
      </c>
      <c r="N106" s="1056">
        <v>0</v>
      </c>
      <c r="O106" s="1056">
        <v>401.6</v>
      </c>
      <c r="P106" s="1056">
        <v>3414456.85</v>
      </c>
      <c r="Q106" s="1070">
        <v>0</v>
      </c>
      <c r="R106" s="1056">
        <v>0</v>
      </c>
      <c r="S106" s="1070">
        <v>0</v>
      </c>
      <c r="T106" s="1056">
        <v>0</v>
      </c>
      <c r="U106" s="1056">
        <v>0</v>
      </c>
      <c r="V106" s="1056">
        <v>0</v>
      </c>
      <c r="W106" s="1070">
        <v>0</v>
      </c>
      <c r="X106" s="1056">
        <v>0</v>
      </c>
      <c r="Y106" s="1056">
        <v>0</v>
      </c>
      <c r="Z106" s="1056">
        <v>267433.46999999997</v>
      </c>
      <c r="AA106" s="1056"/>
    </row>
    <row r="107" spans="1:27" s="1064" customFormat="1" ht="69" customHeight="1">
      <c r="A107" s="1121"/>
      <c r="B107" s="1062" t="s">
        <v>53</v>
      </c>
      <c r="C107" s="1056">
        <f>C108+C120+C122+C117</f>
        <v>111467955.21000002</v>
      </c>
      <c r="D107" s="1056">
        <f t="shared" ref="D107:AA107" si="70">D108+D120+D122+D117</f>
        <v>0</v>
      </c>
      <c r="E107" s="1056">
        <f t="shared" si="70"/>
        <v>0</v>
      </c>
      <c r="F107" s="1056">
        <f t="shared" si="70"/>
        <v>0</v>
      </c>
      <c r="G107" s="1056">
        <f t="shared" si="70"/>
        <v>0</v>
      </c>
      <c r="H107" s="1056">
        <f t="shared" si="70"/>
        <v>0</v>
      </c>
      <c r="I107" s="1056">
        <f t="shared" si="70"/>
        <v>0</v>
      </c>
      <c r="J107" s="1056">
        <f t="shared" si="70"/>
        <v>0</v>
      </c>
      <c r="K107" s="1056">
        <f t="shared" si="70"/>
        <v>0</v>
      </c>
      <c r="L107" s="1056">
        <f t="shared" si="70"/>
        <v>0</v>
      </c>
      <c r="M107" s="1056">
        <f t="shared" si="70"/>
        <v>0</v>
      </c>
      <c r="N107" s="1056">
        <f t="shared" si="70"/>
        <v>0</v>
      </c>
      <c r="O107" s="1056">
        <f t="shared" si="70"/>
        <v>8731.83</v>
      </c>
      <c r="P107" s="1056">
        <f t="shared" si="70"/>
        <v>54303014.420000002</v>
      </c>
      <c r="Q107" s="1056">
        <f t="shared" si="70"/>
        <v>0</v>
      </c>
      <c r="R107" s="1056">
        <f t="shared" si="70"/>
        <v>0</v>
      </c>
      <c r="S107" s="1056">
        <f t="shared" si="70"/>
        <v>8395</v>
      </c>
      <c r="T107" s="1056">
        <f t="shared" si="70"/>
        <v>33141033.850000001</v>
      </c>
      <c r="U107" s="1056">
        <f t="shared" si="70"/>
        <v>0</v>
      </c>
      <c r="V107" s="1056">
        <f t="shared" si="70"/>
        <v>0</v>
      </c>
      <c r="W107" s="1056">
        <f t="shared" si="70"/>
        <v>0</v>
      </c>
      <c r="X107" s="1056">
        <f t="shared" si="70"/>
        <v>0</v>
      </c>
      <c r="Y107" s="1056">
        <f t="shared" si="70"/>
        <v>0</v>
      </c>
      <c r="Z107" s="1056">
        <f t="shared" si="70"/>
        <v>8096455.7999999998</v>
      </c>
      <c r="AA107" s="1056">
        <f t="shared" si="70"/>
        <v>0</v>
      </c>
    </row>
    <row r="108" spans="1:27" s="1064" customFormat="1" ht="123" customHeight="1">
      <c r="A108" s="1121"/>
      <c r="B108" s="1062" t="s">
        <v>1029</v>
      </c>
      <c r="C108" s="1068">
        <f t="shared" ref="C108:T108" si="71">SUM(C109:C116)</f>
        <v>83901772.950000018</v>
      </c>
      <c r="D108" s="1068">
        <f t="shared" si="71"/>
        <v>0</v>
      </c>
      <c r="E108" s="1068">
        <f t="shared" si="71"/>
        <v>0</v>
      </c>
      <c r="F108" s="1068">
        <f t="shared" si="71"/>
        <v>0</v>
      </c>
      <c r="G108" s="1068">
        <f t="shared" si="71"/>
        <v>0</v>
      </c>
      <c r="H108" s="1068">
        <f t="shared" si="71"/>
        <v>0</v>
      </c>
      <c r="I108" s="1068">
        <f t="shared" si="71"/>
        <v>0</v>
      </c>
      <c r="J108" s="1068">
        <f t="shared" si="71"/>
        <v>0</v>
      </c>
      <c r="K108" s="1073">
        <f t="shared" si="71"/>
        <v>0</v>
      </c>
      <c r="L108" s="1068">
        <f t="shared" si="71"/>
        <v>0</v>
      </c>
      <c r="M108" s="1073">
        <f t="shared" si="71"/>
        <v>0</v>
      </c>
      <c r="N108" s="1068">
        <f t="shared" si="71"/>
        <v>0</v>
      </c>
      <c r="O108" s="1068">
        <f t="shared" si="71"/>
        <v>5378</v>
      </c>
      <c r="P108" s="1068">
        <f t="shared" si="71"/>
        <v>28739097.079999998</v>
      </c>
      <c r="Q108" s="1068">
        <f t="shared" si="71"/>
        <v>0</v>
      </c>
      <c r="R108" s="1068">
        <f t="shared" si="71"/>
        <v>0</v>
      </c>
      <c r="S108" s="1068">
        <f t="shared" si="71"/>
        <v>8395</v>
      </c>
      <c r="T108" s="1068">
        <f t="shared" si="71"/>
        <v>33141033.850000001</v>
      </c>
      <c r="U108" s="1056">
        <v>0</v>
      </c>
      <c r="V108" s="1056">
        <v>0</v>
      </c>
      <c r="W108" s="1068">
        <f>SUM(W109:W116)</f>
        <v>0</v>
      </c>
      <c r="X108" s="1068">
        <f>SUM(X109:X116)</f>
        <v>0</v>
      </c>
      <c r="Y108" s="1068">
        <f>SUM(Y109:Y116)</f>
        <v>0</v>
      </c>
      <c r="Z108" s="1068">
        <f>SUM(Z109:Z116)</f>
        <v>6094190.8799999999</v>
      </c>
      <c r="AA108" s="1068">
        <f>SUM(AA109:AA116)</f>
        <v>0</v>
      </c>
    </row>
    <row r="109" spans="1:27" s="1064" customFormat="1" ht="90.75" customHeight="1">
      <c r="A109" s="1121">
        <v>71</v>
      </c>
      <c r="B109" s="1062" t="s">
        <v>1661</v>
      </c>
      <c r="C109" s="1056">
        <f t="shared" ref="C109" si="72">D109+N109+P109+R109+T109+X109+Z109</f>
        <v>7307335.2199999997</v>
      </c>
      <c r="D109" s="1056">
        <f t="shared" ref="D109" si="73">SUM(E109:J109)</f>
        <v>0</v>
      </c>
      <c r="E109" s="1068">
        <f t="shared" ref="E109:N109" si="74">SUM(E110:E120)</f>
        <v>0</v>
      </c>
      <c r="F109" s="1068">
        <f t="shared" si="74"/>
        <v>0</v>
      </c>
      <c r="G109" s="1068">
        <f t="shared" si="74"/>
        <v>0</v>
      </c>
      <c r="H109" s="1068">
        <f t="shared" si="74"/>
        <v>0</v>
      </c>
      <c r="I109" s="1068">
        <f t="shared" si="74"/>
        <v>0</v>
      </c>
      <c r="J109" s="1068">
        <f t="shared" si="74"/>
        <v>0</v>
      </c>
      <c r="K109" s="1073">
        <f t="shared" si="74"/>
        <v>0</v>
      </c>
      <c r="L109" s="1068">
        <f t="shared" si="74"/>
        <v>0</v>
      </c>
      <c r="M109" s="1073">
        <f t="shared" si="74"/>
        <v>0</v>
      </c>
      <c r="N109" s="1068">
        <f t="shared" si="74"/>
        <v>0</v>
      </c>
      <c r="O109" s="1068">
        <v>916</v>
      </c>
      <c r="P109" s="1068">
        <v>6776568.1799999997</v>
      </c>
      <c r="Q109" s="1068">
        <v>0</v>
      </c>
      <c r="R109" s="1068">
        <v>0</v>
      </c>
      <c r="S109" s="1068">
        <v>0</v>
      </c>
      <c r="T109" s="1068">
        <v>0</v>
      </c>
      <c r="U109" s="1056">
        <v>0</v>
      </c>
      <c r="V109" s="1056">
        <v>0</v>
      </c>
      <c r="W109" s="1068">
        <v>0</v>
      </c>
      <c r="X109" s="1068">
        <v>0</v>
      </c>
      <c r="Y109" s="1056">
        <v>0</v>
      </c>
      <c r="Z109" s="1068">
        <v>530767.04</v>
      </c>
      <c r="AA109" s="1068">
        <v>0</v>
      </c>
    </row>
    <row r="110" spans="1:27" s="1064" customFormat="1" ht="111.75" customHeight="1">
      <c r="A110" s="1121">
        <v>72</v>
      </c>
      <c r="B110" s="1062" t="s">
        <v>1662</v>
      </c>
      <c r="C110" s="1056">
        <f>D110+N110+P110+R110+T110+X110+Z110+V110</f>
        <v>14456786.960000001</v>
      </c>
      <c r="D110" s="1056">
        <f t="shared" ref="D110:D116" si="75">SUM(E110:J110)</f>
        <v>0</v>
      </c>
      <c r="E110" s="1068">
        <f t="shared" ref="E110:N110" si="76">SUM(E111:E121)</f>
        <v>0</v>
      </c>
      <c r="F110" s="1068">
        <f t="shared" si="76"/>
        <v>0</v>
      </c>
      <c r="G110" s="1068">
        <f t="shared" si="76"/>
        <v>0</v>
      </c>
      <c r="H110" s="1068">
        <f t="shared" si="76"/>
        <v>0</v>
      </c>
      <c r="I110" s="1068">
        <f t="shared" si="76"/>
        <v>0</v>
      </c>
      <c r="J110" s="1068">
        <f t="shared" si="76"/>
        <v>0</v>
      </c>
      <c r="K110" s="1073">
        <f t="shared" si="76"/>
        <v>0</v>
      </c>
      <c r="L110" s="1068">
        <f t="shared" si="76"/>
        <v>0</v>
      </c>
      <c r="M110" s="1073">
        <f t="shared" si="76"/>
        <v>0</v>
      </c>
      <c r="N110" s="1068">
        <f t="shared" si="76"/>
        <v>0</v>
      </c>
      <c r="O110" s="1068">
        <v>0</v>
      </c>
      <c r="P110" s="1068">
        <v>0</v>
      </c>
      <c r="Q110" s="1068">
        <v>0</v>
      </c>
      <c r="R110" s="1068">
        <v>0</v>
      </c>
      <c r="S110" s="1068">
        <v>2847</v>
      </c>
      <c r="T110" s="1068">
        <v>11239133.220000001</v>
      </c>
      <c r="U110" s="1056">
        <v>477</v>
      </c>
      <c r="V110" s="1056">
        <v>2167587.5</v>
      </c>
      <c r="W110" s="1068">
        <v>0</v>
      </c>
      <c r="X110" s="1068">
        <v>0</v>
      </c>
      <c r="Y110" s="1056">
        <v>0</v>
      </c>
      <c r="Z110" s="1068">
        <v>1050066.24</v>
      </c>
      <c r="AA110" s="1068">
        <v>0</v>
      </c>
    </row>
    <row r="111" spans="1:27" s="1064" customFormat="1" ht="95.25" customHeight="1">
      <c r="A111" s="1121">
        <v>73</v>
      </c>
      <c r="B111" s="1062" t="s">
        <v>1633</v>
      </c>
      <c r="C111" s="1056">
        <f t="shared" ref="C111:C116" si="77">D111+N111+P111+R111+T111+X111+Z111+V111</f>
        <v>3443046.8899999997</v>
      </c>
      <c r="D111" s="1056">
        <f t="shared" si="75"/>
        <v>0</v>
      </c>
      <c r="E111" s="1068">
        <f t="shared" ref="E111:N111" si="78">SUM(E112:E121)</f>
        <v>0</v>
      </c>
      <c r="F111" s="1068">
        <f t="shared" si="78"/>
        <v>0</v>
      </c>
      <c r="G111" s="1068">
        <f t="shared" si="78"/>
        <v>0</v>
      </c>
      <c r="H111" s="1068">
        <f t="shared" si="78"/>
        <v>0</v>
      </c>
      <c r="I111" s="1068">
        <f t="shared" si="78"/>
        <v>0</v>
      </c>
      <c r="J111" s="1068">
        <f t="shared" si="78"/>
        <v>0</v>
      </c>
      <c r="K111" s="1073">
        <f t="shared" si="78"/>
        <v>0</v>
      </c>
      <c r="L111" s="1068">
        <f t="shared" si="78"/>
        <v>0</v>
      </c>
      <c r="M111" s="1073">
        <f t="shared" si="78"/>
        <v>0</v>
      </c>
      <c r="N111" s="1068">
        <f t="shared" si="78"/>
        <v>0</v>
      </c>
      <c r="O111" s="1068">
        <v>0</v>
      </c>
      <c r="P111" s="1068">
        <v>0</v>
      </c>
      <c r="Q111" s="1068">
        <v>0</v>
      </c>
      <c r="R111" s="1068">
        <v>0</v>
      </c>
      <c r="S111" s="1068">
        <v>376</v>
      </c>
      <c r="T111" s="1068">
        <v>1484339.34</v>
      </c>
      <c r="U111" s="1056">
        <v>376</v>
      </c>
      <c r="V111" s="1056">
        <v>1708622.43</v>
      </c>
      <c r="W111" s="1068">
        <v>0</v>
      </c>
      <c r="X111" s="1068">
        <v>0</v>
      </c>
      <c r="Y111" s="1056">
        <v>0</v>
      </c>
      <c r="Z111" s="1068">
        <v>250085.12</v>
      </c>
      <c r="AA111" s="1068">
        <v>0</v>
      </c>
    </row>
    <row r="112" spans="1:27" s="1064" customFormat="1" ht="117" customHeight="1">
      <c r="A112" s="1121">
        <v>74</v>
      </c>
      <c r="B112" s="1062" t="s">
        <v>1634</v>
      </c>
      <c r="C112" s="1056">
        <f t="shared" si="77"/>
        <v>16167753.49</v>
      </c>
      <c r="D112" s="1056">
        <f t="shared" si="75"/>
        <v>0</v>
      </c>
      <c r="E112" s="1068">
        <f t="shared" ref="E112:N112" si="79">SUM(E113:E121)</f>
        <v>0</v>
      </c>
      <c r="F112" s="1068">
        <f t="shared" si="79"/>
        <v>0</v>
      </c>
      <c r="G112" s="1068">
        <f t="shared" si="79"/>
        <v>0</v>
      </c>
      <c r="H112" s="1068">
        <f t="shared" si="79"/>
        <v>0</v>
      </c>
      <c r="I112" s="1068">
        <f t="shared" si="79"/>
        <v>0</v>
      </c>
      <c r="J112" s="1068">
        <f t="shared" si="79"/>
        <v>0</v>
      </c>
      <c r="K112" s="1073">
        <f t="shared" si="79"/>
        <v>0</v>
      </c>
      <c r="L112" s="1068">
        <f t="shared" si="79"/>
        <v>0</v>
      </c>
      <c r="M112" s="1073">
        <f t="shared" si="79"/>
        <v>0</v>
      </c>
      <c r="N112" s="1068">
        <f t="shared" si="79"/>
        <v>0</v>
      </c>
      <c r="O112" s="1068">
        <v>1025</v>
      </c>
      <c r="P112" s="1068">
        <v>5045179.7699999996</v>
      </c>
      <c r="Q112" s="1068">
        <v>0</v>
      </c>
      <c r="R112" s="1068">
        <v>0</v>
      </c>
      <c r="S112" s="1068">
        <v>2520</v>
      </c>
      <c r="T112" s="1068">
        <v>9948231.7200000007</v>
      </c>
      <c r="U112" s="1056">
        <v>0</v>
      </c>
      <c r="V112" s="1056">
        <v>0</v>
      </c>
      <c r="W112" s="1068">
        <v>0</v>
      </c>
      <c r="X112" s="1068">
        <v>0</v>
      </c>
      <c r="Y112" s="1056">
        <v>0</v>
      </c>
      <c r="Z112" s="1068">
        <v>1174342</v>
      </c>
      <c r="AA112" s="1068">
        <v>0</v>
      </c>
    </row>
    <row r="113" spans="1:27" s="1064" customFormat="1" ht="108.75" customHeight="1">
      <c r="A113" s="1121">
        <v>75</v>
      </c>
      <c r="B113" s="1062" t="s">
        <v>1635</v>
      </c>
      <c r="C113" s="1056">
        <f t="shared" si="77"/>
        <v>13296021.5</v>
      </c>
      <c r="D113" s="1056">
        <f t="shared" si="75"/>
        <v>0</v>
      </c>
      <c r="E113" s="1068">
        <f t="shared" ref="E113:N113" si="80">SUM(E114:E121)</f>
        <v>0</v>
      </c>
      <c r="F113" s="1068">
        <f t="shared" si="80"/>
        <v>0</v>
      </c>
      <c r="G113" s="1068">
        <f t="shared" si="80"/>
        <v>0</v>
      </c>
      <c r="H113" s="1068">
        <f t="shared" si="80"/>
        <v>0</v>
      </c>
      <c r="I113" s="1068">
        <f t="shared" si="80"/>
        <v>0</v>
      </c>
      <c r="J113" s="1068">
        <f t="shared" si="80"/>
        <v>0</v>
      </c>
      <c r="K113" s="1073">
        <f t="shared" si="80"/>
        <v>0</v>
      </c>
      <c r="L113" s="1068">
        <f t="shared" si="80"/>
        <v>0</v>
      </c>
      <c r="M113" s="1073">
        <f t="shared" si="80"/>
        <v>0</v>
      </c>
      <c r="N113" s="1068">
        <f t="shared" si="80"/>
        <v>0</v>
      </c>
      <c r="O113" s="1068">
        <v>0</v>
      </c>
      <c r="P113" s="1068">
        <v>0</v>
      </c>
      <c r="Q113" s="1068">
        <v>0</v>
      </c>
      <c r="R113" s="1068">
        <v>0</v>
      </c>
      <c r="S113" s="1068">
        <v>1452</v>
      </c>
      <c r="T113" s="1068">
        <v>5732076.3700000001</v>
      </c>
      <c r="U113" s="1056">
        <v>1452</v>
      </c>
      <c r="V113" s="1056">
        <v>6598190.8899999997</v>
      </c>
      <c r="W113" s="1068">
        <v>0</v>
      </c>
      <c r="X113" s="1068">
        <v>0</v>
      </c>
      <c r="Y113" s="1056">
        <v>0</v>
      </c>
      <c r="Z113" s="1068">
        <v>965754.24</v>
      </c>
      <c r="AA113" s="1068">
        <v>0</v>
      </c>
    </row>
    <row r="114" spans="1:27" s="1064" customFormat="1" ht="86.45" customHeight="1">
      <c r="A114" s="1121">
        <v>76</v>
      </c>
      <c r="B114" s="1062" t="s">
        <v>1663</v>
      </c>
      <c r="C114" s="1056">
        <f t="shared" si="77"/>
        <v>17344885.09</v>
      </c>
      <c r="D114" s="1056">
        <f t="shared" si="75"/>
        <v>0</v>
      </c>
      <c r="E114" s="1068">
        <f t="shared" ref="E114:N115" si="81">SUM(E115:E121)</f>
        <v>0</v>
      </c>
      <c r="F114" s="1068">
        <f t="shared" si="81"/>
        <v>0</v>
      </c>
      <c r="G114" s="1068">
        <f t="shared" si="81"/>
        <v>0</v>
      </c>
      <c r="H114" s="1068">
        <f t="shared" si="81"/>
        <v>0</v>
      </c>
      <c r="I114" s="1068">
        <f t="shared" si="81"/>
        <v>0</v>
      </c>
      <c r="J114" s="1068">
        <f t="shared" si="81"/>
        <v>0</v>
      </c>
      <c r="K114" s="1073">
        <f t="shared" si="81"/>
        <v>0</v>
      </c>
      <c r="L114" s="1068">
        <f t="shared" si="81"/>
        <v>0</v>
      </c>
      <c r="M114" s="1073">
        <f t="shared" si="81"/>
        <v>0</v>
      </c>
      <c r="N114" s="1068">
        <f t="shared" si="81"/>
        <v>0</v>
      </c>
      <c r="O114" s="1068">
        <v>1197.5999999999999</v>
      </c>
      <c r="P114" s="1068">
        <v>5894738.8200000003</v>
      </c>
      <c r="Q114" s="1068">
        <v>0</v>
      </c>
      <c r="R114" s="1068">
        <v>0</v>
      </c>
      <c r="S114" s="1068">
        <v>1200</v>
      </c>
      <c r="T114" s="1068">
        <v>4737253.2</v>
      </c>
      <c r="U114" s="1056">
        <v>1200</v>
      </c>
      <c r="V114" s="1056">
        <v>5453050.3200000003</v>
      </c>
      <c r="W114" s="1068">
        <v>0</v>
      </c>
      <c r="X114" s="1068">
        <v>0</v>
      </c>
      <c r="Y114" s="1056">
        <v>0</v>
      </c>
      <c r="Z114" s="1068">
        <v>1259842.75</v>
      </c>
      <c r="AA114" s="1068">
        <v>0</v>
      </c>
    </row>
    <row r="115" spans="1:27" s="1064" customFormat="1" ht="105" customHeight="1">
      <c r="A115" s="1121">
        <v>77</v>
      </c>
      <c r="B115" s="1062" t="s">
        <v>1664</v>
      </c>
      <c r="C115" s="1056">
        <f t="shared" si="77"/>
        <v>8476311.6199999992</v>
      </c>
      <c r="D115" s="1056">
        <f t="shared" si="75"/>
        <v>0</v>
      </c>
      <c r="E115" s="1068">
        <f t="shared" si="81"/>
        <v>0</v>
      </c>
      <c r="F115" s="1068">
        <f t="shared" si="81"/>
        <v>0</v>
      </c>
      <c r="G115" s="1068">
        <f t="shared" si="81"/>
        <v>0</v>
      </c>
      <c r="H115" s="1068">
        <f t="shared" si="81"/>
        <v>0</v>
      </c>
      <c r="I115" s="1068">
        <f t="shared" si="81"/>
        <v>0</v>
      </c>
      <c r="J115" s="1068">
        <f t="shared" si="81"/>
        <v>0</v>
      </c>
      <c r="K115" s="1073">
        <f t="shared" si="81"/>
        <v>0</v>
      </c>
      <c r="L115" s="1068">
        <f t="shared" si="81"/>
        <v>0</v>
      </c>
      <c r="M115" s="1073">
        <f t="shared" si="81"/>
        <v>0</v>
      </c>
      <c r="N115" s="1068">
        <f t="shared" si="81"/>
        <v>0</v>
      </c>
      <c r="O115" s="1068">
        <v>1597</v>
      </c>
      <c r="P115" s="1068">
        <v>7860636.1799999997</v>
      </c>
      <c r="Q115" s="1068">
        <v>0</v>
      </c>
      <c r="R115" s="1068">
        <v>0</v>
      </c>
      <c r="S115" s="1068">
        <v>0</v>
      </c>
      <c r="T115" s="1068">
        <v>0</v>
      </c>
      <c r="U115" s="1056">
        <v>0</v>
      </c>
      <c r="V115" s="1056">
        <v>0</v>
      </c>
      <c r="W115" s="1068">
        <v>0</v>
      </c>
      <c r="X115" s="1068">
        <v>0</v>
      </c>
      <c r="Y115" s="1056">
        <v>0</v>
      </c>
      <c r="Z115" s="1068">
        <v>615675.43999999994</v>
      </c>
      <c r="AA115" s="1068">
        <v>0</v>
      </c>
    </row>
    <row r="116" spans="1:27" s="1064" customFormat="1" ht="87.6" customHeight="1">
      <c r="A116" s="1121">
        <v>78</v>
      </c>
      <c r="B116" s="1062" t="s">
        <v>1665</v>
      </c>
      <c r="C116" s="1056">
        <f t="shared" si="77"/>
        <v>3409632.1799999997</v>
      </c>
      <c r="D116" s="1056">
        <f t="shared" si="75"/>
        <v>0</v>
      </c>
      <c r="E116" s="1068">
        <f t="shared" ref="E116:N116" si="82">SUM(E120:E123)</f>
        <v>0</v>
      </c>
      <c r="F116" s="1068">
        <f t="shared" si="82"/>
        <v>0</v>
      </c>
      <c r="G116" s="1068">
        <f t="shared" si="82"/>
        <v>0</v>
      </c>
      <c r="H116" s="1068">
        <f t="shared" si="82"/>
        <v>0</v>
      </c>
      <c r="I116" s="1068">
        <f t="shared" si="82"/>
        <v>0</v>
      </c>
      <c r="J116" s="1068">
        <f t="shared" si="82"/>
        <v>0</v>
      </c>
      <c r="K116" s="1073">
        <f t="shared" si="82"/>
        <v>0</v>
      </c>
      <c r="L116" s="1068">
        <f t="shared" si="82"/>
        <v>0</v>
      </c>
      <c r="M116" s="1073">
        <f t="shared" si="82"/>
        <v>0</v>
      </c>
      <c r="N116" s="1068">
        <f t="shared" si="82"/>
        <v>0</v>
      </c>
      <c r="O116" s="1068">
        <v>642.4</v>
      </c>
      <c r="P116" s="1068">
        <v>3161974.13</v>
      </c>
      <c r="Q116" s="1068">
        <v>0</v>
      </c>
      <c r="R116" s="1068">
        <v>0</v>
      </c>
      <c r="S116" s="1068">
        <v>0</v>
      </c>
      <c r="T116" s="1068">
        <v>0</v>
      </c>
      <c r="U116" s="1056">
        <v>0</v>
      </c>
      <c r="V116" s="1056">
        <v>0</v>
      </c>
      <c r="W116" s="1068">
        <v>0</v>
      </c>
      <c r="X116" s="1068">
        <v>0</v>
      </c>
      <c r="Y116" s="1056">
        <v>0</v>
      </c>
      <c r="Z116" s="1068">
        <v>247658.05</v>
      </c>
      <c r="AA116" s="1068">
        <v>0</v>
      </c>
    </row>
    <row r="117" spans="1:27" s="1064" customFormat="1" ht="87.6" customHeight="1">
      <c r="A117" s="1121"/>
      <c r="B117" s="1062" t="s">
        <v>1033</v>
      </c>
      <c r="C117" s="1056">
        <f>C118+C119</f>
        <v>7809913.9500000002</v>
      </c>
      <c r="D117" s="1056">
        <f t="shared" ref="D117:AA117" si="83">D118+D119</f>
        <v>0</v>
      </c>
      <c r="E117" s="1056">
        <f t="shared" si="83"/>
        <v>0</v>
      </c>
      <c r="F117" s="1056">
        <f t="shared" si="83"/>
        <v>0</v>
      </c>
      <c r="G117" s="1056">
        <f t="shared" si="83"/>
        <v>0</v>
      </c>
      <c r="H117" s="1056">
        <f t="shared" si="83"/>
        <v>0</v>
      </c>
      <c r="I117" s="1056">
        <f t="shared" si="83"/>
        <v>0</v>
      </c>
      <c r="J117" s="1056">
        <f t="shared" si="83"/>
        <v>0</v>
      </c>
      <c r="K117" s="1056">
        <f t="shared" si="83"/>
        <v>0</v>
      </c>
      <c r="L117" s="1056">
        <f t="shared" si="83"/>
        <v>0</v>
      </c>
      <c r="M117" s="1056">
        <f t="shared" si="83"/>
        <v>0</v>
      </c>
      <c r="N117" s="1056">
        <f t="shared" si="83"/>
        <v>0</v>
      </c>
      <c r="O117" s="1056">
        <f t="shared" si="83"/>
        <v>979</v>
      </c>
      <c r="P117" s="1056">
        <f t="shared" si="83"/>
        <v>7242642.1899999995</v>
      </c>
      <c r="Q117" s="1056">
        <f t="shared" si="83"/>
        <v>0</v>
      </c>
      <c r="R117" s="1056">
        <f t="shared" si="83"/>
        <v>0</v>
      </c>
      <c r="S117" s="1056">
        <f t="shared" si="83"/>
        <v>0</v>
      </c>
      <c r="T117" s="1056">
        <f t="shared" si="83"/>
        <v>0</v>
      </c>
      <c r="U117" s="1056">
        <f t="shared" si="83"/>
        <v>0</v>
      </c>
      <c r="V117" s="1056">
        <f t="shared" si="83"/>
        <v>0</v>
      </c>
      <c r="W117" s="1056">
        <f t="shared" si="83"/>
        <v>0</v>
      </c>
      <c r="X117" s="1056">
        <f t="shared" si="83"/>
        <v>0</v>
      </c>
      <c r="Y117" s="1056">
        <f t="shared" si="83"/>
        <v>0</v>
      </c>
      <c r="Z117" s="1056">
        <f t="shared" si="83"/>
        <v>567271.76</v>
      </c>
      <c r="AA117" s="1056">
        <f t="shared" si="83"/>
        <v>0</v>
      </c>
    </row>
    <row r="118" spans="1:27" s="1064" customFormat="1" ht="87.6" customHeight="1">
      <c r="A118" s="1121">
        <v>79</v>
      </c>
      <c r="B118" s="1062" t="s">
        <v>1998</v>
      </c>
      <c r="C118" s="1056">
        <f t="shared" ref="C118:C119" si="84">D118+N118+P118+R118+T118+X118+Z118+V118</f>
        <v>3645690.17</v>
      </c>
      <c r="D118" s="1056">
        <f t="shared" ref="D118:D119" si="85">SUM(E118:J118)</f>
        <v>0</v>
      </c>
      <c r="E118" s="1068">
        <v>0</v>
      </c>
      <c r="F118" s="1068">
        <v>0</v>
      </c>
      <c r="G118" s="1068">
        <v>0</v>
      </c>
      <c r="H118" s="1068">
        <v>0</v>
      </c>
      <c r="I118" s="1068">
        <v>0</v>
      </c>
      <c r="J118" s="1068">
        <v>0</v>
      </c>
      <c r="K118" s="1073">
        <v>0</v>
      </c>
      <c r="L118" s="1068">
        <v>0</v>
      </c>
      <c r="M118" s="1073">
        <v>0</v>
      </c>
      <c r="N118" s="1068">
        <v>0</v>
      </c>
      <c r="O118" s="1068">
        <v>457</v>
      </c>
      <c r="P118" s="1068">
        <v>3380886.09</v>
      </c>
      <c r="Q118" s="1068">
        <v>0</v>
      </c>
      <c r="R118" s="1068">
        <v>0</v>
      </c>
      <c r="S118" s="1068">
        <v>0</v>
      </c>
      <c r="T118" s="1068">
        <v>0</v>
      </c>
      <c r="U118" s="1056">
        <v>0</v>
      </c>
      <c r="V118" s="1056">
        <v>0</v>
      </c>
      <c r="W118" s="1068">
        <v>0</v>
      </c>
      <c r="X118" s="1068">
        <v>0</v>
      </c>
      <c r="Y118" s="1056">
        <v>0</v>
      </c>
      <c r="Z118" s="1068">
        <v>264804.08</v>
      </c>
      <c r="AA118" s="1068">
        <v>0</v>
      </c>
    </row>
    <row r="119" spans="1:27" s="1064" customFormat="1" ht="87.6" customHeight="1">
      <c r="A119" s="1121">
        <v>80</v>
      </c>
      <c r="B119" s="1062" t="s">
        <v>1999</v>
      </c>
      <c r="C119" s="1056">
        <f t="shared" si="84"/>
        <v>4164223.7800000003</v>
      </c>
      <c r="D119" s="1056">
        <f t="shared" si="85"/>
        <v>0</v>
      </c>
      <c r="E119" s="1068">
        <v>0</v>
      </c>
      <c r="F119" s="1068">
        <v>0</v>
      </c>
      <c r="G119" s="1068">
        <v>0</v>
      </c>
      <c r="H119" s="1068">
        <v>0</v>
      </c>
      <c r="I119" s="1068">
        <v>0</v>
      </c>
      <c r="J119" s="1068">
        <v>0</v>
      </c>
      <c r="K119" s="1073">
        <v>0</v>
      </c>
      <c r="L119" s="1068">
        <v>0</v>
      </c>
      <c r="M119" s="1073">
        <v>0</v>
      </c>
      <c r="N119" s="1068">
        <v>0</v>
      </c>
      <c r="O119" s="1068">
        <v>522</v>
      </c>
      <c r="P119" s="1068">
        <v>3861756.1</v>
      </c>
      <c r="Q119" s="1068">
        <v>0</v>
      </c>
      <c r="R119" s="1068">
        <v>0</v>
      </c>
      <c r="S119" s="1068">
        <v>0</v>
      </c>
      <c r="T119" s="1068">
        <v>0</v>
      </c>
      <c r="U119" s="1056">
        <v>0</v>
      </c>
      <c r="V119" s="1056">
        <v>0</v>
      </c>
      <c r="W119" s="1068">
        <v>0</v>
      </c>
      <c r="X119" s="1068">
        <v>0</v>
      </c>
      <c r="Y119" s="1056">
        <v>0</v>
      </c>
      <c r="Z119" s="1068">
        <v>302467.68</v>
      </c>
      <c r="AA119" s="1068">
        <v>0</v>
      </c>
    </row>
    <row r="120" spans="1:27" s="1064" customFormat="1" ht="90" customHeight="1">
      <c r="A120" s="1121"/>
      <c r="B120" s="1055" t="s">
        <v>1030</v>
      </c>
      <c r="C120" s="1068">
        <f>C121</f>
        <v>10268220.030000001</v>
      </c>
      <c r="D120" s="1068">
        <f t="shared" ref="D120:AA120" si="86">D121</f>
        <v>0</v>
      </c>
      <c r="E120" s="1068">
        <f t="shared" si="86"/>
        <v>0</v>
      </c>
      <c r="F120" s="1068">
        <f t="shared" si="86"/>
        <v>0</v>
      </c>
      <c r="G120" s="1068">
        <f t="shared" si="86"/>
        <v>0</v>
      </c>
      <c r="H120" s="1068">
        <f t="shared" si="86"/>
        <v>0</v>
      </c>
      <c r="I120" s="1068">
        <f t="shared" si="86"/>
        <v>0</v>
      </c>
      <c r="J120" s="1068">
        <f t="shared" si="86"/>
        <v>0</v>
      </c>
      <c r="K120" s="1068">
        <f t="shared" si="86"/>
        <v>0</v>
      </c>
      <c r="L120" s="1068">
        <f t="shared" si="86"/>
        <v>0</v>
      </c>
      <c r="M120" s="1068">
        <f t="shared" si="86"/>
        <v>0</v>
      </c>
      <c r="N120" s="1068">
        <f t="shared" si="86"/>
        <v>0</v>
      </c>
      <c r="O120" s="1068">
        <f t="shared" si="86"/>
        <v>1120</v>
      </c>
      <c r="P120" s="1068">
        <f t="shared" si="86"/>
        <v>9522389.6300000008</v>
      </c>
      <c r="Q120" s="1068">
        <f t="shared" si="86"/>
        <v>0</v>
      </c>
      <c r="R120" s="1068">
        <f t="shared" si="86"/>
        <v>0</v>
      </c>
      <c r="S120" s="1068">
        <f t="shared" si="86"/>
        <v>0</v>
      </c>
      <c r="T120" s="1068">
        <f t="shared" si="86"/>
        <v>0</v>
      </c>
      <c r="U120" s="1068">
        <f t="shared" si="86"/>
        <v>0</v>
      </c>
      <c r="V120" s="1068">
        <f t="shared" si="86"/>
        <v>0</v>
      </c>
      <c r="W120" s="1068">
        <f t="shared" si="86"/>
        <v>0</v>
      </c>
      <c r="X120" s="1068">
        <f t="shared" si="86"/>
        <v>0</v>
      </c>
      <c r="Y120" s="1068">
        <f t="shared" si="86"/>
        <v>0</v>
      </c>
      <c r="Z120" s="1068">
        <f t="shared" si="86"/>
        <v>745830.40000000002</v>
      </c>
      <c r="AA120" s="1068">
        <f t="shared" si="86"/>
        <v>0</v>
      </c>
    </row>
    <row r="121" spans="1:27" s="1064" customFormat="1" ht="88.9" customHeight="1">
      <c r="A121" s="1121">
        <v>81</v>
      </c>
      <c r="B121" s="1062" t="s">
        <v>1443</v>
      </c>
      <c r="C121" s="1068">
        <f t="shared" ref="C121" si="87">D121+N121+P121+R121+T121+X121+Z121</f>
        <v>10268220.030000001</v>
      </c>
      <c r="D121" s="1068">
        <f t="shared" ref="D121" si="88">SUM(E121:J121)</f>
        <v>0</v>
      </c>
      <c r="E121" s="1068">
        <v>0</v>
      </c>
      <c r="F121" s="1068">
        <v>0</v>
      </c>
      <c r="G121" s="1068">
        <v>0</v>
      </c>
      <c r="H121" s="1068">
        <v>0</v>
      </c>
      <c r="I121" s="1068">
        <v>0</v>
      </c>
      <c r="J121" s="1068">
        <v>0</v>
      </c>
      <c r="K121" s="1063">
        <v>0</v>
      </c>
      <c r="L121" s="1068">
        <v>0</v>
      </c>
      <c r="M121" s="1063">
        <v>0</v>
      </c>
      <c r="N121" s="1068">
        <v>0</v>
      </c>
      <c r="O121" s="1068">
        <v>1120</v>
      </c>
      <c r="P121" s="1068">
        <v>9522389.6300000008</v>
      </c>
      <c r="Q121" s="1068">
        <v>0</v>
      </c>
      <c r="R121" s="1068">
        <v>0</v>
      </c>
      <c r="S121" s="1068">
        <v>0</v>
      </c>
      <c r="T121" s="1068">
        <v>0</v>
      </c>
      <c r="U121" s="1056">
        <v>0</v>
      </c>
      <c r="V121" s="1056">
        <v>0</v>
      </c>
      <c r="W121" s="1068">
        <v>0</v>
      </c>
      <c r="X121" s="1068">
        <v>0</v>
      </c>
      <c r="Y121" s="1056">
        <v>0</v>
      </c>
      <c r="Z121" s="1068">
        <v>745830.40000000002</v>
      </c>
      <c r="AA121" s="1068">
        <v>0</v>
      </c>
    </row>
    <row r="122" spans="1:27" s="1066" customFormat="1" ht="90" customHeight="1">
      <c r="A122" s="1121"/>
      <c r="B122" s="1055" t="s">
        <v>1032</v>
      </c>
      <c r="C122" s="1056">
        <f>C123</f>
        <v>9488048.2799999993</v>
      </c>
      <c r="D122" s="1056">
        <f t="shared" ref="D122:AA122" si="89">D123</f>
        <v>0</v>
      </c>
      <c r="E122" s="1056">
        <f t="shared" si="89"/>
        <v>0</v>
      </c>
      <c r="F122" s="1056">
        <f t="shared" si="89"/>
        <v>0</v>
      </c>
      <c r="G122" s="1056">
        <f t="shared" si="89"/>
        <v>0</v>
      </c>
      <c r="H122" s="1056">
        <f t="shared" si="89"/>
        <v>0</v>
      </c>
      <c r="I122" s="1056">
        <f t="shared" si="89"/>
        <v>0</v>
      </c>
      <c r="J122" s="1056">
        <f t="shared" si="89"/>
        <v>0</v>
      </c>
      <c r="K122" s="1063">
        <f t="shared" si="89"/>
        <v>0</v>
      </c>
      <c r="L122" s="1056">
        <f t="shared" si="89"/>
        <v>0</v>
      </c>
      <c r="M122" s="1063">
        <f t="shared" si="89"/>
        <v>0</v>
      </c>
      <c r="N122" s="1056">
        <f t="shared" si="89"/>
        <v>0</v>
      </c>
      <c r="O122" s="1056">
        <f t="shared" si="89"/>
        <v>1254.83</v>
      </c>
      <c r="P122" s="1056">
        <f t="shared" si="89"/>
        <v>8798885.5199999996</v>
      </c>
      <c r="Q122" s="1056">
        <f t="shared" si="89"/>
        <v>0</v>
      </c>
      <c r="R122" s="1056">
        <f t="shared" si="89"/>
        <v>0</v>
      </c>
      <c r="S122" s="1056">
        <f t="shared" si="89"/>
        <v>0</v>
      </c>
      <c r="T122" s="1056">
        <f t="shared" si="89"/>
        <v>0</v>
      </c>
      <c r="U122" s="1056">
        <v>0</v>
      </c>
      <c r="V122" s="1056">
        <v>0</v>
      </c>
      <c r="W122" s="1056">
        <f t="shared" si="89"/>
        <v>0</v>
      </c>
      <c r="X122" s="1056">
        <f t="shared" ref="X122" si="90">X123</f>
        <v>0</v>
      </c>
      <c r="Y122" s="1056">
        <v>0</v>
      </c>
      <c r="Z122" s="1056">
        <f t="shared" si="89"/>
        <v>689162.76</v>
      </c>
      <c r="AA122" s="1056">
        <f t="shared" si="89"/>
        <v>0</v>
      </c>
    </row>
    <row r="123" spans="1:27" s="1066" customFormat="1" ht="69" customHeight="1">
      <c r="A123" s="1121">
        <v>82</v>
      </c>
      <c r="B123" s="1055" t="s">
        <v>1596</v>
      </c>
      <c r="C123" s="1056">
        <f>D123+N123+P123+R123+T123+X123+Z123</f>
        <v>9488048.2799999993</v>
      </c>
      <c r="D123" s="1056">
        <f>SUM(E123:J123)</f>
        <v>0</v>
      </c>
      <c r="E123" s="1056">
        <v>0</v>
      </c>
      <c r="F123" s="1056">
        <v>0</v>
      </c>
      <c r="G123" s="1056">
        <v>0</v>
      </c>
      <c r="H123" s="1056">
        <v>0</v>
      </c>
      <c r="I123" s="1056">
        <v>0</v>
      </c>
      <c r="J123" s="1056">
        <v>0</v>
      </c>
      <c r="K123" s="1063">
        <v>0</v>
      </c>
      <c r="L123" s="1056">
        <v>0</v>
      </c>
      <c r="M123" s="1063">
        <v>0</v>
      </c>
      <c r="N123" s="1056">
        <v>0</v>
      </c>
      <c r="O123" s="1056">
        <v>1254.83</v>
      </c>
      <c r="P123" s="1056">
        <v>8798885.5199999996</v>
      </c>
      <c r="Q123" s="1056">
        <v>0</v>
      </c>
      <c r="R123" s="1056">
        <v>0</v>
      </c>
      <c r="S123" s="1056">
        <v>0</v>
      </c>
      <c r="T123" s="1056">
        <v>0</v>
      </c>
      <c r="U123" s="1056">
        <v>0</v>
      </c>
      <c r="V123" s="1056">
        <v>0</v>
      </c>
      <c r="W123" s="1056">
        <v>0</v>
      </c>
      <c r="X123" s="1056">
        <v>0</v>
      </c>
      <c r="Y123" s="1056">
        <v>0</v>
      </c>
      <c r="Z123" s="1056">
        <v>689162.76</v>
      </c>
      <c r="AA123" s="1056">
        <v>0</v>
      </c>
    </row>
    <row r="124" spans="1:27" s="1064" customFormat="1" ht="92.45" customHeight="1">
      <c r="A124" s="1121"/>
      <c r="B124" s="1062" t="s">
        <v>1099</v>
      </c>
      <c r="C124" s="1056">
        <f>C125</f>
        <v>3460390.15</v>
      </c>
      <c r="D124" s="1056">
        <f t="shared" ref="D124:AA124" si="91">D125</f>
        <v>0</v>
      </c>
      <c r="E124" s="1056">
        <f t="shared" si="91"/>
        <v>0</v>
      </c>
      <c r="F124" s="1056">
        <f t="shared" si="91"/>
        <v>0</v>
      </c>
      <c r="G124" s="1056">
        <f t="shared" si="91"/>
        <v>0</v>
      </c>
      <c r="H124" s="1056">
        <f t="shared" si="91"/>
        <v>0</v>
      </c>
      <c r="I124" s="1056">
        <f t="shared" si="91"/>
        <v>0</v>
      </c>
      <c r="J124" s="1056">
        <f t="shared" si="91"/>
        <v>0</v>
      </c>
      <c r="K124" s="1056">
        <f t="shared" si="91"/>
        <v>0</v>
      </c>
      <c r="L124" s="1056">
        <f t="shared" si="91"/>
        <v>0</v>
      </c>
      <c r="M124" s="1056">
        <f t="shared" si="91"/>
        <v>0</v>
      </c>
      <c r="N124" s="1056">
        <f t="shared" si="91"/>
        <v>0</v>
      </c>
      <c r="O124" s="1056">
        <f t="shared" si="91"/>
        <v>377.44</v>
      </c>
      <c r="P124" s="1056">
        <f t="shared" si="91"/>
        <v>3209045.31</v>
      </c>
      <c r="Q124" s="1056">
        <f t="shared" si="91"/>
        <v>0</v>
      </c>
      <c r="R124" s="1056">
        <f t="shared" si="91"/>
        <v>0</v>
      </c>
      <c r="S124" s="1056">
        <f t="shared" si="91"/>
        <v>0</v>
      </c>
      <c r="T124" s="1056">
        <f t="shared" si="91"/>
        <v>0</v>
      </c>
      <c r="U124" s="1056">
        <f t="shared" si="91"/>
        <v>0</v>
      </c>
      <c r="V124" s="1056">
        <f t="shared" si="91"/>
        <v>0</v>
      </c>
      <c r="W124" s="1056">
        <f t="shared" si="91"/>
        <v>0</v>
      </c>
      <c r="X124" s="1056">
        <f t="shared" si="91"/>
        <v>0</v>
      </c>
      <c r="Y124" s="1056">
        <f t="shared" si="91"/>
        <v>0</v>
      </c>
      <c r="Z124" s="1056">
        <f t="shared" si="91"/>
        <v>251344.84</v>
      </c>
      <c r="AA124" s="1056">
        <f t="shared" si="91"/>
        <v>0</v>
      </c>
    </row>
    <row r="125" spans="1:27" s="1064" customFormat="1" ht="136.15" customHeight="1">
      <c r="A125" s="1121">
        <v>83</v>
      </c>
      <c r="B125" s="1055" t="s">
        <v>1562</v>
      </c>
      <c r="C125" s="1056">
        <f>D125+N125+P125+R125+T125+X125+Z125</f>
        <v>3460390.15</v>
      </c>
      <c r="D125" s="1056">
        <f>SUM(E125:J125)</f>
        <v>0</v>
      </c>
      <c r="E125" s="1056">
        <v>0</v>
      </c>
      <c r="F125" s="1056">
        <v>0</v>
      </c>
      <c r="G125" s="1056">
        <v>0</v>
      </c>
      <c r="H125" s="1056">
        <v>0</v>
      </c>
      <c r="I125" s="1056">
        <v>0</v>
      </c>
      <c r="J125" s="1056">
        <v>0</v>
      </c>
      <c r="K125" s="1063">
        <v>0</v>
      </c>
      <c r="L125" s="1056">
        <v>0</v>
      </c>
      <c r="M125" s="1063">
        <v>0</v>
      </c>
      <c r="N125" s="1056">
        <v>0</v>
      </c>
      <c r="O125" s="1056">
        <v>377.44</v>
      </c>
      <c r="P125" s="1056">
        <v>3209045.31</v>
      </c>
      <c r="Q125" s="1056">
        <v>0</v>
      </c>
      <c r="R125" s="1056">
        <v>0</v>
      </c>
      <c r="S125" s="1056">
        <v>0</v>
      </c>
      <c r="T125" s="1056">
        <v>0</v>
      </c>
      <c r="U125" s="1056">
        <v>0</v>
      </c>
      <c r="V125" s="1056">
        <v>0</v>
      </c>
      <c r="W125" s="1056">
        <v>0</v>
      </c>
      <c r="X125" s="1056">
        <v>0</v>
      </c>
      <c r="Y125" s="1056">
        <v>0</v>
      </c>
      <c r="Z125" s="1056">
        <v>251344.84</v>
      </c>
      <c r="AA125" s="1056">
        <v>0</v>
      </c>
    </row>
    <row r="126" spans="1:27" s="1064" customFormat="1" ht="67.900000000000006" customHeight="1">
      <c r="A126" s="1121"/>
      <c r="B126" s="1062" t="s">
        <v>55</v>
      </c>
      <c r="C126" s="1056">
        <f>C127</f>
        <v>3386423.36</v>
      </c>
      <c r="D126" s="1056">
        <f t="shared" ref="D126:AA126" si="92">D127</f>
        <v>0</v>
      </c>
      <c r="E126" s="1056">
        <f t="shared" si="92"/>
        <v>0</v>
      </c>
      <c r="F126" s="1056">
        <f t="shared" si="92"/>
        <v>0</v>
      </c>
      <c r="G126" s="1056">
        <f t="shared" si="92"/>
        <v>0</v>
      </c>
      <c r="H126" s="1056">
        <f t="shared" si="92"/>
        <v>0</v>
      </c>
      <c r="I126" s="1056">
        <f t="shared" si="92"/>
        <v>0</v>
      </c>
      <c r="J126" s="1056">
        <f t="shared" si="92"/>
        <v>0</v>
      </c>
      <c r="K126" s="1063">
        <f t="shared" si="92"/>
        <v>0</v>
      </c>
      <c r="L126" s="1056">
        <f t="shared" si="92"/>
        <v>0</v>
      </c>
      <c r="M126" s="1063">
        <f t="shared" si="92"/>
        <v>0</v>
      </c>
      <c r="N126" s="1056">
        <f t="shared" si="92"/>
        <v>0</v>
      </c>
      <c r="O126" s="1056">
        <f t="shared" si="92"/>
        <v>424.5</v>
      </c>
      <c r="P126" s="1056">
        <f t="shared" si="92"/>
        <v>3140451.08</v>
      </c>
      <c r="Q126" s="1056">
        <f t="shared" si="92"/>
        <v>0</v>
      </c>
      <c r="R126" s="1056">
        <f t="shared" si="92"/>
        <v>0</v>
      </c>
      <c r="S126" s="1056">
        <f t="shared" si="92"/>
        <v>0</v>
      </c>
      <c r="T126" s="1056">
        <f t="shared" si="92"/>
        <v>0</v>
      </c>
      <c r="U126" s="1056">
        <v>0</v>
      </c>
      <c r="V126" s="1056">
        <v>0</v>
      </c>
      <c r="W126" s="1056">
        <f t="shared" si="92"/>
        <v>0</v>
      </c>
      <c r="X126" s="1056">
        <f t="shared" si="92"/>
        <v>0</v>
      </c>
      <c r="Y126" s="1056">
        <v>0</v>
      </c>
      <c r="Z126" s="1056">
        <f t="shared" si="92"/>
        <v>245972.28</v>
      </c>
      <c r="AA126" s="1056">
        <f t="shared" si="92"/>
        <v>0</v>
      </c>
    </row>
    <row r="127" spans="1:27" s="1064" customFormat="1" ht="133.9" customHeight="1">
      <c r="A127" s="1121"/>
      <c r="B127" s="1062" t="s">
        <v>1034</v>
      </c>
      <c r="C127" s="1056">
        <f>C128</f>
        <v>3386423.36</v>
      </c>
      <c r="D127" s="1056">
        <f t="shared" ref="D127:AA127" si="93">D128</f>
        <v>0</v>
      </c>
      <c r="E127" s="1056">
        <f t="shared" si="93"/>
        <v>0</v>
      </c>
      <c r="F127" s="1056">
        <f t="shared" si="93"/>
        <v>0</v>
      </c>
      <c r="G127" s="1056">
        <f t="shared" si="93"/>
        <v>0</v>
      </c>
      <c r="H127" s="1056">
        <f t="shared" si="93"/>
        <v>0</v>
      </c>
      <c r="I127" s="1056">
        <f t="shared" si="93"/>
        <v>0</v>
      </c>
      <c r="J127" s="1056">
        <f t="shared" si="93"/>
        <v>0</v>
      </c>
      <c r="K127" s="1063">
        <f t="shared" si="93"/>
        <v>0</v>
      </c>
      <c r="L127" s="1056">
        <f t="shared" si="93"/>
        <v>0</v>
      </c>
      <c r="M127" s="1063">
        <f t="shared" si="93"/>
        <v>0</v>
      </c>
      <c r="N127" s="1056">
        <f t="shared" si="93"/>
        <v>0</v>
      </c>
      <c r="O127" s="1056">
        <f t="shared" si="93"/>
        <v>424.5</v>
      </c>
      <c r="P127" s="1056">
        <f t="shared" si="93"/>
        <v>3140451.08</v>
      </c>
      <c r="Q127" s="1056">
        <f t="shared" si="93"/>
        <v>0</v>
      </c>
      <c r="R127" s="1056">
        <f t="shared" si="93"/>
        <v>0</v>
      </c>
      <c r="S127" s="1056">
        <f t="shared" si="93"/>
        <v>0</v>
      </c>
      <c r="T127" s="1056">
        <f t="shared" si="93"/>
        <v>0</v>
      </c>
      <c r="U127" s="1056">
        <v>0</v>
      </c>
      <c r="V127" s="1056">
        <v>0</v>
      </c>
      <c r="W127" s="1056">
        <f t="shared" si="93"/>
        <v>0</v>
      </c>
      <c r="X127" s="1056">
        <f t="shared" si="93"/>
        <v>0</v>
      </c>
      <c r="Y127" s="1056">
        <v>0</v>
      </c>
      <c r="Z127" s="1056">
        <f t="shared" si="93"/>
        <v>245972.28</v>
      </c>
      <c r="AA127" s="1056">
        <f t="shared" si="93"/>
        <v>0</v>
      </c>
    </row>
    <row r="128" spans="1:27" s="1064" customFormat="1" ht="66.599999999999994" customHeight="1">
      <c r="A128" s="1121">
        <v>84</v>
      </c>
      <c r="B128" s="1062" t="s">
        <v>1543</v>
      </c>
      <c r="C128" s="1056">
        <f>D128+N128+P128+R128+T128+X128+Z128</f>
        <v>3386423.36</v>
      </c>
      <c r="D128" s="1056">
        <f>SUM(E128:J128)</f>
        <v>0</v>
      </c>
      <c r="E128" s="1056">
        <v>0</v>
      </c>
      <c r="F128" s="1056">
        <v>0</v>
      </c>
      <c r="G128" s="1056">
        <v>0</v>
      </c>
      <c r="H128" s="1056">
        <v>0</v>
      </c>
      <c r="I128" s="1056">
        <v>0</v>
      </c>
      <c r="J128" s="1056">
        <v>0</v>
      </c>
      <c r="K128" s="1063">
        <v>0</v>
      </c>
      <c r="L128" s="1056">
        <v>0</v>
      </c>
      <c r="M128" s="1063">
        <v>0</v>
      </c>
      <c r="N128" s="1056">
        <v>0</v>
      </c>
      <c r="O128" s="1056">
        <v>424.5</v>
      </c>
      <c r="P128" s="1056">
        <v>3140451.08</v>
      </c>
      <c r="Q128" s="1056">
        <v>0</v>
      </c>
      <c r="R128" s="1056">
        <v>0</v>
      </c>
      <c r="S128" s="1056">
        <v>0</v>
      </c>
      <c r="T128" s="1056">
        <v>0</v>
      </c>
      <c r="U128" s="1056">
        <v>0</v>
      </c>
      <c r="V128" s="1056">
        <v>0</v>
      </c>
      <c r="W128" s="1056">
        <v>0</v>
      </c>
      <c r="X128" s="1056">
        <v>0</v>
      </c>
      <c r="Y128" s="1056">
        <v>0</v>
      </c>
      <c r="Z128" s="1056">
        <v>245972.28</v>
      </c>
      <c r="AA128" s="1056">
        <v>0</v>
      </c>
    </row>
    <row r="129" spans="1:27" s="1064" customFormat="1" ht="92.45" customHeight="1">
      <c r="A129" s="1121"/>
      <c r="B129" s="1062" t="s">
        <v>1119</v>
      </c>
      <c r="C129" s="1056">
        <f t="shared" ref="C129:T129" si="94">SUM(C130:C132)</f>
        <v>19646255</v>
      </c>
      <c r="D129" s="1056">
        <f t="shared" si="94"/>
        <v>1590016.96</v>
      </c>
      <c r="E129" s="1056">
        <f t="shared" si="94"/>
        <v>358536.94</v>
      </c>
      <c r="F129" s="1056">
        <f t="shared" si="94"/>
        <v>953708.25</v>
      </c>
      <c r="G129" s="1056">
        <f t="shared" si="94"/>
        <v>277771.77</v>
      </c>
      <c r="H129" s="1056">
        <f t="shared" si="94"/>
        <v>0</v>
      </c>
      <c r="I129" s="1056">
        <f t="shared" si="94"/>
        <v>0</v>
      </c>
      <c r="J129" s="1056">
        <f t="shared" si="94"/>
        <v>0</v>
      </c>
      <c r="K129" s="1056">
        <f t="shared" si="94"/>
        <v>0</v>
      </c>
      <c r="L129" s="1056">
        <f t="shared" si="94"/>
        <v>0</v>
      </c>
      <c r="M129" s="1056">
        <f t="shared" si="94"/>
        <v>0</v>
      </c>
      <c r="N129" s="1056">
        <f t="shared" si="94"/>
        <v>0</v>
      </c>
      <c r="O129" s="1056">
        <f t="shared" si="94"/>
        <v>984</v>
      </c>
      <c r="P129" s="1056">
        <f t="shared" si="94"/>
        <v>7279632.2000000002</v>
      </c>
      <c r="Q129" s="1056">
        <f t="shared" si="94"/>
        <v>0</v>
      </c>
      <c r="R129" s="1056">
        <f t="shared" si="94"/>
        <v>0</v>
      </c>
      <c r="S129" s="1056">
        <f t="shared" si="94"/>
        <v>1001</v>
      </c>
      <c r="T129" s="1056">
        <f t="shared" si="94"/>
        <v>4346429.8099999996</v>
      </c>
      <c r="U129" s="1056">
        <v>0</v>
      </c>
      <c r="V129" s="1056">
        <v>0</v>
      </c>
      <c r="W129" s="1056">
        <f>SUM(W130:W132)</f>
        <v>0</v>
      </c>
      <c r="X129" s="1056">
        <f>SUM(X130:X132)</f>
        <v>0</v>
      </c>
      <c r="Y129" s="1056">
        <f>SUM(Y130:Y132)</f>
        <v>0</v>
      </c>
      <c r="Z129" s="1056">
        <f>SUM(Z130:Z132)</f>
        <v>1427002.3599999999</v>
      </c>
      <c r="AA129" s="1056">
        <f>SUM(AA130:AA132)</f>
        <v>0</v>
      </c>
    </row>
    <row r="130" spans="1:27" s="1064" customFormat="1" ht="90" customHeight="1">
      <c r="A130" s="1121">
        <v>85</v>
      </c>
      <c r="B130" s="1249" t="s">
        <v>1136</v>
      </c>
      <c r="C130" s="1056">
        <f>D130+P130+R130+T130+Z130+L130+V130</f>
        <v>10081900.6</v>
      </c>
      <c r="D130" s="1056">
        <f>E130+F130+G130+H130+I130+J130</f>
        <v>0</v>
      </c>
      <c r="E130" s="1056">
        <v>0</v>
      </c>
      <c r="F130" s="1056">
        <v>0</v>
      </c>
      <c r="G130" s="1056">
        <v>0</v>
      </c>
      <c r="H130" s="1056">
        <v>0</v>
      </c>
      <c r="I130" s="1056">
        <v>0</v>
      </c>
      <c r="J130" s="1056">
        <v>0</v>
      </c>
      <c r="K130" s="1063">
        <v>0</v>
      </c>
      <c r="L130" s="1056">
        <v>0</v>
      </c>
      <c r="M130" s="1250">
        <v>0</v>
      </c>
      <c r="N130" s="1251">
        <v>0</v>
      </c>
      <c r="O130" s="1251">
        <v>0</v>
      </c>
      <c r="P130" s="1251">
        <v>0</v>
      </c>
      <c r="Q130" s="1056">
        <v>0</v>
      </c>
      <c r="R130" s="1056">
        <v>0</v>
      </c>
      <c r="S130" s="1056">
        <v>1001</v>
      </c>
      <c r="T130" s="1056">
        <v>4346429.8099999996</v>
      </c>
      <c r="U130" s="1056">
        <v>1001</v>
      </c>
      <c r="V130" s="1056">
        <v>5003173.67</v>
      </c>
      <c r="W130" s="1251">
        <v>0</v>
      </c>
      <c r="X130" s="1251">
        <v>0</v>
      </c>
      <c r="Y130" s="1056">
        <v>0</v>
      </c>
      <c r="Z130" s="1056">
        <v>732297.12</v>
      </c>
      <c r="AA130" s="1251">
        <v>0</v>
      </c>
    </row>
    <row r="131" spans="1:27" s="1064" customFormat="1" ht="98.45" customHeight="1">
      <c r="A131" s="1121">
        <v>86</v>
      </c>
      <c r="B131" s="1249" t="s">
        <v>1487</v>
      </c>
      <c r="C131" s="1056">
        <f t="shared" ref="C131:C132" si="95">D131+P131+R131+T131+Z131+L131+V131</f>
        <v>1714553.24</v>
      </c>
      <c r="D131" s="1056">
        <f t="shared" ref="D131:D132" si="96">E131+F131+G131+H131+I131+J131</f>
        <v>1590016.96</v>
      </c>
      <c r="E131" s="1056">
        <v>358536.94</v>
      </c>
      <c r="F131" s="1056">
        <v>953708.25</v>
      </c>
      <c r="G131" s="1056">
        <v>277771.77</v>
      </c>
      <c r="H131" s="1056">
        <v>0</v>
      </c>
      <c r="I131" s="1056">
        <v>0</v>
      </c>
      <c r="J131" s="1056">
        <v>0</v>
      </c>
      <c r="K131" s="1063">
        <v>0</v>
      </c>
      <c r="L131" s="1056">
        <v>0</v>
      </c>
      <c r="M131" s="1250">
        <v>0</v>
      </c>
      <c r="N131" s="1251">
        <v>0</v>
      </c>
      <c r="O131" s="1056">
        <v>0</v>
      </c>
      <c r="P131" s="1056">
        <v>0</v>
      </c>
      <c r="Q131" s="1056">
        <v>0</v>
      </c>
      <c r="R131" s="1056">
        <v>0</v>
      </c>
      <c r="S131" s="1056">
        <v>0</v>
      </c>
      <c r="T131" s="1056">
        <v>0</v>
      </c>
      <c r="U131" s="1056">
        <v>0</v>
      </c>
      <c r="V131" s="1056">
        <v>0</v>
      </c>
      <c r="W131" s="1251">
        <v>0</v>
      </c>
      <c r="X131" s="1251">
        <v>0</v>
      </c>
      <c r="Y131" s="1056">
        <v>0</v>
      </c>
      <c r="Z131" s="1056">
        <v>124536.28</v>
      </c>
      <c r="AA131" s="1251">
        <v>0</v>
      </c>
    </row>
    <row r="132" spans="1:27" s="1064" customFormat="1" ht="97.15" customHeight="1">
      <c r="A132" s="1121">
        <v>87</v>
      </c>
      <c r="B132" s="1233" t="s">
        <v>1488</v>
      </c>
      <c r="C132" s="1056">
        <f t="shared" si="95"/>
        <v>7849801.1600000001</v>
      </c>
      <c r="D132" s="1056">
        <f t="shared" si="96"/>
        <v>0</v>
      </c>
      <c r="E132" s="1056">
        <v>0</v>
      </c>
      <c r="F132" s="1056">
        <v>0</v>
      </c>
      <c r="G132" s="1056">
        <v>0</v>
      </c>
      <c r="H132" s="1056">
        <v>0</v>
      </c>
      <c r="I132" s="1056">
        <v>0</v>
      </c>
      <c r="J132" s="1056">
        <v>0</v>
      </c>
      <c r="K132" s="1063">
        <v>0</v>
      </c>
      <c r="L132" s="1056">
        <v>0</v>
      </c>
      <c r="M132" s="1250">
        <v>0</v>
      </c>
      <c r="N132" s="1251">
        <v>0</v>
      </c>
      <c r="O132" s="1056">
        <v>984</v>
      </c>
      <c r="P132" s="1056">
        <v>7279632.2000000002</v>
      </c>
      <c r="Q132" s="1056">
        <v>0</v>
      </c>
      <c r="R132" s="1056">
        <v>0</v>
      </c>
      <c r="S132" s="1056">
        <v>0</v>
      </c>
      <c r="T132" s="1056">
        <v>0</v>
      </c>
      <c r="U132" s="1056">
        <v>0</v>
      </c>
      <c r="V132" s="1056">
        <v>0</v>
      </c>
      <c r="W132" s="1251">
        <v>0</v>
      </c>
      <c r="X132" s="1251">
        <v>0</v>
      </c>
      <c r="Y132" s="1056">
        <v>0</v>
      </c>
      <c r="Z132" s="1056">
        <v>570168.96</v>
      </c>
      <c r="AA132" s="1251">
        <v>0</v>
      </c>
    </row>
    <row r="133" spans="1:27" s="1064" customFormat="1" ht="132.6" customHeight="1">
      <c r="A133" s="1121"/>
      <c r="B133" s="1062" t="s">
        <v>1066</v>
      </c>
      <c r="C133" s="1056">
        <f>C134+C135</f>
        <v>10897874.879999999</v>
      </c>
      <c r="D133" s="1056">
        <f t="shared" ref="D133:AA133" si="97">D134+D135</f>
        <v>0</v>
      </c>
      <c r="E133" s="1056">
        <f t="shared" si="97"/>
        <v>0</v>
      </c>
      <c r="F133" s="1056">
        <f t="shared" si="97"/>
        <v>0</v>
      </c>
      <c r="G133" s="1056">
        <f t="shared" si="97"/>
        <v>0</v>
      </c>
      <c r="H133" s="1056">
        <f t="shared" si="97"/>
        <v>0</v>
      </c>
      <c r="I133" s="1056">
        <f t="shared" si="97"/>
        <v>0</v>
      </c>
      <c r="J133" s="1056">
        <f t="shared" si="97"/>
        <v>0</v>
      </c>
      <c r="K133" s="1056">
        <f t="shared" si="97"/>
        <v>0</v>
      </c>
      <c r="L133" s="1056">
        <f t="shared" si="97"/>
        <v>0</v>
      </c>
      <c r="M133" s="1056">
        <f t="shared" si="97"/>
        <v>0</v>
      </c>
      <c r="N133" s="1056">
        <f t="shared" si="97"/>
        <v>0</v>
      </c>
      <c r="O133" s="1056">
        <f t="shared" si="97"/>
        <v>1799.03</v>
      </c>
      <c r="P133" s="1056">
        <f t="shared" si="97"/>
        <v>10471764.300000001</v>
      </c>
      <c r="Q133" s="1056">
        <f t="shared" si="97"/>
        <v>0</v>
      </c>
      <c r="R133" s="1056">
        <f t="shared" si="97"/>
        <v>0</v>
      </c>
      <c r="S133" s="1056">
        <f t="shared" si="97"/>
        <v>0</v>
      </c>
      <c r="T133" s="1056">
        <f t="shared" si="97"/>
        <v>0</v>
      </c>
      <c r="U133" s="1056">
        <f t="shared" si="97"/>
        <v>0</v>
      </c>
      <c r="V133" s="1056">
        <f t="shared" si="97"/>
        <v>0</v>
      </c>
      <c r="W133" s="1056">
        <f t="shared" si="97"/>
        <v>0</v>
      </c>
      <c r="X133" s="1056">
        <f t="shared" si="97"/>
        <v>0</v>
      </c>
      <c r="Y133" s="1056">
        <f t="shared" si="97"/>
        <v>0</v>
      </c>
      <c r="Z133" s="1056">
        <f t="shared" si="97"/>
        <v>426110.57999999996</v>
      </c>
      <c r="AA133" s="1056">
        <f t="shared" si="97"/>
        <v>0</v>
      </c>
    </row>
    <row r="134" spans="1:27" s="1064" customFormat="1" ht="90" customHeight="1">
      <c r="A134" s="1121">
        <v>88</v>
      </c>
      <c r="B134" s="1062" t="s">
        <v>1140</v>
      </c>
      <c r="C134" s="1056">
        <f t="shared" ref="C134" si="98">D134+N134+P134+R134+T134+X134+Z134</f>
        <v>3764706.3499999996</v>
      </c>
      <c r="D134" s="1056">
        <f t="shared" ref="D134" si="99">SUM(E134:J134)</f>
        <v>0</v>
      </c>
      <c r="E134" s="1056">
        <f>([1]база!E351-(([1]база!E351*8)/110.14))</f>
        <v>0</v>
      </c>
      <c r="F134" s="1056">
        <f>([1]база!F351-(([1]база!F351*8)/110.14))</f>
        <v>0</v>
      </c>
      <c r="G134" s="1056">
        <f>([1]база!G351-(([1]база!G351*8)/110.14))</f>
        <v>0</v>
      </c>
      <c r="H134" s="1056">
        <f>([1]база!H351-(([1]база!H351*8)/110.14))</f>
        <v>0</v>
      </c>
      <c r="I134" s="1056">
        <f>([1]база!I351-(([1]база!I351*8)/110.14))</f>
        <v>0</v>
      </c>
      <c r="J134" s="1056">
        <f>([1]база!J351-(([1]база!J351*8)/110.14))</f>
        <v>0</v>
      </c>
      <c r="K134" s="1063">
        <v>0</v>
      </c>
      <c r="L134" s="1056">
        <v>0</v>
      </c>
      <c r="M134" s="1063">
        <v>0</v>
      </c>
      <c r="N134" s="1056">
        <f>([1]база!L351-([1]база!L351*8)/110.14)</f>
        <v>0</v>
      </c>
      <c r="O134" s="1056">
        <v>978</v>
      </c>
      <c r="P134" s="1056">
        <v>3491257.55</v>
      </c>
      <c r="Q134" s="1056">
        <v>0</v>
      </c>
      <c r="R134" s="1056">
        <f>([1]база!P351-([1]база!P351*8)/110.14)</f>
        <v>0</v>
      </c>
      <c r="S134" s="1056">
        <v>0</v>
      </c>
      <c r="T134" s="1056">
        <f>([1]база!R351-([1]база!R351*8)/110.14)</f>
        <v>0</v>
      </c>
      <c r="U134" s="1056">
        <v>0</v>
      </c>
      <c r="V134" s="1056">
        <v>0</v>
      </c>
      <c r="W134" s="1056">
        <v>0</v>
      </c>
      <c r="X134" s="1056">
        <f>([1]база!T351-([1]база!T351*8)/110.14)</f>
        <v>0</v>
      </c>
      <c r="Y134" s="1056">
        <v>0</v>
      </c>
      <c r="Z134" s="1056">
        <v>273448.8</v>
      </c>
      <c r="AA134" s="1056">
        <v>0</v>
      </c>
    </row>
    <row r="135" spans="1:27" s="1064" customFormat="1" ht="93.6" customHeight="1">
      <c r="A135" s="1121">
        <v>89</v>
      </c>
      <c r="B135" s="1062" t="s">
        <v>1215</v>
      </c>
      <c r="C135" s="1056">
        <f t="shared" ref="C135" si="100">D135+N135+P135+R135+T135+X135+Z135</f>
        <v>7133168.5300000003</v>
      </c>
      <c r="D135" s="1056">
        <f t="shared" ref="D135" si="101">SUM(E135:J135)</f>
        <v>0</v>
      </c>
      <c r="E135" s="1056">
        <f>([1]база!E352-(([1]база!E352*8)/110.14))</f>
        <v>0</v>
      </c>
      <c r="F135" s="1056">
        <f>([1]база!F352-(([1]база!F352*8)/110.14))</f>
        <v>0</v>
      </c>
      <c r="G135" s="1056">
        <f>([1]база!G352-(([1]база!G352*8)/110.14))</f>
        <v>0</v>
      </c>
      <c r="H135" s="1056">
        <f>([1]база!H352-(([1]база!H352*8)/110.14))</f>
        <v>0</v>
      </c>
      <c r="I135" s="1056">
        <f>([1]база!I352-(([1]база!I352*8)/110.14))</f>
        <v>0</v>
      </c>
      <c r="J135" s="1056">
        <f>([1]база!J352-(([1]база!J352*8)/110.14))</f>
        <v>0</v>
      </c>
      <c r="K135" s="1063">
        <v>0</v>
      </c>
      <c r="L135" s="1056">
        <v>0</v>
      </c>
      <c r="M135" s="1063">
        <v>0</v>
      </c>
      <c r="N135" s="1056">
        <f>([1]база!L352-([1]база!L352*8)/110.14)</f>
        <v>0</v>
      </c>
      <c r="O135" s="1056">
        <v>821.03</v>
      </c>
      <c r="P135" s="1056">
        <v>6980506.75</v>
      </c>
      <c r="Q135" s="1056">
        <v>0</v>
      </c>
      <c r="R135" s="1056">
        <f>([1]база!P352-([1]база!P352*8)/110.14)</f>
        <v>0</v>
      </c>
      <c r="S135" s="1056">
        <v>0</v>
      </c>
      <c r="T135" s="1056">
        <f>([1]база!R352-([1]база!R352*8)/110.14)</f>
        <v>0</v>
      </c>
      <c r="U135" s="1056">
        <v>0</v>
      </c>
      <c r="V135" s="1056">
        <v>0</v>
      </c>
      <c r="W135" s="1056">
        <v>0</v>
      </c>
      <c r="X135" s="1056">
        <f>([1]база!T352-([1]база!T352*8)/110.14)</f>
        <v>0</v>
      </c>
      <c r="Y135" s="1056">
        <v>0</v>
      </c>
      <c r="Z135" s="1056">
        <v>152661.78</v>
      </c>
      <c r="AA135" s="1056">
        <v>0</v>
      </c>
    </row>
    <row r="136" spans="1:27" s="1064" customFormat="1" ht="94.9" customHeight="1">
      <c r="A136" s="1121"/>
      <c r="B136" s="1062" t="s">
        <v>1101</v>
      </c>
      <c r="C136" s="1056">
        <f>SUM(C137:C157)</f>
        <v>4141657</v>
      </c>
      <c r="D136" s="1056">
        <f t="shared" ref="D136:AA136" si="102">SUM(D137:D157)</f>
        <v>1688694</v>
      </c>
      <c r="E136" s="1056">
        <f t="shared" si="102"/>
        <v>270985</v>
      </c>
      <c r="F136" s="1056">
        <f t="shared" si="102"/>
        <v>796303</v>
      </c>
      <c r="G136" s="1056">
        <f t="shared" si="102"/>
        <v>0</v>
      </c>
      <c r="H136" s="1056">
        <f t="shared" si="102"/>
        <v>264124</v>
      </c>
      <c r="I136" s="1056">
        <f t="shared" si="102"/>
        <v>0</v>
      </c>
      <c r="J136" s="1056">
        <f t="shared" si="102"/>
        <v>357282</v>
      </c>
      <c r="K136" s="1063">
        <f t="shared" si="102"/>
        <v>0</v>
      </c>
      <c r="L136" s="1056">
        <f t="shared" si="102"/>
        <v>0</v>
      </c>
      <c r="M136" s="1063">
        <f t="shared" si="102"/>
        <v>0</v>
      </c>
      <c r="N136" s="1056">
        <f t="shared" si="102"/>
        <v>0</v>
      </c>
      <c r="O136" s="1056">
        <f t="shared" si="102"/>
        <v>621</v>
      </c>
      <c r="P136" s="1056">
        <f t="shared" si="102"/>
        <v>914733</v>
      </c>
      <c r="Q136" s="1056">
        <f t="shared" si="102"/>
        <v>0</v>
      </c>
      <c r="R136" s="1056">
        <f t="shared" si="102"/>
        <v>0</v>
      </c>
      <c r="S136" s="1056">
        <f t="shared" si="102"/>
        <v>0</v>
      </c>
      <c r="T136" s="1056">
        <f t="shared" si="102"/>
        <v>0</v>
      </c>
      <c r="U136" s="1056">
        <v>0</v>
      </c>
      <c r="V136" s="1056">
        <v>0</v>
      </c>
      <c r="W136" s="1056">
        <f t="shared" si="102"/>
        <v>397.4</v>
      </c>
      <c r="X136" s="1056">
        <f t="shared" si="102"/>
        <v>576230</v>
      </c>
      <c r="Y136" s="1056">
        <v>0</v>
      </c>
      <c r="Z136" s="1056">
        <f t="shared" si="102"/>
        <v>962000</v>
      </c>
      <c r="AA136" s="1056">
        <f t="shared" si="102"/>
        <v>0</v>
      </c>
    </row>
    <row r="137" spans="1:27" s="1064" customFormat="1" ht="96" customHeight="1">
      <c r="A137" s="1121">
        <v>90</v>
      </c>
      <c r="B137" s="1062" t="s">
        <v>1187</v>
      </c>
      <c r="C137" s="1056">
        <f t="shared" ref="C137" si="103">D137+N137+P137+R137+T137+X137+Z137</f>
        <v>327980</v>
      </c>
      <c r="D137" s="1056">
        <f t="shared" ref="D137" si="104">SUM(E137:J137)</f>
        <v>327980</v>
      </c>
      <c r="E137" s="1068">
        <v>0</v>
      </c>
      <c r="F137" s="1068">
        <v>327980</v>
      </c>
      <c r="G137" s="1068">
        <v>0</v>
      </c>
      <c r="H137" s="1068">
        <v>0</v>
      </c>
      <c r="I137" s="1068">
        <v>0</v>
      </c>
      <c r="J137" s="1068">
        <v>0</v>
      </c>
      <c r="K137" s="1063">
        <v>0</v>
      </c>
      <c r="L137" s="1068">
        <v>0</v>
      </c>
      <c r="M137" s="1063">
        <v>0</v>
      </c>
      <c r="N137" s="1068">
        <v>0</v>
      </c>
      <c r="O137" s="1068">
        <v>0</v>
      </c>
      <c r="P137" s="1068">
        <v>0</v>
      </c>
      <c r="Q137" s="1068">
        <v>0</v>
      </c>
      <c r="R137" s="1068">
        <v>0</v>
      </c>
      <c r="S137" s="1068">
        <v>0</v>
      </c>
      <c r="T137" s="1068">
        <v>0</v>
      </c>
      <c r="U137" s="1056">
        <v>0</v>
      </c>
      <c r="V137" s="1056">
        <v>0</v>
      </c>
      <c r="W137" s="1068">
        <v>0</v>
      </c>
      <c r="X137" s="1068">
        <v>0</v>
      </c>
      <c r="Y137" s="1056">
        <v>0</v>
      </c>
      <c r="Z137" s="1068">
        <v>0</v>
      </c>
      <c r="AA137" s="1068">
        <v>0</v>
      </c>
    </row>
    <row r="138" spans="1:27" s="1064" customFormat="1" ht="99.6" customHeight="1">
      <c r="A138" s="1121">
        <v>91</v>
      </c>
      <c r="B138" s="1062" t="s">
        <v>1184</v>
      </c>
      <c r="C138" s="1056">
        <f t="shared" ref="C138:C144" si="105">D138+N138+P138+R138+T138+X138+Z138</f>
        <v>127310</v>
      </c>
      <c r="D138" s="1056">
        <f t="shared" ref="D138:D144" si="106">SUM(E138:J138)</f>
        <v>0</v>
      </c>
      <c r="E138" s="1068">
        <v>0</v>
      </c>
      <c r="F138" s="1068">
        <v>0</v>
      </c>
      <c r="G138" s="1068">
        <v>0</v>
      </c>
      <c r="H138" s="1068">
        <v>0</v>
      </c>
      <c r="I138" s="1068">
        <v>0</v>
      </c>
      <c r="J138" s="1068">
        <v>0</v>
      </c>
      <c r="K138" s="1063">
        <v>0</v>
      </c>
      <c r="L138" s="1068">
        <v>0</v>
      </c>
      <c r="M138" s="1063">
        <v>0</v>
      </c>
      <c r="N138" s="1068">
        <v>0</v>
      </c>
      <c r="O138" s="1068">
        <v>0</v>
      </c>
      <c r="P138" s="1068">
        <v>0</v>
      </c>
      <c r="Q138" s="1068">
        <v>0</v>
      </c>
      <c r="R138" s="1068">
        <v>0</v>
      </c>
      <c r="S138" s="1068">
        <v>0</v>
      </c>
      <c r="T138" s="1068">
        <v>0</v>
      </c>
      <c r="U138" s="1056">
        <v>0</v>
      </c>
      <c r="V138" s="1056">
        <v>0</v>
      </c>
      <c r="W138" s="1068">
        <v>87.8</v>
      </c>
      <c r="X138" s="1068">
        <v>127310</v>
      </c>
      <c r="Y138" s="1056">
        <v>0</v>
      </c>
      <c r="Z138" s="1068">
        <v>0</v>
      </c>
      <c r="AA138" s="1068">
        <v>0</v>
      </c>
    </row>
    <row r="139" spans="1:27" s="1064" customFormat="1" ht="91.15" customHeight="1">
      <c r="A139" s="1121">
        <v>92</v>
      </c>
      <c r="B139" s="1062" t="s">
        <v>1182</v>
      </c>
      <c r="C139" s="1056">
        <f t="shared" si="105"/>
        <v>264124</v>
      </c>
      <c r="D139" s="1056">
        <f t="shared" si="106"/>
        <v>264124</v>
      </c>
      <c r="E139" s="1068">
        <v>0</v>
      </c>
      <c r="F139" s="1068">
        <v>0</v>
      </c>
      <c r="G139" s="1068">
        <v>0</v>
      </c>
      <c r="H139" s="1068">
        <v>264124</v>
      </c>
      <c r="I139" s="1068">
        <v>0</v>
      </c>
      <c r="J139" s="1068">
        <v>0</v>
      </c>
      <c r="K139" s="1063">
        <v>0</v>
      </c>
      <c r="L139" s="1068">
        <v>0</v>
      </c>
      <c r="M139" s="1063">
        <v>0</v>
      </c>
      <c r="N139" s="1068">
        <v>0</v>
      </c>
      <c r="O139" s="1068">
        <v>0</v>
      </c>
      <c r="P139" s="1068">
        <v>0</v>
      </c>
      <c r="Q139" s="1068">
        <v>0</v>
      </c>
      <c r="R139" s="1068">
        <v>0</v>
      </c>
      <c r="S139" s="1068">
        <v>0</v>
      </c>
      <c r="T139" s="1068">
        <v>0</v>
      </c>
      <c r="U139" s="1056">
        <v>0</v>
      </c>
      <c r="V139" s="1056">
        <v>0</v>
      </c>
      <c r="W139" s="1068">
        <v>0</v>
      </c>
      <c r="X139" s="1068">
        <v>0</v>
      </c>
      <c r="Y139" s="1056">
        <v>0</v>
      </c>
      <c r="Z139" s="1068">
        <v>0</v>
      </c>
      <c r="AA139" s="1068">
        <v>0</v>
      </c>
    </row>
    <row r="140" spans="1:27" s="1064" customFormat="1" ht="87.6" customHeight="1">
      <c r="A140" s="1121">
        <v>93</v>
      </c>
      <c r="B140" s="1062" t="s">
        <v>1235</v>
      </c>
      <c r="C140" s="1056">
        <f t="shared" si="105"/>
        <v>175068</v>
      </c>
      <c r="D140" s="1056">
        <f t="shared" si="106"/>
        <v>175068</v>
      </c>
      <c r="E140" s="1068">
        <v>0</v>
      </c>
      <c r="F140" s="1068">
        <v>0</v>
      </c>
      <c r="G140" s="1068">
        <v>0</v>
      </c>
      <c r="H140" s="1068">
        <v>0</v>
      </c>
      <c r="I140" s="1068">
        <v>0</v>
      </c>
      <c r="J140" s="1068">
        <v>175068</v>
      </c>
      <c r="K140" s="1063">
        <v>0</v>
      </c>
      <c r="L140" s="1068">
        <v>0</v>
      </c>
      <c r="M140" s="1063">
        <v>0</v>
      </c>
      <c r="N140" s="1068">
        <v>0</v>
      </c>
      <c r="O140" s="1068">
        <v>0</v>
      </c>
      <c r="P140" s="1068">
        <v>0</v>
      </c>
      <c r="Q140" s="1068">
        <v>0</v>
      </c>
      <c r="R140" s="1068">
        <v>0</v>
      </c>
      <c r="S140" s="1068">
        <v>0</v>
      </c>
      <c r="T140" s="1068">
        <v>0</v>
      </c>
      <c r="U140" s="1056">
        <v>0</v>
      </c>
      <c r="V140" s="1056">
        <v>0</v>
      </c>
      <c r="W140" s="1068">
        <v>0</v>
      </c>
      <c r="X140" s="1068">
        <v>0</v>
      </c>
      <c r="Y140" s="1056">
        <v>0</v>
      </c>
      <c r="Z140" s="1068">
        <v>0</v>
      </c>
      <c r="AA140" s="1068">
        <v>0</v>
      </c>
    </row>
    <row r="141" spans="1:27" s="1064" customFormat="1" ht="94.9" customHeight="1">
      <c r="A141" s="1121">
        <v>94</v>
      </c>
      <c r="B141" s="1062" t="s">
        <v>1183</v>
      </c>
      <c r="C141" s="1056">
        <f t="shared" si="105"/>
        <v>182214</v>
      </c>
      <c r="D141" s="1056">
        <f t="shared" si="106"/>
        <v>182214</v>
      </c>
      <c r="E141" s="1068">
        <v>0</v>
      </c>
      <c r="F141" s="1068">
        <v>0</v>
      </c>
      <c r="G141" s="1068">
        <v>0</v>
      </c>
      <c r="H141" s="1068">
        <v>0</v>
      </c>
      <c r="I141" s="1068">
        <v>0</v>
      </c>
      <c r="J141" s="1068">
        <v>182214</v>
      </c>
      <c r="K141" s="1063">
        <v>0</v>
      </c>
      <c r="L141" s="1068">
        <v>0</v>
      </c>
      <c r="M141" s="1063">
        <v>0</v>
      </c>
      <c r="N141" s="1068">
        <v>0</v>
      </c>
      <c r="O141" s="1068">
        <v>0</v>
      </c>
      <c r="P141" s="1068">
        <v>0</v>
      </c>
      <c r="Q141" s="1068">
        <v>0</v>
      </c>
      <c r="R141" s="1068">
        <v>0</v>
      </c>
      <c r="S141" s="1068">
        <v>0</v>
      </c>
      <c r="T141" s="1068">
        <v>0</v>
      </c>
      <c r="U141" s="1056">
        <v>0</v>
      </c>
      <c r="V141" s="1056">
        <v>0</v>
      </c>
      <c r="W141" s="1068">
        <v>0</v>
      </c>
      <c r="X141" s="1068">
        <v>0</v>
      </c>
      <c r="Y141" s="1056">
        <v>0</v>
      </c>
      <c r="Z141" s="1068">
        <v>0</v>
      </c>
      <c r="AA141" s="1068">
        <v>0</v>
      </c>
    </row>
    <row r="142" spans="1:27" s="1064" customFormat="1" ht="85.15" customHeight="1">
      <c r="A142" s="1121">
        <v>95</v>
      </c>
      <c r="B142" s="1062" t="s">
        <v>1107</v>
      </c>
      <c r="C142" s="1056">
        <f t="shared" si="105"/>
        <v>62000</v>
      </c>
      <c r="D142" s="1056">
        <f t="shared" si="106"/>
        <v>0</v>
      </c>
      <c r="E142" s="1068">
        <v>0</v>
      </c>
      <c r="F142" s="1068">
        <v>0</v>
      </c>
      <c r="G142" s="1068">
        <v>0</v>
      </c>
      <c r="H142" s="1068">
        <v>0</v>
      </c>
      <c r="I142" s="1068">
        <v>0</v>
      </c>
      <c r="J142" s="1068">
        <v>0</v>
      </c>
      <c r="K142" s="1063">
        <v>0</v>
      </c>
      <c r="L142" s="1068">
        <v>0</v>
      </c>
      <c r="M142" s="1063">
        <v>0</v>
      </c>
      <c r="N142" s="1068">
        <v>0</v>
      </c>
      <c r="O142" s="1068">
        <v>0</v>
      </c>
      <c r="P142" s="1068">
        <v>0</v>
      </c>
      <c r="Q142" s="1068">
        <v>0</v>
      </c>
      <c r="R142" s="1068">
        <v>0</v>
      </c>
      <c r="S142" s="1068">
        <v>0</v>
      </c>
      <c r="T142" s="1068">
        <v>0</v>
      </c>
      <c r="U142" s="1056">
        <v>0</v>
      </c>
      <c r="V142" s="1056">
        <v>0</v>
      </c>
      <c r="W142" s="1068">
        <v>0</v>
      </c>
      <c r="X142" s="1068">
        <v>0</v>
      </c>
      <c r="Y142" s="1056">
        <v>0</v>
      </c>
      <c r="Z142" s="1068">
        <v>62000</v>
      </c>
      <c r="AA142" s="1068">
        <v>0</v>
      </c>
    </row>
    <row r="143" spans="1:27" s="1064" customFormat="1" ht="87.6" customHeight="1">
      <c r="A143" s="1121">
        <v>96</v>
      </c>
      <c r="B143" s="1062" t="s">
        <v>1233</v>
      </c>
      <c r="C143" s="1056">
        <f t="shared" si="105"/>
        <v>62000</v>
      </c>
      <c r="D143" s="1056">
        <f t="shared" si="106"/>
        <v>0</v>
      </c>
      <c r="E143" s="1068">
        <v>0</v>
      </c>
      <c r="F143" s="1068">
        <v>0</v>
      </c>
      <c r="G143" s="1068">
        <v>0</v>
      </c>
      <c r="H143" s="1068">
        <v>0</v>
      </c>
      <c r="I143" s="1068">
        <v>0</v>
      </c>
      <c r="J143" s="1068">
        <v>0</v>
      </c>
      <c r="K143" s="1063">
        <v>0</v>
      </c>
      <c r="L143" s="1068">
        <v>0</v>
      </c>
      <c r="M143" s="1063">
        <v>0</v>
      </c>
      <c r="N143" s="1068">
        <v>0</v>
      </c>
      <c r="O143" s="1068">
        <v>0</v>
      </c>
      <c r="P143" s="1068">
        <v>0</v>
      </c>
      <c r="Q143" s="1068">
        <v>0</v>
      </c>
      <c r="R143" s="1068">
        <v>0</v>
      </c>
      <c r="S143" s="1068">
        <v>0</v>
      </c>
      <c r="T143" s="1068">
        <v>0</v>
      </c>
      <c r="U143" s="1056">
        <v>0</v>
      </c>
      <c r="V143" s="1056">
        <v>0</v>
      </c>
      <c r="W143" s="1068">
        <v>0</v>
      </c>
      <c r="X143" s="1068">
        <v>0</v>
      </c>
      <c r="Y143" s="1056">
        <v>0</v>
      </c>
      <c r="Z143" s="1068">
        <v>62000</v>
      </c>
      <c r="AA143" s="1068">
        <v>0</v>
      </c>
    </row>
    <row r="144" spans="1:27" s="1064" customFormat="1" ht="85.15" customHeight="1">
      <c r="A144" s="1121">
        <v>97</v>
      </c>
      <c r="B144" s="1062" t="s">
        <v>1393</v>
      </c>
      <c r="C144" s="1056">
        <f t="shared" si="105"/>
        <v>318425</v>
      </c>
      <c r="D144" s="1056">
        <f t="shared" si="106"/>
        <v>0</v>
      </c>
      <c r="E144" s="1068">
        <v>0</v>
      </c>
      <c r="F144" s="1068">
        <v>0</v>
      </c>
      <c r="G144" s="1068">
        <v>0</v>
      </c>
      <c r="H144" s="1068">
        <v>0</v>
      </c>
      <c r="I144" s="1068">
        <v>0</v>
      </c>
      <c r="J144" s="1068">
        <v>0</v>
      </c>
      <c r="K144" s="1063">
        <v>0</v>
      </c>
      <c r="L144" s="1068">
        <v>0</v>
      </c>
      <c r="M144" s="1063">
        <v>0</v>
      </c>
      <c r="N144" s="1068">
        <v>0</v>
      </c>
      <c r="O144" s="1068">
        <v>0</v>
      </c>
      <c r="P144" s="1068">
        <v>0</v>
      </c>
      <c r="Q144" s="1068">
        <v>0</v>
      </c>
      <c r="R144" s="1068">
        <v>0</v>
      </c>
      <c r="S144" s="1068">
        <v>0</v>
      </c>
      <c r="T144" s="1068">
        <v>0</v>
      </c>
      <c r="U144" s="1056">
        <v>0</v>
      </c>
      <c r="V144" s="1056">
        <v>0</v>
      </c>
      <c r="W144" s="1068">
        <v>166.5</v>
      </c>
      <c r="X144" s="1068">
        <v>241425</v>
      </c>
      <c r="Y144" s="1056">
        <v>0</v>
      </c>
      <c r="Z144" s="1068">
        <v>77000</v>
      </c>
      <c r="AA144" s="1068">
        <v>0</v>
      </c>
    </row>
    <row r="145" spans="1:27" s="1064" customFormat="1" ht="88.9" customHeight="1">
      <c r="A145" s="1121">
        <v>98</v>
      </c>
      <c r="B145" s="1062" t="s">
        <v>1114</v>
      </c>
      <c r="C145" s="1056">
        <f t="shared" ref="C145" si="107">D145+N145+P145+R145+T145+X145+Z145</f>
        <v>205000</v>
      </c>
      <c r="D145" s="1056">
        <f t="shared" ref="D145" si="108">SUM(E145:J145)</f>
        <v>0</v>
      </c>
      <c r="E145" s="1252">
        <v>0</v>
      </c>
      <c r="F145" s="1252">
        <v>0</v>
      </c>
      <c r="G145" s="1252">
        <v>0</v>
      </c>
      <c r="H145" s="1252">
        <v>0</v>
      </c>
      <c r="I145" s="1252">
        <v>0</v>
      </c>
      <c r="J145" s="1252">
        <v>0</v>
      </c>
      <c r="K145" s="1063">
        <v>0</v>
      </c>
      <c r="L145" s="1252">
        <v>0</v>
      </c>
      <c r="M145" s="1063">
        <v>0</v>
      </c>
      <c r="N145" s="1252">
        <v>0</v>
      </c>
      <c r="O145" s="1252">
        <v>0</v>
      </c>
      <c r="P145" s="1252">
        <v>0</v>
      </c>
      <c r="Q145" s="1252">
        <v>0</v>
      </c>
      <c r="R145" s="1252">
        <v>0</v>
      </c>
      <c r="S145" s="1252">
        <v>0</v>
      </c>
      <c r="T145" s="1252">
        <v>0</v>
      </c>
      <c r="U145" s="1056">
        <v>0</v>
      </c>
      <c r="V145" s="1056">
        <v>0</v>
      </c>
      <c r="W145" s="1252">
        <v>0</v>
      </c>
      <c r="X145" s="1252">
        <v>0</v>
      </c>
      <c r="Y145" s="1056">
        <v>0</v>
      </c>
      <c r="Z145" s="1252">
        <v>205000</v>
      </c>
      <c r="AA145" s="1252">
        <v>0</v>
      </c>
    </row>
    <row r="146" spans="1:27" s="1064" customFormat="1" ht="84" customHeight="1">
      <c r="A146" s="1121">
        <v>99</v>
      </c>
      <c r="B146" s="1062" t="s">
        <v>1394</v>
      </c>
      <c r="C146" s="1056">
        <f>D146+N146+P146+R146+T146+X146+Z146</f>
        <v>530323</v>
      </c>
      <c r="D146" s="1056">
        <f t="shared" ref="D146:D157" si="109">SUM(E146:J146)</f>
        <v>468323</v>
      </c>
      <c r="E146" s="1252">
        <v>0</v>
      </c>
      <c r="F146" s="1252">
        <v>468323</v>
      </c>
      <c r="G146" s="1252">
        <v>0</v>
      </c>
      <c r="H146" s="1252">
        <v>0</v>
      </c>
      <c r="I146" s="1252">
        <v>0</v>
      </c>
      <c r="J146" s="1252">
        <v>0</v>
      </c>
      <c r="K146" s="1063">
        <v>0</v>
      </c>
      <c r="L146" s="1252">
        <v>0</v>
      </c>
      <c r="M146" s="1063">
        <v>0</v>
      </c>
      <c r="N146" s="1252">
        <v>0</v>
      </c>
      <c r="O146" s="1252">
        <v>0</v>
      </c>
      <c r="P146" s="1252">
        <v>0</v>
      </c>
      <c r="Q146" s="1252">
        <v>0</v>
      </c>
      <c r="R146" s="1252">
        <v>0</v>
      </c>
      <c r="S146" s="1252">
        <v>0</v>
      </c>
      <c r="T146" s="1252">
        <v>0</v>
      </c>
      <c r="U146" s="1056">
        <v>0</v>
      </c>
      <c r="V146" s="1056">
        <v>0</v>
      </c>
      <c r="W146" s="1252">
        <v>0</v>
      </c>
      <c r="X146" s="1252">
        <v>0</v>
      </c>
      <c r="Y146" s="1056">
        <v>0</v>
      </c>
      <c r="Z146" s="1252">
        <v>62000</v>
      </c>
      <c r="AA146" s="1252">
        <v>0</v>
      </c>
    </row>
    <row r="147" spans="1:27" s="1064" customFormat="1" ht="87.6" customHeight="1">
      <c r="A147" s="1121">
        <v>100</v>
      </c>
      <c r="B147" s="1062" t="s">
        <v>1234</v>
      </c>
      <c r="C147" s="1056">
        <f t="shared" ref="C147:C157" si="110">D147+N147+P147+R147+T147+X147+Z147</f>
        <v>336985</v>
      </c>
      <c r="D147" s="1056">
        <f t="shared" si="109"/>
        <v>270985</v>
      </c>
      <c r="E147" s="1252">
        <v>270985</v>
      </c>
      <c r="F147" s="1252">
        <v>0</v>
      </c>
      <c r="G147" s="1252">
        <v>0</v>
      </c>
      <c r="H147" s="1252">
        <v>0</v>
      </c>
      <c r="I147" s="1252">
        <v>0</v>
      </c>
      <c r="J147" s="1252">
        <v>0</v>
      </c>
      <c r="K147" s="1063">
        <v>0</v>
      </c>
      <c r="L147" s="1252">
        <v>0</v>
      </c>
      <c r="M147" s="1063">
        <v>0</v>
      </c>
      <c r="N147" s="1252">
        <v>0</v>
      </c>
      <c r="O147" s="1252">
        <v>0</v>
      </c>
      <c r="P147" s="1252">
        <v>0</v>
      </c>
      <c r="Q147" s="1252">
        <v>0</v>
      </c>
      <c r="R147" s="1252">
        <v>0</v>
      </c>
      <c r="S147" s="1252">
        <v>0</v>
      </c>
      <c r="T147" s="1252">
        <v>0</v>
      </c>
      <c r="U147" s="1056">
        <v>0</v>
      </c>
      <c r="V147" s="1056">
        <v>0</v>
      </c>
      <c r="W147" s="1252">
        <v>0</v>
      </c>
      <c r="X147" s="1252">
        <v>0</v>
      </c>
      <c r="Y147" s="1056">
        <v>0</v>
      </c>
      <c r="Z147" s="1252">
        <v>66000</v>
      </c>
      <c r="AA147" s="1252">
        <v>0</v>
      </c>
    </row>
    <row r="148" spans="1:27" s="1064" customFormat="1" ht="85.15" customHeight="1">
      <c r="A148" s="1121">
        <v>101</v>
      </c>
      <c r="B148" s="1062" t="s">
        <v>1395</v>
      </c>
      <c r="C148" s="1056">
        <f t="shared" si="110"/>
        <v>81000</v>
      </c>
      <c r="D148" s="1056">
        <f t="shared" si="109"/>
        <v>0</v>
      </c>
      <c r="E148" s="1252">
        <v>0</v>
      </c>
      <c r="F148" s="1252">
        <v>0</v>
      </c>
      <c r="G148" s="1070">
        <v>0</v>
      </c>
      <c r="H148" s="1252">
        <v>0</v>
      </c>
      <c r="I148" s="1252">
        <v>0</v>
      </c>
      <c r="J148" s="1252">
        <v>0</v>
      </c>
      <c r="K148" s="1063">
        <v>0</v>
      </c>
      <c r="L148" s="1252">
        <v>0</v>
      </c>
      <c r="M148" s="1063">
        <v>0</v>
      </c>
      <c r="N148" s="1252">
        <v>0</v>
      </c>
      <c r="O148" s="1252">
        <v>0</v>
      </c>
      <c r="P148" s="1252">
        <v>0</v>
      </c>
      <c r="Q148" s="1252">
        <v>0</v>
      </c>
      <c r="R148" s="1252">
        <v>0</v>
      </c>
      <c r="S148" s="1252">
        <v>0</v>
      </c>
      <c r="T148" s="1252">
        <v>0</v>
      </c>
      <c r="U148" s="1056">
        <v>0</v>
      </c>
      <c r="V148" s="1056">
        <v>0</v>
      </c>
      <c r="W148" s="1252">
        <v>0</v>
      </c>
      <c r="X148" s="1252">
        <v>0</v>
      </c>
      <c r="Y148" s="1056">
        <v>0</v>
      </c>
      <c r="Z148" s="1252">
        <v>81000</v>
      </c>
      <c r="AA148" s="1252">
        <v>0</v>
      </c>
    </row>
    <row r="149" spans="1:27" s="1064" customFormat="1" ht="81.599999999999994" customHeight="1">
      <c r="A149" s="1121">
        <v>102</v>
      </c>
      <c r="B149" s="1062" t="s">
        <v>1186</v>
      </c>
      <c r="C149" s="1056">
        <f t="shared" si="110"/>
        <v>47000</v>
      </c>
      <c r="D149" s="1056">
        <f t="shared" si="109"/>
        <v>0</v>
      </c>
      <c r="E149" s="1252">
        <v>0</v>
      </c>
      <c r="F149" s="1252">
        <v>0</v>
      </c>
      <c r="G149" s="1252">
        <v>0</v>
      </c>
      <c r="H149" s="1252">
        <v>0</v>
      </c>
      <c r="I149" s="1252">
        <v>0</v>
      </c>
      <c r="J149" s="1252">
        <v>0</v>
      </c>
      <c r="K149" s="1063">
        <v>0</v>
      </c>
      <c r="L149" s="1252">
        <v>0</v>
      </c>
      <c r="M149" s="1063">
        <v>0</v>
      </c>
      <c r="N149" s="1252">
        <v>0</v>
      </c>
      <c r="O149" s="1252">
        <v>0</v>
      </c>
      <c r="P149" s="1252">
        <v>0</v>
      </c>
      <c r="Q149" s="1252">
        <v>0</v>
      </c>
      <c r="R149" s="1252">
        <v>0</v>
      </c>
      <c r="S149" s="1252">
        <v>0</v>
      </c>
      <c r="T149" s="1252">
        <v>0</v>
      </c>
      <c r="U149" s="1056">
        <v>0</v>
      </c>
      <c r="V149" s="1056">
        <v>0</v>
      </c>
      <c r="W149" s="1068">
        <v>0</v>
      </c>
      <c r="X149" s="1068">
        <v>0</v>
      </c>
      <c r="Y149" s="1056">
        <v>0</v>
      </c>
      <c r="Z149" s="1068">
        <v>47000</v>
      </c>
      <c r="AA149" s="1068">
        <v>0</v>
      </c>
    </row>
    <row r="150" spans="1:27" s="1064" customFormat="1" ht="92.45" customHeight="1">
      <c r="A150" s="1121">
        <v>103</v>
      </c>
      <c r="B150" s="1062" t="s">
        <v>1396</v>
      </c>
      <c r="C150" s="1056">
        <f t="shared" si="110"/>
        <v>47000</v>
      </c>
      <c r="D150" s="1056">
        <f t="shared" si="109"/>
        <v>0</v>
      </c>
      <c r="E150" s="1252">
        <v>0</v>
      </c>
      <c r="F150" s="1252">
        <v>0</v>
      </c>
      <c r="G150" s="1252">
        <v>0</v>
      </c>
      <c r="H150" s="1252">
        <v>0</v>
      </c>
      <c r="I150" s="1252">
        <v>0</v>
      </c>
      <c r="J150" s="1252">
        <v>0</v>
      </c>
      <c r="K150" s="1063">
        <v>0</v>
      </c>
      <c r="L150" s="1252">
        <v>0</v>
      </c>
      <c r="M150" s="1063">
        <v>0</v>
      </c>
      <c r="N150" s="1252">
        <v>0</v>
      </c>
      <c r="O150" s="1252">
        <v>0</v>
      </c>
      <c r="P150" s="1252">
        <v>0</v>
      </c>
      <c r="Q150" s="1252">
        <v>0</v>
      </c>
      <c r="R150" s="1252">
        <v>0</v>
      </c>
      <c r="S150" s="1252">
        <v>0</v>
      </c>
      <c r="T150" s="1252">
        <v>0</v>
      </c>
      <c r="U150" s="1056">
        <v>0</v>
      </c>
      <c r="V150" s="1056">
        <v>0</v>
      </c>
      <c r="W150" s="1068">
        <v>0</v>
      </c>
      <c r="X150" s="1068">
        <v>0</v>
      </c>
      <c r="Y150" s="1056">
        <v>0</v>
      </c>
      <c r="Z150" s="1068">
        <v>47000</v>
      </c>
      <c r="AA150" s="1068">
        <v>0</v>
      </c>
    </row>
    <row r="151" spans="1:27" s="1064" customFormat="1" ht="92.45" customHeight="1">
      <c r="A151" s="1121">
        <v>104</v>
      </c>
      <c r="B151" s="1062" t="s">
        <v>1236</v>
      </c>
      <c r="C151" s="1056">
        <f t="shared" ref="C151:C155" si="111">D151+N151+P151+R151+T151+X151+Z151</f>
        <v>66000</v>
      </c>
      <c r="D151" s="1056">
        <f t="shared" ref="D151:D155" si="112">SUM(E151:J151)</f>
        <v>0</v>
      </c>
      <c r="E151" s="1252">
        <v>0</v>
      </c>
      <c r="F151" s="1252">
        <v>0</v>
      </c>
      <c r="G151" s="1070">
        <v>0</v>
      </c>
      <c r="H151" s="1252">
        <v>0</v>
      </c>
      <c r="I151" s="1252">
        <v>0</v>
      </c>
      <c r="J151" s="1252">
        <v>0</v>
      </c>
      <c r="K151" s="1063">
        <v>0</v>
      </c>
      <c r="L151" s="1252">
        <v>0</v>
      </c>
      <c r="M151" s="1063">
        <v>0</v>
      </c>
      <c r="N151" s="1252">
        <v>0</v>
      </c>
      <c r="O151" s="1252">
        <v>0</v>
      </c>
      <c r="P151" s="1252">
        <v>0</v>
      </c>
      <c r="Q151" s="1252">
        <v>0</v>
      </c>
      <c r="R151" s="1252">
        <v>0</v>
      </c>
      <c r="S151" s="1252">
        <v>0</v>
      </c>
      <c r="T151" s="1252">
        <v>0</v>
      </c>
      <c r="U151" s="1056">
        <v>0</v>
      </c>
      <c r="V151" s="1056">
        <v>0</v>
      </c>
      <c r="W151" s="1068">
        <v>0</v>
      </c>
      <c r="X151" s="1068">
        <v>0</v>
      </c>
      <c r="Y151" s="1056">
        <v>0</v>
      </c>
      <c r="Z151" s="1068">
        <v>66000</v>
      </c>
      <c r="AA151" s="1068">
        <v>0</v>
      </c>
    </row>
    <row r="152" spans="1:27" s="1064" customFormat="1" ht="92.45" customHeight="1">
      <c r="A152" s="1121">
        <v>105</v>
      </c>
      <c r="B152" s="1062" t="s">
        <v>1397</v>
      </c>
      <c r="C152" s="1056">
        <f t="shared" si="111"/>
        <v>39000</v>
      </c>
      <c r="D152" s="1056">
        <f t="shared" si="112"/>
        <v>0</v>
      </c>
      <c r="E152" s="1252">
        <v>0</v>
      </c>
      <c r="F152" s="1252">
        <v>0</v>
      </c>
      <c r="G152" s="1252">
        <v>0</v>
      </c>
      <c r="H152" s="1252">
        <v>0</v>
      </c>
      <c r="I152" s="1252">
        <v>0</v>
      </c>
      <c r="J152" s="1252">
        <v>0</v>
      </c>
      <c r="K152" s="1063">
        <v>0</v>
      </c>
      <c r="L152" s="1252">
        <v>0</v>
      </c>
      <c r="M152" s="1063">
        <v>0</v>
      </c>
      <c r="N152" s="1252">
        <v>0</v>
      </c>
      <c r="O152" s="1252">
        <v>0</v>
      </c>
      <c r="P152" s="1252">
        <v>0</v>
      </c>
      <c r="Q152" s="1252">
        <v>0</v>
      </c>
      <c r="R152" s="1252">
        <v>0</v>
      </c>
      <c r="S152" s="1252">
        <v>0</v>
      </c>
      <c r="T152" s="1252">
        <v>0</v>
      </c>
      <c r="U152" s="1056">
        <v>0</v>
      </c>
      <c r="V152" s="1056">
        <v>0</v>
      </c>
      <c r="W152" s="1068">
        <v>0</v>
      </c>
      <c r="X152" s="1068">
        <v>0</v>
      </c>
      <c r="Y152" s="1056">
        <v>0</v>
      </c>
      <c r="Z152" s="1068">
        <v>39000</v>
      </c>
      <c r="AA152" s="1068">
        <v>0</v>
      </c>
    </row>
    <row r="153" spans="1:27" s="1064" customFormat="1" ht="92.45" customHeight="1">
      <c r="A153" s="1121">
        <v>106</v>
      </c>
      <c r="B153" s="1062" t="s">
        <v>1185</v>
      </c>
      <c r="C153" s="1056">
        <f t="shared" si="111"/>
        <v>39000</v>
      </c>
      <c r="D153" s="1056">
        <f t="shared" si="112"/>
        <v>0</v>
      </c>
      <c r="E153" s="1252">
        <v>0</v>
      </c>
      <c r="F153" s="1252">
        <v>0</v>
      </c>
      <c r="G153" s="1252">
        <v>0</v>
      </c>
      <c r="H153" s="1252">
        <v>0</v>
      </c>
      <c r="I153" s="1252">
        <v>0</v>
      </c>
      <c r="J153" s="1252">
        <v>0</v>
      </c>
      <c r="K153" s="1063">
        <v>0</v>
      </c>
      <c r="L153" s="1252">
        <v>0</v>
      </c>
      <c r="M153" s="1063">
        <v>0</v>
      </c>
      <c r="N153" s="1252">
        <v>0</v>
      </c>
      <c r="O153" s="1252">
        <v>0</v>
      </c>
      <c r="P153" s="1252">
        <v>0</v>
      </c>
      <c r="Q153" s="1252">
        <v>0</v>
      </c>
      <c r="R153" s="1252">
        <v>0</v>
      </c>
      <c r="S153" s="1252">
        <v>0</v>
      </c>
      <c r="T153" s="1252">
        <v>0</v>
      </c>
      <c r="U153" s="1056">
        <v>0</v>
      </c>
      <c r="V153" s="1056">
        <v>0</v>
      </c>
      <c r="W153" s="1068">
        <v>0</v>
      </c>
      <c r="X153" s="1068">
        <v>0</v>
      </c>
      <c r="Y153" s="1056">
        <v>0</v>
      </c>
      <c r="Z153" s="1068">
        <v>39000</v>
      </c>
      <c r="AA153" s="1068">
        <v>0</v>
      </c>
    </row>
    <row r="154" spans="1:27" s="1064" customFormat="1" ht="92.45" customHeight="1">
      <c r="A154" s="1121">
        <v>107</v>
      </c>
      <c r="B154" s="1062" t="s">
        <v>1398</v>
      </c>
      <c r="C154" s="1056">
        <f t="shared" si="111"/>
        <v>47000</v>
      </c>
      <c r="D154" s="1056">
        <f t="shared" si="112"/>
        <v>0</v>
      </c>
      <c r="E154" s="1252">
        <v>0</v>
      </c>
      <c r="F154" s="1252">
        <v>0</v>
      </c>
      <c r="G154" s="1070">
        <v>0</v>
      </c>
      <c r="H154" s="1252">
        <v>0</v>
      </c>
      <c r="I154" s="1252">
        <v>0</v>
      </c>
      <c r="J154" s="1252">
        <v>0</v>
      </c>
      <c r="K154" s="1063">
        <v>0</v>
      </c>
      <c r="L154" s="1252">
        <v>0</v>
      </c>
      <c r="M154" s="1063">
        <v>0</v>
      </c>
      <c r="N154" s="1252">
        <v>0</v>
      </c>
      <c r="O154" s="1252">
        <v>0</v>
      </c>
      <c r="P154" s="1252">
        <v>0</v>
      </c>
      <c r="Q154" s="1252">
        <v>0</v>
      </c>
      <c r="R154" s="1252">
        <v>0</v>
      </c>
      <c r="S154" s="1252">
        <v>0</v>
      </c>
      <c r="T154" s="1252">
        <v>0</v>
      </c>
      <c r="U154" s="1056">
        <v>0</v>
      </c>
      <c r="V154" s="1056">
        <v>0</v>
      </c>
      <c r="W154" s="1068">
        <v>0</v>
      </c>
      <c r="X154" s="1068">
        <v>0</v>
      </c>
      <c r="Y154" s="1056">
        <v>0</v>
      </c>
      <c r="Z154" s="1068">
        <v>47000</v>
      </c>
      <c r="AA154" s="1068">
        <v>0</v>
      </c>
    </row>
    <row r="155" spans="1:27" s="1064" customFormat="1" ht="92.45" customHeight="1">
      <c r="A155" s="1121">
        <v>108</v>
      </c>
      <c r="B155" s="1062" t="s">
        <v>1399</v>
      </c>
      <c r="C155" s="1056">
        <f t="shared" si="111"/>
        <v>62000</v>
      </c>
      <c r="D155" s="1056">
        <f t="shared" si="112"/>
        <v>0</v>
      </c>
      <c r="E155" s="1252">
        <v>0</v>
      </c>
      <c r="F155" s="1252">
        <v>0</v>
      </c>
      <c r="G155" s="1252">
        <v>0</v>
      </c>
      <c r="H155" s="1252">
        <v>0</v>
      </c>
      <c r="I155" s="1252">
        <v>0</v>
      </c>
      <c r="J155" s="1252">
        <v>0</v>
      </c>
      <c r="K155" s="1063">
        <v>0</v>
      </c>
      <c r="L155" s="1252">
        <v>0</v>
      </c>
      <c r="M155" s="1063">
        <v>0</v>
      </c>
      <c r="N155" s="1252">
        <v>0</v>
      </c>
      <c r="O155" s="1252">
        <v>0</v>
      </c>
      <c r="P155" s="1252">
        <v>0</v>
      </c>
      <c r="Q155" s="1252">
        <v>0</v>
      </c>
      <c r="R155" s="1252">
        <v>0</v>
      </c>
      <c r="S155" s="1252">
        <v>0</v>
      </c>
      <c r="T155" s="1252">
        <v>0</v>
      </c>
      <c r="U155" s="1056">
        <v>0</v>
      </c>
      <c r="V155" s="1056">
        <v>0</v>
      </c>
      <c r="W155" s="1068">
        <v>0</v>
      </c>
      <c r="X155" s="1068">
        <v>0</v>
      </c>
      <c r="Y155" s="1056">
        <v>0</v>
      </c>
      <c r="Z155" s="1068">
        <v>62000</v>
      </c>
      <c r="AA155" s="1068">
        <v>0</v>
      </c>
    </row>
    <row r="156" spans="1:27" s="1064" customFormat="1" ht="91.15" customHeight="1">
      <c r="A156" s="1121">
        <v>109</v>
      </c>
      <c r="B156" s="1062" t="s">
        <v>1189</v>
      </c>
      <c r="C156" s="1056">
        <f t="shared" si="110"/>
        <v>914733</v>
      </c>
      <c r="D156" s="1056">
        <f t="shared" si="109"/>
        <v>0</v>
      </c>
      <c r="E156" s="1252">
        <v>0</v>
      </c>
      <c r="F156" s="1252">
        <v>0</v>
      </c>
      <c r="G156" s="1253" t="s">
        <v>1074</v>
      </c>
      <c r="H156" s="1252">
        <v>0</v>
      </c>
      <c r="I156" s="1252">
        <v>0</v>
      </c>
      <c r="J156" s="1252">
        <v>0</v>
      </c>
      <c r="K156" s="1063">
        <v>0</v>
      </c>
      <c r="L156" s="1252">
        <v>0</v>
      </c>
      <c r="M156" s="1063">
        <v>0</v>
      </c>
      <c r="N156" s="1252">
        <v>0</v>
      </c>
      <c r="O156" s="1252">
        <v>621</v>
      </c>
      <c r="P156" s="1252">
        <v>914733</v>
      </c>
      <c r="Q156" s="1252">
        <v>0</v>
      </c>
      <c r="R156" s="1252">
        <v>0</v>
      </c>
      <c r="S156" s="1252">
        <v>0</v>
      </c>
      <c r="T156" s="1252">
        <v>0</v>
      </c>
      <c r="U156" s="1056">
        <v>0</v>
      </c>
      <c r="V156" s="1056">
        <v>0</v>
      </c>
      <c r="W156" s="1068">
        <v>0</v>
      </c>
      <c r="X156" s="1068">
        <v>0</v>
      </c>
      <c r="Y156" s="1056">
        <v>0</v>
      </c>
      <c r="Z156" s="1068">
        <v>0</v>
      </c>
      <c r="AA156" s="1068">
        <v>0</v>
      </c>
    </row>
    <row r="157" spans="1:27" s="1071" customFormat="1" ht="86.45" customHeight="1">
      <c r="A157" s="1121">
        <v>110</v>
      </c>
      <c r="B157" s="1062" t="s">
        <v>1400</v>
      </c>
      <c r="C157" s="1056">
        <f t="shared" si="110"/>
        <v>207495</v>
      </c>
      <c r="D157" s="1056">
        <f t="shared" si="109"/>
        <v>0</v>
      </c>
      <c r="E157" s="1252">
        <v>0</v>
      </c>
      <c r="F157" s="1252">
        <v>0</v>
      </c>
      <c r="G157" s="1252">
        <v>0</v>
      </c>
      <c r="H157" s="1252">
        <v>0</v>
      </c>
      <c r="I157" s="1252">
        <v>0</v>
      </c>
      <c r="J157" s="1252">
        <v>0</v>
      </c>
      <c r="K157" s="1063">
        <v>0</v>
      </c>
      <c r="L157" s="1252">
        <v>0</v>
      </c>
      <c r="M157" s="1063">
        <v>0</v>
      </c>
      <c r="N157" s="1252">
        <v>0</v>
      </c>
      <c r="O157" s="1252">
        <v>0</v>
      </c>
      <c r="P157" s="1252">
        <v>0</v>
      </c>
      <c r="Q157" s="1252">
        <v>0</v>
      </c>
      <c r="R157" s="1252">
        <v>0</v>
      </c>
      <c r="S157" s="1252">
        <v>0</v>
      </c>
      <c r="T157" s="1252">
        <v>0</v>
      </c>
      <c r="U157" s="1056">
        <v>0</v>
      </c>
      <c r="V157" s="1056">
        <v>0</v>
      </c>
      <c r="W157" s="1068">
        <v>143.1</v>
      </c>
      <c r="X157" s="1068">
        <v>207495</v>
      </c>
      <c r="Y157" s="1056">
        <v>0</v>
      </c>
      <c r="Z157" s="1068">
        <v>0</v>
      </c>
      <c r="AA157" s="1068">
        <v>0</v>
      </c>
    </row>
    <row r="158" spans="1:27" s="1071" customFormat="1" ht="126.6" customHeight="1">
      <c r="A158" s="1121"/>
      <c r="B158" s="1062" t="s">
        <v>1050</v>
      </c>
      <c r="C158" s="1068">
        <f>SUM(C159:C167)</f>
        <v>58020979.920000002</v>
      </c>
      <c r="D158" s="1068">
        <f t="shared" ref="D158:AA158" si="113">SUM(D159:D167)</f>
        <v>3144257.33</v>
      </c>
      <c r="E158" s="1068">
        <f t="shared" si="113"/>
        <v>3144257.33</v>
      </c>
      <c r="F158" s="1068">
        <f t="shared" si="113"/>
        <v>0</v>
      </c>
      <c r="G158" s="1068">
        <f t="shared" si="113"/>
        <v>0</v>
      </c>
      <c r="H158" s="1068">
        <f t="shared" si="113"/>
        <v>0</v>
      </c>
      <c r="I158" s="1068">
        <f t="shared" si="113"/>
        <v>0</v>
      </c>
      <c r="J158" s="1068">
        <f t="shared" si="113"/>
        <v>0</v>
      </c>
      <c r="K158" s="1063">
        <f t="shared" si="113"/>
        <v>0</v>
      </c>
      <c r="L158" s="1068">
        <f t="shared" si="113"/>
        <v>0</v>
      </c>
      <c r="M158" s="1063">
        <f t="shared" si="113"/>
        <v>0</v>
      </c>
      <c r="N158" s="1068">
        <f t="shared" si="113"/>
        <v>0</v>
      </c>
      <c r="O158" s="1068">
        <f t="shared" si="113"/>
        <v>8801</v>
      </c>
      <c r="P158" s="1068">
        <f t="shared" si="113"/>
        <v>43319636.210000001</v>
      </c>
      <c r="Q158" s="1068">
        <f t="shared" si="113"/>
        <v>0</v>
      </c>
      <c r="R158" s="1068">
        <f t="shared" si="113"/>
        <v>0</v>
      </c>
      <c r="S158" s="1068">
        <f t="shared" si="113"/>
        <v>1860</v>
      </c>
      <c r="T158" s="1068">
        <f t="shared" si="113"/>
        <v>7342742.46</v>
      </c>
      <c r="U158" s="1056">
        <v>0</v>
      </c>
      <c r="V158" s="1056">
        <v>0</v>
      </c>
      <c r="W158" s="1068">
        <f t="shared" si="113"/>
        <v>0</v>
      </c>
      <c r="X158" s="1068">
        <f t="shared" si="113"/>
        <v>0</v>
      </c>
      <c r="Y158" s="1056">
        <v>0</v>
      </c>
      <c r="Z158" s="1068">
        <f t="shared" si="113"/>
        <v>4214343.92</v>
      </c>
      <c r="AA158" s="1068">
        <f t="shared" si="113"/>
        <v>0</v>
      </c>
    </row>
    <row r="159" spans="1:27" s="1071" customFormat="1" ht="94.9" customHeight="1">
      <c r="A159" s="1121">
        <v>111</v>
      </c>
      <c r="B159" s="1055" t="s">
        <v>1364</v>
      </c>
      <c r="C159" s="1056">
        <f>D159+N159+P159+R159+T159+X159+Z159+L159</f>
        <v>2997228.0300000003</v>
      </c>
      <c r="D159" s="1056">
        <f>SUM(E159:J159)</f>
        <v>0</v>
      </c>
      <c r="E159" s="1056">
        <v>0</v>
      </c>
      <c r="F159" s="1068">
        <v>0</v>
      </c>
      <c r="G159" s="1056">
        <v>0</v>
      </c>
      <c r="H159" s="1056">
        <v>0</v>
      </c>
      <c r="I159" s="1056">
        <v>0</v>
      </c>
      <c r="J159" s="1056">
        <v>0</v>
      </c>
      <c r="K159" s="1063">
        <v>0</v>
      </c>
      <c r="L159" s="1056">
        <v>0</v>
      </c>
      <c r="M159" s="1063">
        <v>0</v>
      </c>
      <c r="N159" s="1056">
        <v>0</v>
      </c>
      <c r="O159" s="1056">
        <v>564.70000000000005</v>
      </c>
      <c r="P159" s="1056">
        <v>2779524.89</v>
      </c>
      <c r="Q159" s="1056">
        <v>0</v>
      </c>
      <c r="R159" s="1056">
        <v>0</v>
      </c>
      <c r="S159" s="1056">
        <v>0</v>
      </c>
      <c r="T159" s="1056">
        <v>0</v>
      </c>
      <c r="U159" s="1056">
        <v>0</v>
      </c>
      <c r="V159" s="1056">
        <v>0</v>
      </c>
      <c r="W159" s="1056">
        <v>0</v>
      </c>
      <c r="X159" s="1056">
        <v>0</v>
      </c>
      <c r="Y159" s="1056">
        <v>0</v>
      </c>
      <c r="Z159" s="1068">
        <v>217703.14</v>
      </c>
      <c r="AA159" s="1068">
        <v>0</v>
      </c>
    </row>
    <row r="160" spans="1:27" s="1071" customFormat="1" ht="104.25" customHeight="1">
      <c r="A160" s="1121">
        <v>112</v>
      </c>
      <c r="B160" s="1055" t="s">
        <v>1365</v>
      </c>
      <c r="C160" s="1056">
        <f t="shared" ref="C160:C164" si="114">D160+N160+P160+R160+T160+X160+Z160+L160</f>
        <v>2706899.77</v>
      </c>
      <c r="D160" s="1056">
        <f t="shared" ref="D160:D164" si="115">SUM(E160:J160)</f>
        <v>0</v>
      </c>
      <c r="E160" s="1056">
        <v>0</v>
      </c>
      <c r="F160" s="1068">
        <v>0</v>
      </c>
      <c r="G160" s="1056">
        <v>0</v>
      </c>
      <c r="H160" s="1056">
        <v>0</v>
      </c>
      <c r="I160" s="1056">
        <v>0</v>
      </c>
      <c r="J160" s="1056">
        <v>0</v>
      </c>
      <c r="K160" s="1063">
        <v>0</v>
      </c>
      <c r="L160" s="1056">
        <v>0</v>
      </c>
      <c r="M160" s="1063">
        <v>0</v>
      </c>
      <c r="N160" s="1056">
        <v>0</v>
      </c>
      <c r="O160" s="1056">
        <v>510</v>
      </c>
      <c r="P160" s="1056">
        <v>2510284.5699999998</v>
      </c>
      <c r="Q160" s="1056">
        <v>0</v>
      </c>
      <c r="R160" s="1056">
        <v>0</v>
      </c>
      <c r="S160" s="1056">
        <v>0</v>
      </c>
      <c r="T160" s="1056">
        <v>0</v>
      </c>
      <c r="U160" s="1056">
        <v>0</v>
      </c>
      <c r="V160" s="1056">
        <v>0</v>
      </c>
      <c r="W160" s="1056">
        <v>0</v>
      </c>
      <c r="X160" s="1056">
        <v>0</v>
      </c>
      <c r="Y160" s="1056">
        <v>0</v>
      </c>
      <c r="Z160" s="1056">
        <v>196615.2</v>
      </c>
      <c r="AA160" s="1068">
        <v>0</v>
      </c>
    </row>
    <row r="161" spans="1:27" s="1071" customFormat="1" ht="99.6" customHeight="1">
      <c r="A161" s="1121">
        <v>113</v>
      </c>
      <c r="B161" s="1055" t="s">
        <v>1289</v>
      </c>
      <c r="C161" s="1056">
        <f t="shared" si="114"/>
        <v>11676822.52</v>
      </c>
      <c r="D161" s="1056">
        <f t="shared" si="115"/>
        <v>0</v>
      </c>
      <c r="E161" s="1056">
        <v>0</v>
      </c>
      <c r="F161" s="1068">
        <v>0</v>
      </c>
      <c r="G161" s="1056">
        <v>0</v>
      </c>
      <c r="H161" s="1056">
        <v>0</v>
      </c>
      <c r="I161" s="1056">
        <v>0</v>
      </c>
      <c r="J161" s="1056">
        <v>0</v>
      </c>
      <c r="K161" s="1063">
        <v>0</v>
      </c>
      <c r="L161" s="1056">
        <v>0</v>
      </c>
      <c r="M161" s="1063">
        <v>0</v>
      </c>
      <c r="N161" s="1056">
        <v>0</v>
      </c>
      <c r="O161" s="1056">
        <v>2200</v>
      </c>
      <c r="P161" s="1254">
        <v>10828678.52</v>
      </c>
      <c r="Q161" s="1056">
        <v>0</v>
      </c>
      <c r="R161" s="1056">
        <v>0</v>
      </c>
      <c r="S161" s="1056">
        <v>0</v>
      </c>
      <c r="T161" s="1056">
        <v>0</v>
      </c>
      <c r="U161" s="1056">
        <v>0</v>
      </c>
      <c r="V161" s="1056">
        <v>0</v>
      </c>
      <c r="W161" s="1056">
        <v>0</v>
      </c>
      <c r="X161" s="1056">
        <v>0</v>
      </c>
      <c r="Y161" s="1056">
        <v>0</v>
      </c>
      <c r="Z161" s="1068">
        <v>848144</v>
      </c>
      <c r="AA161" s="1068">
        <v>0</v>
      </c>
    </row>
    <row r="162" spans="1:27" s="1071" customFormat="1" ht="91.15" customHeight="1">
      <c r="A162" s="1121">
        <v>114</v>
      </c>
      <c r="B162" s="1055" t="s">
        <v>1366</v>
      </c>
      <c r="C162" s="1056">
        <f t="shared" si="114"/>
        <v>11092981.390000001</v>
      </c>
      <c r="D162" s="1056">
        <f t="shared" si="115"/>
        <v>0</v>
      </c>
      <c r="E162" s="1056">
        <v>0</v>
      </c>
      <c r="F162" s="1068">
        <v>0</v>
      </c>
      <c r="G162" s="1056">
        <v>0</v>
      </c>
      <c r="H162" s="1056">
        <v>0</v>
      </c>
      <c r="I162" s="1056">
        <v>0</v>
      </c>
      <c r="J162" s="1056">
        <v>0</v>
      </c>
      <c r="K162" s="1063">
        <v>0</v>
      </c>
      <c r="L162" s="1056">
        <v>0</v>
      </c>
      <c r="M162" s="1063">
        <v>0</v>
      </c>
      <c r="N162" s="1056">
        <v>0</v>
      </c>
      <c r="O162" s="1056">
        <v>2090</v>
      </c>
      <c r="P162" s="1056">
        <v>10287244.59</v>
      </c>
      <c r="Q162" s="1056">
        <v>0</v>
      </c>
      <c r="R162" s="1056">
        <v>0</v>
      </c>
      <c r="S162" s="1056">
        <v>0</v>
      </c>
      <c r="T162" s="1056">
        <v>0</v>
      </c>
      <c r="U162" s="1056">
        <v>0</v>
      </c>
      <c r="V162" s="1056">
        <v>0</v>
      </c>
      <c r="W162" s="1056">
        <v>0</v>
      </c>
      <c r="X162" s="1056">
        <v>0</v>
      </c>
      <c r="Y162" s="1056">
        <v>0</v>
      </c>
      <c r="Z162" s="1068">
        <v>805736.8</v>
      </c>
      <c r="AA162" s="1068">
        <v>0</v>
      </c>
    </row>
    <row r="163" spans="1:27" s="1071" customFormat="1" ht="92.45" customHeight="1">
      <c r="A163" s="1121">
        <v>115</v>
      </c>
      <c r="B163" s="1055" t="s">
        <v>1367</v>
      </c>
      <c r="C163" s="1056">
        <f t="shared" si="114"/>
        <v>10084528.539999999</v>
      </c>
      <c r="D163" s="1056">
        <f t="shared" si="115"/>
        <v>0</v>
      </c>
      <c r="E163" s="1056">
        <v>0</v>
      </c>
      <c r="F163" s="1068">
        <v>0</v>
      </c>
      <c r="G163" s="1056">
        <v>0</v>
      </c>
      <c r="H163" s="1056">
        <v>0</v>
      </c>
      <c r="I163" s="1056">
        <v>0</v>
      </c>
      <c r="J163" s="1056">
        <v>0</v>
      </c>
      <c r="K163" s="1063">
        <v>0</v>
      </c>
      <c r="L163" s="1056">
        <v>0</v>
      </c>
      <c r="M163" s="1063">
        <v>0</v>
      </c>
      <c r="N163" s="1056">
        <v>0</v>
      </c>
      <c r="O163" s="1056">
        <v>1900</v>
      </c>
      <c r="P163" s="1056">
        <v>9352040.5399999991</v>
      </c>
      <c r="Q163" s="1056">
        <v>0</v>
      </c>
      <c r="R163" s="1056">
        <v>0</v>
      </c>
      <c r="S163" s="1056">
        <v>0</v>
      </c>
      <c r="T163" s="1056">
        <v>0</v>
      </c>
      <c r="U163" s="1056">
        <v>0</v>
      </c>
      <c r="V163" s="1056">
        <v>0</v>
      </c>
      <c r="W163" s="1056">
        <v>0</v>
      </c>
      <c r="X163" s="1056">
        <v>0</v>
      </c>
      <c r="Y163" s="1056">
        <v>0</v>
      </c>
      <c r="Z163" s="1068">
        <v>732488</v>
      </c>
      <c r="AA163" s="1068">
        <v>0</v>
      </c>
    </row>
    <row r="164" spans="1:27" s="1071" customFormat="1" ht="104.45" customHeight="1">
      <c r="A164" s="1121">
        <v>116</v>
      </c>
      <c r="B164" s="1055" t="s">
        <v>1293</v>
      </c>
      <c r="C164" s="1056">
        <f t="shared" si="114"/>
        <v>7917854.46</v>
      </c>
      <c r="D164" s="1056">
        <f t="shared" si="115"/>
        <v>0</v>
      </c>
      <c r="E164" s="1056">
        <v>0</v>
      </c>
      <c r="F164" s="1056">
        <v>0</v>
      </c>
      <c r="G164" s="1056">
        <v>0</v>
      </c>
      <c r="H164" s="1056">
        <v>0</v>
      </c>
      <c r="I164" s="1056">
        <v>0</v>
      </c>
      <c r="J164" s="1056">
        <v>0</v>
      </c>
      <c r="K164" s="1063">
        <v>0</v>
      </c>
      <c r="L164" s="1056">
        <v>0</v>
      </c>
      <c r="M164" s="1063">
        <v>0</v>
      </c>
      <c r="N164" s="1056">
        <v>0</v>
      </c>
      <c r="O164" s="1068">
        <v>0</v>
      </c>
      <c r="P164" s="1056">
        <v>0</v>
      </c>
      <c r="Q164" s="1056">
        <v>0</v>
      </c>
      <c r="R164" s="1056">
        <v>0</v>
      </c>
      <c r="S164" s="1068">
        <v>1860</v>
      </c>
      <c r="T164" s="1068">
        <v>7342742.46</v>
      </c>
      <c r="U164" s="1056">
        <v>0</v>
      </c>
      <c r="V164" s="1056">
        <v>0</v>
      </c>
      <c r="W164" s="1068">
        <v>0</v>
      </c>
      <c r="X164" s="1068">
        <v>0</v>
      </c>
      <c r="Y164" s="1056">
        <v>0</v>
      </c>
      <c r="Z164" s="1068">
        <v>575112</v>
      </c>
      <c r="AA164" s="1068">
        <v>0</v>
      </c>
    </row>
    <row r="165" spans="1:27" s="1071" customFormat="1" ht="104.45" customHeight="1">
      <c r="A165" s="1121">
        <v>117</v>
      </c>
      <c r="B165" s="1055" t="s">
        <v>1368</v>
      </c>
      <c r="C165" s="1056">
        <f t="shared" ref="C165" si="116">D165+N165+P165+R165+T165+X165+Z165+L165</f>
        <v>3426085.8800000004</v>
      </c>
      <c r="D165" s="1056">
        <f t="shared" ref="D165" si="117">SUM(E165:J165)</f>
        <v>0</v>
      </c>
      <c r="E165" s="1056">
        <v>0</v>
      </c>
      <c r="F165" s="1056">
        <v>0</v>
      </c>
      <c r="G165" s="1056">
        <v>0</v>
      </c>
      <c r="H165" s="1056">
        <v>0</v>
      </c>
      <c r="I165" s="1056">
        <v>0</v>
      </c>
      <c r="J165" s="1056">
        <v>0</v>
      </c>
      <c r="K165" s="1063">
        <v>0</v>
      </c>
      <c r="L165" s="1056">
        <v>0</v>
      </c>
      <c r="M165" s="1063">
        <v>0</v>
      </c>
      <c r="N165" s="1056">
        <v>0</v>
      </c>
      <c r="O165" s="1068">
        <v>645.5</v>
      </c>
      <c r="P165" s="1056">
        <v>3177232.72</v>
      </c>
      <c r="Q165" s="1056">
        <v>0</v>
      </c>
      <c r="R165" s="1056">
        <v>0</v>
      </c>
      <c r="S165" s="1068">
        <v>0</v>
      </c>
      <c r="T165" s="1068">
        <v>0</v>
      </c>
      <c r="U165" s="1056">
        <v>0</v>
      </c>
      <c r="V165" s="1056">
        <v>0</v>
      </c>
      <c r="W165" s="1068">
        <v>0</v>
      </c>
      <c r="X165" s="1068">
        <v>0</v>
      </c>
      <c r="Y165" s="1056">
        <v>0</v>
      </c>
      <c r="Z165" s="1068">
        <v>248853.16</v>
      </c>
      <c r="AA165" s="1068"/>
    </row>
    <row r="166" spans="1:27" s="1071" customFormat="1" ht="87.6" customHeight="1">
      <c r="A166" s="1121">
        <v>118</v>
      </c>
      <c r="B166" s="1055" t="s">
        <v>1127</v>
      </c>
      <c r="C166" s="1056">
        <f t="shared" ref="C166:C167" si="118">D166+N166+P166+R166+T166+X166+Z166+L166</f>
        <v>3390527.73</v>
      </c>
      <c r="D166" s="1056">
        <f t="shared" ref="D166:D167" si="119">SUM(E166:J166)</f>
        <v>3144257.33</v>
      </c>
      <c r="E166" s="1056">
        <v>3144257.33</v>
      </c>
      <c r="F166" s="1056">
        <v>0</v>
      </c>
      <c r="G166" s="1056">
        <v>0</v>
      </c>
      <c r="H166" s="1056">
        <v>0</v>
      </c>
      <c r="I166" s="1056">
        <v>0</v>
      </c>
      <c r="J166" s="1056">
        <v>0</v>
      </c>
      <c r="K166" s="1063">
        <v>0</v>
      </c>
      <c r="L166" s="1056">
        <v>0</v>
      </c>
      <c r="M166" s="1063">
        <v>0</v>
      </c>
      <c r="N166" s="1056">
        <v>0</v>
      </c>
      <c r="O166" s="1068">
        <v>0</v>
      </c>
      <c r="P166" s="1056">
        <v>0</v>
      </c>
      <c r="Q166" s="1056">
        <v>0</v>
      </c>
      <c r="R166" s="1056">
        <v>0</v>
      </c>
      <c r="S166" s="1068">
        <v>0</v>
      </c>
      <c r="T166" s="1068">
        <v>0</v>
      </c>
      <c r="U166" s="1056">
        <v>0</v>
      </c>
      <c r="V166" s="1056">
        <v>0</v>
      </c>
      <c r="W166" s="1068">
        <v>0</v>
      </c>
      <c r="X166" s="1068">
        <v>0</v>
      </c>
      <c r="Y166" s="1056">
        <v>0</v>
      </c>
      <c r="Z166" s="1068">
        <v>246270.4</v>
      </c>
      <c r="AA166" s="1068">
        <v>0</v>
      </c>
    </row>
    <row r="167" spans="1:27" s="1071" customFormat="1" ht="91.15" customHeight="1">
      <c r="A167" s="1121">
        <v>119</v>
      </c>
      <c r="B167" s="1055" t="s">
        <v>1369</v>
      </c>
      <c r="C167" s="1056">
        <f t="shared" si="118"/>
        <v>4728051.5999999996</v>
      </c>
      <c r="D167" s="1056">
        <f t="shared" si="119"/>
        <v>0</v>
      </c>
      <c r="E167" s="1056">
        <v>0</v>
      </c>
      <c r="F167" s="1056">
        <v>0</v>
      </c>
      <c r="G167" s="1056">
        <v>0</v>
      </c>
      <c r="H167" s="1056">
        <v>0</v>
      </c>
      <c r="I167" s="1056">
        <v>0</v>
      </c>
      <c r="J167" s="1056">
        <v>0</v>
      </c>
      <c r="K167" s="1063">
        <v>0</v>
      </c>
      <c r="L167" s="1056">
        <v>0</v>
      </c>
      <c r="M167" s="1063">
        <v>0</v>
      </c>
      <c r="N167" s="1056">
        <v>0</v>
      </c>
      <c r="O167" s="1068">
        <v>890.8</v>
      </c>
      <c r="P167" s="1056">
        <v>4384630.38</v>
      </c>
      <c r="Q167" s="1056">
        <v>0</v>
      </c>
      <c r="R167" s="1056">
        <v>0</v>
      </c>
      <c r="S167" s="1068">
        <v>0</v>
      </c>
      <c r="T167" s="1068">
        <v>0</v>
      </c>
      <c r="U167" s="1056">
        <v>0</v>
      </c>
      <c r="V167" s="1056">
        <v>0</v>
      </c>
      <c r="W167" s="1068">
        <v>0</v>
      </c>
      <c r="X167" s="1068">
        <v>0</v>
      </c>
      <c r="Y167" s="1056">
        <v>0</v>
      </c>
      <c r="Z167" s="1068">
        <v>343421.22</v>
      </c>
      <c r="AA167" s="1068">
        <v>0</v>
      </c>
    </row>
    <row r="168" spans="1:27" s="1071" customFormat="1" ht="100.15" customHeight="1">
      <c r="A168" s="1121"/>
      <c r="B168" s="1062" t="s">
        <v>1244</v>
      </c>
      <c r="C168" s="1056">
        <f t="shared" ref="C168:AA168" si="120">SUM(C169:C180)</f>
        <v>59203369.719999999</v>
      </c>
      <c r="D168" s="1056">
        <f t="shared" si="120"/>
        <v>0</v>
      </c>
      <c r="E168" s="1056">
        <f t="shared" si="120"/>
        <v>0</v>
      </c>
      <c r="F168" s="1056">
        <f t="shared" si="120"/>
        <v>0</v>
      </c>
      <c r="G168" s="1056">
        <f t="shared" si="120"/>
        <v>0</v>
      </c>
      <c r="H168" s="1056">
        <f t="shared" si="120"/>
        <v>0</v>
      </c>
      <c r="I168" s="1056">
        <f t="shared" si="120"/>
        <v>0</v>
      </c>
      <c r="J168" s="1056">
        <f t="shared" si="120"/>
        <v>0</v>
      </c>
      <c r="K168" s="1056">
        <f t="shared" si="120"/>
        <v>0</v>
      </c>
      <c r="L168" s="1056">
        <f t="shared" si="120"/>
        <v>0</v>
      </c>
      <c r="M168" s="1056">
        <f t="shared" si="120"/>
        <v>4</v>
      </c>
      <c r="N168" s="1056">
        <f t="shared" si="120"/>
        <v>11352211.389999999</v>
      </c>
      <c r="O168" s="1056">
        <f t="shared" si="120"/>
        <v>3913.6</v>
      </c>
      <c r="P168" s="1056">
        <f t="shared" si="120"/>
        <v>26181240.190000001</v>
      </c>
      <c r="Q168" s="1056">
        <f t="shared" si="120"/>
        <v>0</v>
      </c>
      <c r="R168" s="1056">
        <f t="shared" si="120"/>
        <v>0</v>
      </c>
      <c r="S168" s="1056">
        <f t="shared" si="120"/>
        <v>4399.9400000000005</v>
      </c>
      <c r="T168" s="1056">
        <f t="shared" si="120"/>
        <v>17369691.540000003</v>
      </c>
      <c r="U168" s="1056">
        <f t="shared" si="120"/>
        <v>0</v>
      </c>
      <c r="V168" s="1056">
        <f t="shared" si="120"/>
        <v>0</v>
      </c>
      <c r="W168" s="1056">
        <f t="shared" si="120"/>
        <v>0</v>
      </c>
      <c r="X168" s="1056">
        <f t="shared" si="120"/>
        <v>0</v>
      </c>
      <c r="Y168" s="1056">
        <f t="shared" si="120"/>
        <v>0</v>
      </c>
      <c r="Z168" s="1056">
        <f t="shared" si="120"/>
        <v>4300226.5999999996</v>
      </c>
      <c r="AA168" s="1056">
        <f t="shared" si="120"/>
        <v>0</v>
      </c>
    </row>
    <row r="169" spans="1:27" s="1069" customFormat="1" ht="107.25" customHeight="1">
      <c r="A169" s="1121">
        <v>120</v>
      </c>
      <c r="B169" s="1233" t="s">
        <v>2139</v>
      </c>
      <c r="C169" s="1056">
        <f t="shared" ref="C169" si="121">D169+N169+P169+R169+T169+X169+Z169</f>
        <v>5959675.4000000004</v>
      </c>
      <c r="D169" s="1056">
        <f t="shared" ref="D169" si="122">SUM(E169:J169)</f>
        <v>0</v>
      </c>
      <c r="E169" s="1056">
        <v>0</v>
      </c>
      <c r="F169" s="1056">
        <v>0</v>
      </c>
      <c r="G169" s="1056">
        <v>0</v>
      </c>
      <c r="H169" s="1056">
        <v>0</v>
      </c>
      <c r="I169" s="1056">
        <v>0</v>
      </c>
      <c r="J169" s="1056">
        <v>0</v>
      </c>
      <c r="K169" s="1063">
        <v>0</v>
      </c>
      <c r="L169" s="1056">
        <v>0</v>
      </c>
      <c r="M169" s="1063">
        <v>0</v>
      </c>
      <c r="N169" s="1070">
        <v>0</v>
      </c>
      <c r="O169" s="1234">
        <v>0</v>
      </c>
      <c r="P169" s="1234">
        <v>0</v>
      </c>
      <c r="Q169" s="1234">
        <v>0</v>
      </c>
      <c r="R169" s="1234">
        <v>0</v>
      </c>
      <c r="S169" s="1234">
        <v>1400</v>
      </c>
      <c r="T169" s="1109">
        <v>5526795.4000000004</v>
      </c>
      <c r="U169" s="1109">
        <v>0</v>
      </c>
      <c r="V169" s="1109">
        <v>0</v>
      </c>
      <c r="W169" s="1109">
        <v>0</v>
      </c>
      <c r="X169" s="1109">
        <v>0</v>
      </c>
      <c r="Y169" s="1109">
        <v>0</v>
      </c>
      <c r="Z169" s="1109">
        <v>432880</v>
      </c>
      <c r="AA169" s="1056">
        <v>0</v>
      </c>
    </row>
    <row r="170" spans="1:27" s="1069" customFormat="1" ht="107.25" customHeight="1">
      <c r="A170" s="1121">
        <v>121</v>
      </c>
      <c r="B170" s="1233" t="s">
        <v>2140</v>
      </c>
      <c r="C170" s="1056">
        <f t="shared" ref="C170:C180" si="123">D170+N170+P170+R170+T170+X170+Z170</f>
        <v>10032307.98</v>
      </c>
      <c r="D170" s="1056">
        <f t="shared" ref="D170:D180" si="124">SUM(E170:J170)</f>
        <v>0</v>
      </c>
      <c r="E170" s="1056">
        <v>0</v>
      </c>
      <c r="F170" s="1056">
        <v>0</v>
      </c>
      <c r="G170" s="1056">
        <v>0</v>
      </c>
      <c r="H170" s="1056">
        <v>0</v>
      </c>
      <c r="I170" s="1056">
        <v>0</v>
      </c>
      <c r="J170" s="1056">
        <v>0</v>
      </c>
      <c r="K170" s="1063">
        <v>0</v>
      </c>
      <c r="L170" s="1056">
        <v>0</v>
      </c>
      <c r="M170" s="1063">
        <v>0</v>
      </c>
      <c r="N170" s="1070">
        <v>0</v>
      </c>
      <c r="O170" s="1234">
        <v>860</v>
      </c>
      <c r="P170" s="1234">
        <v>7311834.9000000004</v>
      </c>
      <c r="Q170" s="1234">
        <v>0</v>
      </c>
      <c r="R170" s="1234">
        <v>0</v>
      </c>
      <c r="S170" s="1234">
        <v>504.54</v>
      </c>
      <c r="T170" s="1109">
        <v>1991778.11</v>
      </c>
      <c r="U170" s="1109">
        <v>0</v>
      </c>
      <c r="V170" s="1109">
        <v>0</v>
      </c>
      <c r="W170" s="1109">
        <v>0</v>
      </c>
      <c r="X170" s="1109">
        <v>0</v>
      </c>
      <c r="Y170" s="1109">
        <v>0</v>
      </c>
      <c r="Z170" s="1109">
        <v>728694.97</v>
      </c>
      <c r="AA170" s="1056">
        <v>0</v>
      </c>
    </row>
    <row r="171" spans="1:27" s="1069" customFormat="1" ht="107.25" customHeight="1">
      <c r="A171" s="1121">
        <v>122</v>
      </c>
      <c r="B171" s="1233" t="s">
        <v>2141</v>
      </c>
      <c r="C171" s="1056">
        <f t="shared" si="123"/>
        <v>3270571.83</v>
      </c>
      <c r="D171" s="1056">
        <f t="shared" si="124"/>
        <v>0</v>
      </c>
      <c r="E171" s="1056">
        <v>0</v>
      </c>
      <c r="F171" s="1056">
        <v>0</v>
      </c>
      <c r="G171" s="1056">
        <v>0</v>
      </c>
      <c r="H171" s="1056">
        <v>0</v>
      </c>
      <c r="I171" s="1056">
        <v>0</v>
      </c>
      <c r="J171" s="1056">
        <v>0</v>
      </c>
      <c r="K171" s="1063">
        <v>0</v>
      </c>
      <c r="L171" s="1056">
        <v>0</v>
      </c>
      <c r="M171" s="1063">
        <v>0</v>
      </c>
      <c r="N171" s="1070">
        <v>0</v>
      </c>
      <c r="O171" s="1234">
        <v>616.20000000000005</v>
      </c>
      <c r="P171" s="1234">
        <v>3033014.41</v>
      </c>
      <c r="Q171" s="1234">
        <v>0</v>
      </c>
      <c r="R171" s="1234">
        <v>0</v>
      </c>
      <c r="S171" s="1234">
        <v>0</v>
      </c>
      <c r="T171" s="1109">
        <v>0</v>
      </c>
      <c r="U171" s="1109">
        <v>0</v>
      </c>
      <c r="V171" s="1109">
        <v>0</v>
      </c>
      <c r="W171" s="1109">
        <v>0</v>
      </c>
      <c r="X171" s="1109">
        <v>0</v>
      </c>
      <c r="Y171" s="1109">
        <v>0</v>
      </c>
      <c r="Z171" s="1109">
        <v>237557.42</v>
      </c>
      <c r="AA171" s="1056">
        <v>0</v>
      </c>
    </row>
    <row r="172" spans="1:27" s="1069" customFormat="1" ht="107.25" customHeight="1">
      <c r="A172" s="1121">
        <v>123</v>
      </c>
      <c r="B172" s="1233" t="s">
        <v>1966</v>
      </c>
      <c r="C172" s="1056">
        <f t="shared" si="123"/>
        <v>5552714.7100000009</v>
      </c>
      <c r="D172" s="1056">
        <f t="shared" si="124"/>
        <v>0</v>
      </c>
      <c r="E172" s="1056">
        <v>0</v>
      </c>
      <c r="F172" s="1056">
        <v>0</v>
      </c>
      <c r="G172" s="1056">
        <v>0</v>
      </c>
      <c r="H172" s="1056">
        <v>0</v>
      </c>
      <c r="I172" s="1056">
        <v>0</v>
      </c>
      <c r="J172" s="1056">
        <v>0</v>
      </c>
      <c r="K172" s="1063">
        <v>0</v>
      </c>
      <c r="L172" s="1056">
        <v>0</v>
      </c>
      <c r="M172" s="1063">
        <v>0</v>
      </c>
      <c r="N172" s="1070">
        <v>0</v>
      </c>
      <c r="O172" s="1234">
        <v>0</v>
      </c>
      <c r="P172" s="1234">
        <v>0</v>
      </c>
      <c r="Q172" s="1234">
        <v>0</v>
      </c>
      <c r="R172" s="1234">
        <v>0</v>
      </c>
      <c r="S172" s="1234">
        <v>1304.4000000000001</v>
      </c>
      <c r="T172" s="1109">
        <v>5149394.2300000004</v>
      </c>
      <c r="U172" s="1109">
        <v>0</v>
      </c>
      <c r="V172" s="1109">
        <v>0</v>
      </c>
      <c r="W172" s="1109">
        <v>0</v>
      </c>
      <c r="X172" s="1109">
        <v>0</v>
      </c>
      <c r="Y172" s="1109">
        <v>0</v>
      </c>
      <c r="Z172" s="1109">
        <v>403320.48</v>
      </c>
      <c r="AA172" s="1056">
        <v>0</v>
      </c>
    </row>
    <row r="173" spans="1:27" s="1069" customFormat="1" ht="107.25" customHeight="1">
      <c r="A173" s="1121">
        <v>124</v>
      </c>
      <c r="B173" s="1233" t="s">
        <v>1967</v>
      </c>
      <c r="C173" s="1056">
        <f t="shared" si="123"/>
        <v>5051597.53</v>
      </c>
      <c r="D173" s="1056">
        <f t="shared" si="124"/>
        <v>0</v>
      </c>
      <c r="E173" s="1056">
        <v>0</v>
      </c>
      <c r="F173" s="1056">
        <v>0</v>
      </c>
      <c r="G173" s="1056">
        <v>0</v>
      </c>
      <c r="H173" s="1056">
        <v>0</v>
      </c>
      <c r="I173" s="1056">
        <v>0</v>
      </c>
      <c r="J173" s="1056">
        <v>0</v>
      </c>
      <c r="K173" s="1063">
        <v>0</v>
      </c>
      <c r="L173" s="1056">
        <v>0</v>
      </c>
      <c r="M173" s="1063">
        <v>0</v>
      </c>
      <c r="N173" s="1070">
        <v>0</v>
      </c>
      <c r="O173" s="1234">
        <v>551</v>
      </c>
      <c r="P173" s="1234">
        <v>4684675.6100000003</v>
      </c>
      <c r="Q173" s="1234">
        <v>0</v>
      </c>
      <c r="R173" s="1234">
        <v>0</v>
      </c>
      <c r="S173" s="1234">
        <v>0</v>
      </c>
      <c r="T173" s="1109">
        <v>0</v>
      </c>
      <c r="U173" s="1109">
        <v>0</v>
      </c>
      <c r="V173" s="1109">
        <v>0</v>
      </c>
      <c r="W173" s="1109">
        <v>0</v>
      </c>
      <c r="X173" s="1109">
        <v>0</v>
      </c>
      <c r="Y173" s="1109">
        <v>0</v>
      </c>
      <c r="Z173" s="1109">
        <v>366921.92</v>
      </c>
      <c r="AA173" s="1056">
        <v>0</v>
      </c>
    </row>
    <row r="174" spans="1:27" s="1069" customFormat="1" ht="107.25" customHeight="1">
      <c r="A174" s="1121">
        <v>125</v>
      </c>
      <c r="B174" s="1233" t="s">
        <v>1968</v>
      </c>
      <c r="C174" s="1056">
        <f t="shared" si="123"/>
        <v>7244937.6099999994</v>
      </c>
      <c r="D174" s="1056">
        <f t="shared" si="124"/>
        <v>0</v>
      </c>
      <c r="E174" s="1056">
        <v>0</v>
      </c>
      <c r="F174" s="1056">
        <v>0</v>
      </c>
      <c r="G174" s="1056">
        <v>0</v>
      </c>
      <c r="H174" s="1056">
        <v>0</v>
      </c>
      <c r="I174" s="1056">
        <v>0</v>
      </c>
      <c r="J174" s="1056">
        <v>0</v>
      </c>
      <c r="K174" s="1063">
        <v>0</v>
      </c>
      <c r="L174" s="1056">
        <v>0</v>
      </c>
      <c r="M174" s="1063">
        <v>0</v>
      </c>
      <c r="N174" s="1070">
        <v>0</v>
      </c>
      <c r="O174" s="1234">
        <v>1365</v>
      </c>
      <c r="P174" s="1234">
        <v>6718702.8099999996</v>
      </c>
      <c r="Q174" s="1234">
        <v>0</v>
      </c>
      <c r="R174" s="1234">
        <v>0</v>
      </c>
      <c r="S174" s="1234">
        <v>0</v>
      </c>
      <c r="T174" s="1109">
        <v>0</v>
      </c>
      <c r="U174" s="1109">
        <v>0</v>
      </c>
      <c r="V174" s="1109">
        <v>0</v>
      </c>
      <c r="W174" s="1109">
        <v>0</v>
      </c>
      <c r="X174" s="1109">
        <v>0</v>
      </c>
      <c r="Y174" s="1109">
        <v>0</v>
      </c>
      <c r="Z174" s="1109">
        <v>526234.80000000005</v>
      </c>
      <c r="AA174" s="1056">
        <v>0</v>
      </c>
    </row>
    <row r="175" spans="1:27" s="1069" customFormat="1" ht="107.25" customHeight="1">
      <c r="A175" s="1121">
        <v>126</v>
      </c>
      <c r="B175" s="1233" t="s">
        <v>1969</v>
      </c>
      <c r="C175" s="1056">
        <f t="shared" si="123"/>
        <v>3333137.57</v>
      </c>
      <c r="D175" s="1056">
        <f t="shared" si="124"/>
        <v>0</v>
      </c>
      <c r="E175" s="1056">
        <v>0</v>
      </c>
      <c r="F175" s="1056">
        <v>0</v>
      </c>
      <c r="G175" s="1056">
        <v>0</v>
      </c>
      <c r="H175" s="1056">
        <v>0</v>
      </c>
      <c r="I175" s="1056">
        <v>0</v>
      </c>
      <c r="J175" s="1056">
        <v>0</v>
      </c>
      <c r="K175" s="1063">
        <v>0</v>
      </c>
      <c r="L175" s="1056">
        <v>0</v>
      </c>
      <c r="M175" s="1063">
        <v>0</v>
      </c>
      <c r="N175" s="1070">
        <v>0</v>
      </c>
      <c r="O175" s="1234">
        <v>363.56</v>
      </c>
      <c r="P175" s="1234">
        <v>3091035.69</v>
      </c>
      <c r="Q175" s="1234">
        <v>0</v>
      </c>
      <c r="R175" s="1234">
        <v>0</v>
      </c>
      <c r="S175" s="1234">
        <v>0</v>
      </c>
      <c r="T175" s="1109">
        <v>0</v>
      </c>
      <c r="U175" s="1109">
        <v>0</v>
      </c>
      <c r="V175" s="1109">
        <v>0</v>
      </c>
      <c r="W175" s="1109">
        <v>0</v>
      </c>
      <c r="X175" s="1109">
        <v>0</v>
      </c>
      <c r="Y175" s="1109">
        <v>0</v>
      </c>
      <c r="Z175" s="1109">
        <v>242101.88</v>
      </c>
      <c r="AA175" s="1056">
        <v>0</v>
      </c>
    </row>
    <row r="176" spans="1:27" s="1069" customFormat="1" ht="107.25" customHeight="1">
      <c r="A176" s="1121">
        <v>127</v>
      </c>
      <c r="B176" s="1233" t="s">
        <v>1970</v>
      </c>
      <c r="C176" s="1056">
        <f t="shared" si="123"/>
        <v>3077746.65</v>
      </c>
      <c r="D176" s="1056">
        <f t="shared" si="124"/>
        <v>0</v>
      </c>
      <c r="E176" s="1056">
        <v>0</v>
      </c>
      <c r="F176" s="1056">
        <v>0</v>
      </c>
      <c r="G176" s="1056">
        <v>0</v>
      </c>
      <c r="H176" s="1056">
        <v>0</v>
      </c>
      <c r="I176" s="1056">
        <v>0</v>
      </c>
      <c r="J176" s="1056">
        <v>0</v>
      </c>
      <c r="K176" s="1063">
        <v>0</v>
      </c>
      <c r="L176" s="1056">
        <v>0</v>
      </c>
      <c r="M176" s="1063">
        <v>0</v>
      </c>
      <c r="N176" s="1070">
        <v>0</v>
      </c>
      <c r="O176" s="1234">
        <v>0</v>
      </c>
      <c r="P176" s="1255">
        <v>0</v>
      </c>
      <c r="Q176" s="1234">
        <v>0</v>
      </c>
      <c r="R176" s="1234">
        <v>0</v>
      </c>
      <c r="S176" s="1234">
        <v>723</v>
      </c>
      <c r="T176" s="1234">
        <v>2854195.05</v>
      </c>
      <c r="U176" s="1109">
        <v>0</v>
      </c>
      <c r="V176" s="1109">
        <v>0</v>
      </c>
      <c r="W176" s="1109">
        <v>0</v>
      </c>
      <c r="X176" s="1109">
        <v>0</v>
      </c>
      <c r="Y176" s="1109">
        <v>0</v>
      </c>
      <c r="Z176" s="1109">
        <v>223551.6</v>
      </c>
      <c r="AA176" s="1056">
        <v>0</v>
      </c>
    </row>
    <row r="177" spans="1:27" s="1069" customFormat="1" ht="107.25" customHeight="1">
      <c r="A177" s="1121">
        <v>128</v>
      </c>
      <c r="B177" s="1233" t="s">
        <v>2144</v>
      </c>
      <c r="C177" s="1056">
        <f t="shared" si="123"/>
        <v>1992234.35</v>
      </c>
      <c r="D177" s="1056">
        <f t="shared" si="124"/>
        <v>0</v>
      </c>
      <c r="E177" s="1056">
        <v>0</v>
      </c>
      <c r="F177" s="1056">
        <v>0</v>
      </c>
      <c r="G177" s="1056">
        <v>0</v>
      </c>
      <c r="H177" s="1056">
        <v>0</v>
      </c>
      <c r="I177" s="1056">
        <v>0</v>
      </c>
      <c r="J177" s="1056">
        <v>0</v>
      </c>
      <c r="K177" s="1063">
        <v>0</v>
      </c>
      <c r="L177" s="1056">
        <v>0</v>
      </c>
      <c r="M177" s="1063">
        <v>0</v>
      </c>
      <c r="N177" s="1070">
        <v>0</v>
      </c>
      <c r="O177" s="1234">
        <v>0</v>
      </c>
      <c r="P177" s="1234">
        <v>0</v>
      </c>
      <c r="Q177" s="1234">
        <v>0</v>
      </c>
      <c r="R177" s="1234">
        <v>0</v>
      </c>
      <c r="S177" s="1234">
        <v>468</v>
      </c>
      <c r="T177" s="1109">
        <v>1847528.75</v>
      </c>
      <c r="U177" s="1109">
        <v>0</v>
      </c>
      <c r="V177" s="1109">
        <v>0</v>
      </c>
      <c r="W177" s="1109">
        <v>0</v>
      </c>
      <c r="X177" s="1109">
        <v>0</v>
      </c>
      <c r="Y177" s="1109">
        <v>0</v>
      </c>
      <c r="Z177" s="1109">
        <v>144705.60000000001</v>
      </c>
      <c r="AA177" s="1056">
        <v>0</v>
      </c>
    </row>
    <row r="178" spans="1:27" s="1069" customFormat="1" ht="107.25" customHeight="1">
      <c r="A178" s="1121">
        <v>129</v>
      </c>
      <c r="B178" s="1233" t="s">
        <v>2143</v>
      </c>
      <c r="C178" s="1056">
        <f t="shared" si="123"/>
        <v>1447085.58</v>
      </c>
      <c r="D178" s="1056">
        <f t="shared" si="124"/>
        <v>0</v>
      </c>
      <c r="E178" s="1056">
        <v>0</v>
      </c>
      <c r="F178" s="1056">
        <v>0</v>
      </c>
      <c r="G178" s="1056">
        <v>0</v>
      </c>
      <c r="H178" s="1056">
        <v>0</v>
      </c>
      <c r="I178" s="1056">
        <v>0</v>
      </c>
      <c r="J178" s="1056">
        <v>0</v>
      </c>
      <c r="K178" s="1063">
        <v>0</v>
      </c>
      <c r="L178" s="1056">
        <v>0</v>
      </c>
      <c r="M178" s="1063">
        <v>0</v>
      </c>
      <c r="N178" s="1070">
        <v>0</v>
      </c>
      <c r="O178" s="1234">
        <v>157.84</v>
      </c>
      <c r="P178" s="1234">
        <v>1341976.77</v>
      </c>
      <c r="Q178" s="1234">
        <v>0</v>
      </c>
      <c r="R178" s="1234">
        <v>0</v>
      </c>
      <c r="S178" s="1234">
        <v>0</v>
      </c>
      <c r="T178" s="1109">
        <v>0</v>
      </c>
      <c r="U178" s="1109">
        <v>0</v>
      </c>
      <c r="V178" s="1109">
        <v>0</v>
      </c>
      <c r="W178" s="1109">
        <v>0</v>
      </c>
      <c r="X178" s="1109">
        <v>0</v>
      </c>
      <c r="Y178" s="1109">
        <v>0</v>
      </c>
      <c r="Z178" s="1109">
        <v>105108.81</v>
      </c>
      <c r="AA178" s="1056">
        <v>0</v>
      </c>
    </row>
    <row r="179" spans="1:27" s="1069" customFormat="1" ht="107.25" customHeight="1">
      <c r="A179" s="1121">
        <v>130</v>
      </c>
      <c r="B179" s="1256" t="s">
        <v>2145</v>
      </c>
      <c r="C179" s="1056">
        <f t="shared" si="123"/>
        <v>3060340.13</v>
      </c>
      <c r="D179" s="1056">
        <f t="shared" si="124"/>
        <v>0</v>
      </c>
      <c r="E179" s="1056">
        <v>0</v>
      </c>
      <c r="F179" s="1056">
        <v>0</v>
      </c>
      <c r="G179" s="1056">
        <v>0</v>
      </c>
      <c r="H179" s="1056">
        <v>0</v>
      </c>
      <c r="I179" s="1056">
        <v>0</v>
      </c>
      <c r="J179" s="1056">
        <v>0</v>
      </c>
      <c r="K179" s="1063">
        <v>0</v>
      </c>
      <c r="L179" s="1056">
        <v>0</v>
      </c>
      <c r="M179" s="1063">
        <v>1</v>
      </c>
      <c r="N179" s="1070">
        <v>2838052.85</v>
      </c>
      <c r="O179" s="1056">
        <v>0</v>
      </c>
      <c r="P179" s="1056">
        <v>0</v>
      </c>
      <c r="Q179" s="1056">
        <v>0</v>
      </c>
      <c r="R179" s="1056">
        <v>0</v>
      </c>
      <c r="S179" s="1056">
        <v>0</v>
      </c>
      <c r="T179" s="1056">
        <v>0</v>
      </c>
      <c r="U179" s="1056">
        <v>0</v>
      </c>
      <c r="V179" s="1056">
        <v>0</v>
      </c>
      <c r="W179" s="1070">
        <v>0</v>
      </c>
      <c r="X179" s="1070">
        <v>0</v>
      </c>
      <c r="Y179" s="1056">
        <v>0</v>
      </c>
      <c r="Z179" s="1056">
        <v>222287.28</v>
      </c>
      <c r="AA179" s="1056">
        <v>0</v>
      </c>
    </row>
    <row r="180" spans="1:27" s="1064" customFormat="1" ht="107.25" customHeight="1">
      <c r="A180" s="1121">
        <v>131</v>
      </c>
      <c r="B180" s="1256" t="s">
        <v>2142</v>
      </c>
      <c r="C180" s="1056">
        <f t="shared" si="123"/>
        <v>9181020.379999999</v>
      </c>
      <c r="D180" s="1056">
        <f t="shared" si="124"/>
        <v>0</v>
      </c>
      <c r="E180" s="1056">
        <v>0</v>
      </c>
      <c r="F180" s="1056">
        <v>0</v>
      </c>
      <c r="G180" s="1056">
        <v>0</v>
      </c>
      <c r="H180" s="1056">
        <v>0</v>
      </c>
      <c r="I180" s="1056">
        <v>0</v>
      </c>
      <c r="J180" s="1056">
        <v>0</v>
      </c>
      <c r="K180" s="1063">
        <v>0</v>
      </c>
      <c r="L180" s="1056">
        <v>0</v>
      </c>
      <c r="M180" s="1063">
        <v>3</v>
      </c>
      <c r="N180" s="1070">
        <v>8514158.5399999991</v>
      </c>
      <c r="O180" s="1056">
        <v>0</v>
      </c>
      <c r="P180" s="1056">
        <v>0</v>
      </c>
      <c r="Q180" s="1056">
        <v>0</v>
      </c>
      <c r="R180" s="1056">
        <v>0</v>
      </c>
      <c r="S180" s="1056">
        <v>0</v>
      </c>
      <c r="T180" s="1056">
        <v>0</v>
      </c>
      <c r="U180" s="1056">
        <v>0</v>
      </c>
      <c r="V180" s="1056">
        <v>0</v>
      </c>
      <c r="W180" s="1070">
        <v>0</v>
      </c>
      <c r="X180" s="1070">
        <v>0</v>
      </c>
      <c r="Y180" s="1056">
        <v>0</v>
      </c>
      <c r="Z180" s="1056">
        <v>666861.84</v>
      </c>
      <c r="AA180" s="1056">
        <v>0</v>
      </c>
    </row>
    <row r="181" spans="1:27" s="1064" customFormat="1" ht="107.25" customHeight="1">
      <c r="A181" s="1121"/>
      <c r="B181" s="1256" t="s">
        <v>2005</v>
      </c>
      <c r="C181" s="1056">
        <f>C182</f>
        <v>1018891.44</v>
      </c>
      <c r="D181" s="1056">
        <f t="shared" ref="D181:AA181" si="125">D182</f>
        <v>1018891.44</v>
      </c>
      <c r="E181" s="1056">
        <f t="shared" si="125"/>
        <v>0</v>
      </c>
      <c r="F181" s="1056">
        <f t="shared" si="125"/>
        <v>0</v>
      </c>
      <c r="G181" s="1056">
        <f t="shared" si="125"/>
        <v>0</v>
      </c>
      <c r="H181" s="1056">
        <f t="shared" si="125"/>
        <v>0</v>
      </c>
      <c r="I181" s="1056">
        <f t="shared" si="125"/>
        <v>0</v>
      </c>
      <c r="J181" s="1056">
        <f t="shared" si="125"/>
        <v>1018891.44</v>
      </c>
      <c r="K181" s="1056">
        <f t="shared" si="125"/>
        <v>0</v>
      </c>
      <c r="L181" s="1056">
        <f t="shared" si="125"/>
        <v>0</v>
      </c>
      <c r="M181" s="1056">
        <f t="shared" si="125"/>
        <v>0</v>
      </c>
      <c r="N181" s="1056">
        <f t="shared" si="125"/>
        <v>0</v>
      </c>
      <c r="O181" s="1056">
        <f t="shared" si="125"/>
        <v>0</v>
      </c>
      <c r="P181" s="1056">
        <f t="shared" si="125"/>
        <v>0</v>
      </c>
      <c r="Q181" s="1056">
        <f t="shared" si="125"/>
        <v>0</v>
      </c>
      <c r="R181" s="1056">
        <f t="shared" si="125"/>
        <v>0</v>
      </c>
      <c r="S181" s="1056">
        <f t="shared" si="125"/>
        <v>0</v>
      </c>
      <c r="T181" s="1056">
        <f t="shared" si="125"/>
        <v>0</v>
      </c>
      <c r="U181" s="1056">
        <f t="shared" si="125"/>
        <v>0</v>
      </c>
      <c r="V181" s="1056">
        <f t="shared" si="125"/>
        <v>0</v>
      </c>
      <c r="W181" s="1056">
        <f t="shared" si="125"/>
        <v>0</v>
      </c>
      <c r="X181" s="1056">
        <f t="shared" si="125"/>
        <v>0</v>
      </c>
      <c r="Y181" s="1056">
        <f t="shared" si="125"/>
        <v>0</v>
      </c>
      <c r="Z181" s="1056">
        <f t="shared" si="125"/>
        <v>0</v>
      </c>
      <c r="AA181" s="1056">
        <f t="shared" si="125"/>
        <v>0</v>
      </c>
    </row>
    <row r="182" spans="1:27" s="1064" customFormat="1" ht="107.25" customHeight="1">
      <c r="A182" s="1121">
        <v>132</v>
      </c>
      <c r="B182" s="1256" t="s">
        <v>2006</v>
      </c>
      <c r="C182" s="1056">
        <f t="shared" ref="C182" si="126">D182+N182+P182+R182+T182+X182+Z182</f>
        <v>1018891.44</v>
      </c>
      <c r="D182" s="1056">
        <f t="shared" ref="D182" si="127">SUM(E182:J182)</f>
        <v>1018891.44</v>
      </c>
      <c r="E182" s="1056">
        <v>0</v>
      </c>
      <c r="F182" s="1056">
        <v>0</v>
      </c>
      <c r="G182" s="1056">
        <v>0</v>
      </c>
      <c r="H182" s="1056">
        <v>0</v>
      </c>
      <c r="I182" s="1056">
        <v>0</v>
      </c>
      <c r="J182" s="1056">
        <v>1018891.44</v>
      </c>
      <c r="K182" s="1063">
        <v>0</v>
      </c>
      <c r="L182" s="1056">
        <v>0</v>
      </c>
      <c r="M182" s="1063">
        <v>0</v>
      </c>
      <c r="N182" s="1070">
        <v>0</v>
      </c>
      <c r="O182" s="1056">
        <v>0</v>
      </c>
      <c r="P182" s="1056">
        <v>0</v>
      </c>
      <c r="Q182" s="1056">
        <v>0</v>
      </c>
      <c r="R182" s="1056">
        <v>0</v>
      </c>
      <c r="S182" s="1056">
        <v>0</v>
      </c>
      <c r="T182" s="1056">
        <v>0</v>
      </c>
      <c r="U182" s="1056">
        <v>0</v>
      </c>
      <c r="V182" s="1056">
        <v>0</v>
      </c>
      <c r="W182" s="1070">
        <v>0</v>
      </c>
      <c r="X182" s="1070">
        <v>0</v>
      </c>
      <c r="Y182" s="1056">
        <v>0</v>
      </c>
      <c r="Z182" s="1056">
        <v>0</v>
      </c>
      <c r="AA182" s="1056">
        <v>0</v>
      </c>
    </row>
    <row r="183" spans="1:27" s="1064" customFormat="1" ht="90" customHeight="1">
      <c r="A183" s="1121"/>
      <c r="B183" s="1062" t="s">
        <v>1100</v>
      </c>
      <c r="C183" s="1056">
        <f>C184+C185</f>
        <v>5002509.37</v>
      </c>
      <c r="D183" s="1056">
        <f t="shared" ref="D183:AA183" si="128">D184+D185</f>
        <v>0</v>
      </c>
      <c r="E183" s="1056">
        <f t="shared" si="128"/>
        <v>0</v>
      </c>
      <c r="F183" s="1056">
        <f t="shared" si="128"/>
        <v>0</v>
      </c>
      <c r="G183" s="1056">
        <f t="shared" si="128"/>
        <v>0</v>
      </c>
      <c r="H183" s="1056">
        <f t="shared" si="128"/>
        <v>0</v>
      </c>
      <c r="I183" s="1056">
        <f t="shared" si="128"/>
        <v>0</v>
      </c>
      <c r="J183" s="1056">
        <f t="shared" si="128"/>
        <v>0</v>
      </c>
      <c r="K183" s="1063">
        <f t="shared" si="128"/>
        <v>0</v>
      </c>
      <c r="L183" s="1056">
        <f t="shared" si="128"/>
        <v>0</v>
      </c>
      <c r="M183" s="1063">
        <f t="shared" si="128"/>
        <v>0</v>
      </c>
      <c r="N183" s="1056">
        <f t="shared" si="128"/>
        <v>0</v>
      </c>
      <c r="O183" s="1056">
        <f t="shared" si="128"/>
        <v>693</v>
      </c>
      <c r="P183" s="1056">
        <f t="shared" si="128"/>
        <v>4725546.5199999996</v>
      </c>
      <c r="Q183" s="1056">
        <f t="shared" si="128"/>
        <v>0</v>
      </c>
      <c r="R183" s="1056">
        <f t="shared" si="128"/>
        <v>0</v>
      </c>
      <c r="S183" s="1056">
        <f t="shared" si="128"/>
        <v>0</v>
      </c>
      <c r="T183" s="1056">
        <f t="shared" si="128"/>
        <v>0</v>
      </c>
      <c r="U183" s="1056">
        <v>0</v>
      </c>
      <c r="V183" s="1056">
        <v>0</v>
      </c>
      <c r="W183" s="1056">
        <f t="shared" si="128"/>
        <v>0</v>
      </c>
      <c r="X183" s="1056">
        <f t="shared" si="128"/>
        <v>0</v>
      </c>
      <c r="Y183" s="1056">
        <v>0</v>
      </c>
      <c r="Z183" s="1056">
        <f t="shared" si="128"/>
        <v>276962.84999999998</v>
      </c>
      <c r="AA183" s="1056">
        <f t="shared" si="128"/>
        <v>0</v>
      </c>
    </row>
    <row r="184" spans="1:27" s="1064" customFormat="1" ht="94.9" customHeight="1">
      <c r="A184" s="1121">
        <v>133</v>
      </c>
      <c r="B184" s="1073" t="s">
        <v>1698</v>
      </c>
      <c r="C184" s="1056">
        <f>D184+N184+P184+R184+T184+X184+Z184</f>
        <v>2584474.31</v>
      </c>
      <c r="D184" s="1056">
        <f>SUM(E184:J184)</f>
        <v>0</v>
      </c>
      <c r="E184" s="1056">
        <v>0</v>
      </c>
      <c r="F184" s="1056">
        <v>0</v>
      </c>
      <c r="G184" s="1056">
        <v>0</v>
      </c>
      <c r="H184" s="1056">
        <v>0</v>
      </c>
      <c r="I184" s="1056">
        <v>0</v>
      </c>
      <c r="J184" s="1056">
        <v>0</v>
      </c>
      <c r="K184" s="1063">
        <v>0</v>
      </c>
      <c r="L184" s="1056">
        <v>0</v>
      </c>
      <c r="M184" s="1063">
        <v>0</v>
      </c>
      <c r="N184" s="1056">
        <v>0</v>
      </c>
      <c r="O184" s="1056">
        <v>330</v>
      </c>
      <c r="P184" s="1056">
        <v>2396751.46</v>
      </c>
      <c r="Q184" s="1056">
        <v>0</v>
      </c>
      <c r="R184" s="1056">
        <v>0</v>
      </c>
      <c r="S184" s="1056">
        <v>0</v>
      </c>
      <c r="T184" s="1056">
        <v>0</v>
      </c>
      <c r="U184" s="1056">
        <v>0</v>
      </c>
      <c r="V184" s="1056">
        <v>0</v>
      </c>
      <c r="W184" s="1056">
        <v>0</v>
      </c>
      <c r="X184" s="1056">
        <v>0</v>
      </c>
      <c r="Y184" s="1056">
        <v>0</v>
      </c>
      <c r="Z184" s="1056">
        <v>187722.85</v>
      </c>
      <c r="AA184" s="1056">
        <v>0</v>
      </c>
    </row>
    <row r="185" spans="1:27" s="1064" customFormat="1" ht="103.15" customHeight="1">
      <c r="A185" s="1121">
        <v>134</v>
      </c>
      <c r="B185" s="1062" t="s">
        <v>1204</v>
      </c>
      <c r="C185" s="1056">
        <f>D185+N185+P185+R185+T185+X185+Z185</f>
        <v>2418035.06</v>
      </c>
      <c r="D185" s="1056">
        <f>SUM(E185:J185)</f>
        <v>0</v>
      </c>
      <c r="E185" s="1056">
        <v>0</v>
      </c>
      <c r="F185" s="1056">
        <v>0</v>
      </c>
      <c r="G185" s="1056">
        <v>0</v>
      </c>
      <c r="H185" s="1056">
        <v>0</v>
      </c>
      <c r="I185" s="1056">
        <v>0</v>
      </c>
      <c r="J185" s="1056">
        <v>0</v>
      </c>
      <c r="K185" s="1063">
        <v>0</v>
      </c>
      <c r="L185" s="1056">
        <v>0</v>
      </c>
      <c r="M185" s="1063">
        <v>0</v>
      </c>
      <c r="N185" s="1056">
        <v>0</v>
      </c>
      <c r="O185" s="1056">
        <v>363</v>
      </c>
      <c r="P185" s="1056">
        <v>2328795.06</v>
      </c>
      <c r="Q185" s="1056">
        <v>0</v>
      </c>
      <c r="R185" s="1056">
        <v>0</v>
      </c>
      <c r="S185" s="1056">
        <v>0</v>
      </c>
      <c r="T185" s="1056">
        <v>0</v>
      </c>
      <c r="U185" s="1056">
        <v>0</v>
      </c>
      <c r="V185" s="1056">
        <v>0</v>
      </c>
      <c r="W185" s="1056">
        <v>0</v>
      </c>
      <c r="X185" s="1056">
        <v>0</v>
      </c>
      <c r="Y185" s="1056">
        <v>0</v>
      </c>
      <c r="Z185" s="1056">
        <v>89240</v>
      </c>
      <c r="AA185" s="1056">
        <v>0</v>
      </c>
    </row>
    <row r="186" spans="1:27" s="1074" customFormat="1" ht="106.9" customHeight="1">
      <c r="A186" s="1121"/>
      <c r="B186" s="1062" t="s">
        <v>1245</v>
      </c>
      <c r="C186" s="1056">
        <f t="shared" ref="C186:AA186" si="129">SUM(C187:C188)</f>
        <v>6654419.5700000003</v>
      </c>
      <c r="D186" s="1056">
        <f t="shared" si="129"/>
        <v>0</v>
      </c>
      <c r="E186" s="1056">
        <f t="shared" si="129"/>
        <v>0</v>
      </c>
      <c r="F186" s="1056">
        <f t="shared" si="129"/>
        <v>0</v>
      </c>
      <c r="G186" s="1056">
        <f t="shared" si="129"/>
        <v>0</v>
      </c>
      <c r="H186" s="1056">
        <f t="shared" si="129"/>
        <v>0</v>
      </c>
      <c r="I186" s="1056">
        <f t="shared" si="129"/>
        <v>0</v>
      </c>
      <c r="J186" s="1056">
        <f t="shared" si="129"/>
        <v>0</v>
      </c>
      <c r="K186" s="1056">
        <f t="shared" si="129"/>
        <v>0</v>
      </c>
      <c r="L186" s="1056">
        <f t="shared" si="129"/>
        <v>0</v>
      </c>
      <c r="M186" s="1056">
        <f t="shared" si="129"/>
        <v>0</v>
      </c>
      <c r="N186" s="1056">
        <f t="shared" si="129"/>
        <v>0</v>
      </c>
      <c r="O186" s="1056">
        <f t="shared" si="129"/>
        <v>629.20000000000005</v>
      </c>
      <c r="P186" s="1056">
        <f t="shared" si="129"/>
        <v>3097002.06</v>
      </c>
      <c r="Q186" s="1056">
        <f t="shared" si="129"/>
        <v>0</v>
      </c>
      <c r="R186" s="1056">
        <f t="shared" si="129"/>
        <v>0</v>
      </c>
      <c r="S186" s="1056">
        <f t="shared" si="129"/>
        <v>362</v>
      </c>
      <c r="T186" s="1056">
        <f t="shared" si="129"/>
        <v>1429071.38</v>
      </c>
      <c r="U186" s="1056">
        <f t="shared" si="129"/>
        <v>362</v>
      </c>
      <c r="V186" s="1056">
        <f t="shared" si="129"/>
        <v>1645003.51</v>
      </c>
      <c r="W186" s="1056">
        <f t="shared" si="129"/>
        <v>0</v>
      </c>
      <c r="X186" s="1056">
        <f t="shared" si="129"/>
        <v>0</v>
      </c>
      <c r="Y186" s="1056">
        <f t="shared" si="129"/>
        <v>0</v>
      </c>
      <c r="Z186" s="1056">
        <f t="shared" si="129"/>
        <v>483342.62</v>
      </c>
      <c r="AA186" s="1056">
        <f t="shared" si="129"/>
        <v>0</v>
      </c>
    </row>
    <row r="187" spans="1:27" s="1069" customFormat="1" ht="105" customHeight="1">
      <c r="A187" s="1121">
        <v>135</v>
      </c>
      <c r="B187" s="1233" t="s">
        <v>1316</v>
      </c>
      <c r="C187" s="1056">
        <f>D187+N187+P187+R187+T187+X187+Z187+V187</f>
        <v>3314848.33</v>
      </c>
      <c r="D187" s="1056">
        <f t="shared" ref="D187:D188" si="130">SUM(E187:J187)</f>
        <v>0</v>
      </c>
      <c r="E187" s="1056">
        <v>0</v>
      </c>
      <c r="F187" s="1056">
        <v>0</v>
      </c>
      <c r="G187" s="1056">
        <v>0</v>
      </c>
      <c r="H187" s="1056">
        <v>0</v>
      </c>
      <c r="I187" s="1056">
        <v>0</v>
      </c>
      <c r="J187" s="1056">
        <v>0</v>
      </c>
      <c r="K187" s="1063">
        <v>0</v>
      </c>
      <c r="L187" s="1056">
        <v>0</v>
      </c>
      <c r="M187" s="1063">
        <v>0</v>
      </c>
      <c r="N187" s="1056">
        <v>0</v>
      </c>
      <c r="O187" s="1056">
        <v>0</v>
      </c>
      <c r="P187" s="1056">
        <v>0</v>
      </c>
      <c r="Q187" s="1056">
        <v>0</v>
      </c>
      <c r="R187" s="1056">
        <v>0</v>
      </c>
      <c r="S187" s="1234">
        <v>362</v>
      </c>
      <c r="T187" s="1234">
        <v>1429071.38</v>
      </c>
      <c r="U187" s="1234">
        <v>362</v>
      </c>
      <c r="V187" s="1234">
        <v>1645003.51</v>
      </c>
      <c r="W187" s="1234">
        <v>0</v>
      </c>
      <c r="X187" s="1234">
        <v>0</v>
      </c>
      <c r="Y187" s="1234">
        <v>0</v>
      </c>
      <c r="Z187" s="1234">
        <v>240773.44</v>
      </c>
      <c r="AA187" s="1056">
        <v>0</v>
      </c>
    </row>
    <row r="188" spans="1:27" s="1069" customFormat="1" ht="105" customHeight="1">
      <c r="A188" s="1121">
        <v>136</v>
      </c>
      <c r="B188" s="1233" t="s">
        <v>1508</v>
      </c>
      <c r="C188" s="1056">
        <f>D188+N188+P188+R188+T188+X188+Z188+V188</f>
        <v>3339571.24</v>
      </c>
      <c r="D188" s="1056">
        <f t="shared" si="130"/>
        <v>0</v>
      </c>
      <c r="E188" s="1056">
        <v>0</v>
      </c>
      <c r="F188" s="1056">
        <v>0</v>
      </c>
      <c r="G188" s="1056">
        <v>0</v>
      </c>
      <c r="H188" s="1056">
        <v>0</v>
      </c>
      <c r="I188" s="1056">
        <v>0</v>
      </c>
      <c r="J188" s="1056">
        <v>0</v>
      </c>
      <c r="K188" s="1063">
        <v>0</v>
      </c>
      <c r="L188" s="1056">
        <v>0</v>
      </c>
      <c r="M188" s="1063">
        <v>0</v>
      </c>
      <c r="N188" s="1056">
        <v>0</v>
      </c>
      <c r="O188" s="1234">
        <v>629.20000000000005</v>
      </c>
      <c r="P188" s="1234">
        <v>3097002.06</v>
      </c>
      <c r="Q188" s="1056">
        <v>0</v>
      </c>
      <c r="R188" s="1056">
        <v>0</v>
      </c>
      <c r="S188" s="1056">
        <v>0</v>
      </c>
      <c r="T188" s="1056">
        <v>0</v>
      </c>
      <c r="U188" s="1056">
        <v>0</v>
      </c>
      <c r="V188" s="1056">
        <v>0</v>
      </c>
      <c r="W188" s="1056">
        <v>0</v>
      </c>
      <c r="X188" s="1056">
        <v>0</v>
      </c>
      <c r="Y188" s="1056">
        <v>0</v>
      </c>
      <c r="Z188" s="1234">
        <v>242569.18</v>
      </c>
      <c r="AA188" s="1056">
        <v>0</v>
      </c>
    </row>
    <row r="189" spans="1:27" s="1069" customFormat="1" ht="88.5" customHeight="1">
      <c r="A189" s="1121"/>
      <c r="B189" s="1062" t="s">
        <v>1239</v>
      </c>
      <c r="C189" s="1056">
        <f>C190</f>
        <v>3927134.26</v>
      </c>
      <c r="D189" s="1056">
        <f t="shared" ref="D189:AA189" si="131">D190</f>
        <v>0</v>
      </c>
      <c r="E189" s="1056">
        <f t="shared" si="131"/>
        <v>0</v>
      </c>
      <c r="F189" s="1056">
        <f t="shared" si="131"/>
        <v>0</v>
      </c>
      <c r="G189" s="1056">
        <f t="shared" si="131"/>
        <v>0</v>
      </c>
      <c r="H189" s="1056">
        <f t="shared" si="131"/>
        <v>0</v>
      </c>
      <c r="I189" s="1056">
        <f t="shared" si="131"/>
        <v>0</v>
      </c>
      <c r="J189" s="1056">
        <f t="shared" si="131"/>
        <v>0</v>
      </c>
      <c r="K189" s="1056">
        <f t="shared" si="131"/>
        <v>0</v>
      </c>
      <c r="L189" s="1056">
        <f t="shared" si="131"/>
        <v>0</v>
      </c>
      <c r="M189" s="1056">
        <f t="shared" si="131"/>
        <v>0</v>
      </c>
      <c r="N189" s="1056">
        <f t="shared" si="131"/>
        <v>0</v>
      </c>
      <c r="O189" s="1056">
        <f t="shared" si="131"/>
        <v>492.28</v>
      </c>
      <c r="P189" s="1056">
        <f t="shared" si="131"/>
        <v>3641887.54</v>
      </c>
      <c r="Q189" s="1056">
        <f t="shared" si="131"/>
        <v>0</v>
      </c>
      <c r="R189" s="1056">
        <f t="shared" si="131"/>
        <v>0</v>
      </c>
      <c r="S189" s="1056">
        <f t="shared" si="131"/>
        <v>0</v>
      </c>
      <c r="T189" s="1056">
        <f t="shared" si="131"/>
        <v>0</v>
      </c>
      <c r="U189" s="1056">
        <v>0</v>
      </c>
      <c r="V189" s="1056">
        <v>0</v>
      </c>
      <c r="W189" s="1056">
        <f t="shared" si="131"/>
        <v>0</v>
      </c>
      <c r="X189" s="1056">
        <f t="shared" si="131"/>
        <v>0</v>
      </c>
      <c r="Y189" s="1056">
        <f t="shared" si="131"/>
        <v>0</v>
      </c>
      <c r="Z189" s="1056">
        <f t="shared" si="131"/>
        <v>285246.71999999997</v>
      </c>
      <c r="AA189" s="1056">
        <f t="shared" si="131"/>
        <v>0</v>
      </c>
    </row>
    <row r="190" spans="1:27" s="1069" customFormat="1" ht="96" customHeight="1">
      <c r="A190" s="1121">
        <v>137</v>
      </c>
      <c r="B190" s="1062" t="s">
        <v>1210</v>
      </c>
      <c r="C190" s="1056">
        <f>D190+N190+P190+R190+T190+X190+Z190</f>
        <v>3927134.26</v>
      </c>
      <c r="D190" s="1056">
        <f t="shared" ref="D190" si="132">SUM(E190:J190)</f>
        <v>0</v>
      </c>
      <c r="E190" s="1056">
        <v>0</v>
      </c>
      <c r="F190" s="1056">
        <v>0</v>
      </c>
      <c r="G190" s="1056">
        <v>0</v>
      </c>
      <c r="H190" s="1056">
        <v>0</v>
      </c>
      <c r="I190" s="1056">
        <v>0</v>
      </c>
      <c r="J190" s="1056">
        <v>0</v>
      </c>
      <c r="K190" s="1063">
        <v>0</v>
      </c>
      <c r="L190" s="1056">
        <v>0</v>
      </c>
      <c r="M190" s="1063">
        <v>0</v>
      </c>
      <c r="N190" s="1056">
        <v>0</v>
      </c>
      <c r="O190" s="1056">
        <v>492.28</v>
      </c>
      <c r="P190" s="1056">
        <v>3641887.54</v>
      </c>
      <c r="Q190" s="1056">
        <v>0</v>
      </c>
      <c r="R190" s="1056">
        <v>0</v>
      </c>
      <c r="S190" s="1056">
        <v>0</v>
      </c>
      <c r="T190" s="1056">
        <v>0</v>
      </c>
      <c r="U190" s="1056">
        <v>0</v>
      </c>
      <c r="V190" s="1056">
        <v>0</v>
      </c>
      <c r="W190" s="1056">
        <v>0</v>
      </c>
      <c r="X190" s="1056">
        <v>0</v>
      </c>
      <c r="Y190" s="1056">
        <v>0</v>
      </c>
      <c r="Z190" s="1056">
        <v>285246.71999999997</v>
      </c>
      <c r="AA190" s="1056">
        <v>0</v>
      </c>
    </row>
    <row r="191" spans="1:27" s="1069" customFormat="1" ht="94.9" customHeight="1">
      <c r="A191" s="1121"/>
      <c r="B191" s="1062" t="s">
        <v>1117</v>
      </c>
      <c r="C191" s="1056">
        <f>C192</f>
        <v>9677432.0499999989</v>
      </c>
      <c r="D191" s="1056">
        <f t="shared" ref="D191:AA191" si="133">D192</f>
        <v>0</v>
      </c>
      <c r="E191" s="1056">
        <f t="shared" si="133"/>
        <v>0</v>
      </c>
      <c r="F191" s="1056">
        <f t="shared" si="133"/>
        <v>0</v>
      </c>
      <c r="G191" s="1056">
        <f t="shared" si="133"/>
        <v>0</v>
      </c>
      <c r="H191" s="1056">
        <f t="shared" si="133"/>
        <v>0</v>
      </c>
      <c r="I191" s="1056">
        <f t="shared" si="133"/>
        <v>0</v>
      </c>
      <c r="J191" s="1056">
        <f t="shared" si="133"/>
        <v>0</v>
      </c>
      <c r="K191" s="1056">
        <f t="shared" si="133"/>
        <v>0</v>
      </c>
      <c r="L191" s="1056">
        <f t="shared" si="133"/>
        <v>0</v>
      </c>
      <c r="M191" s="1056">
        <f t="shared" si="133"/>
        <v>0</v>
      </c>
      <c r="N191" s="1056">
        <f t="shared" si="133"/>
        <v>0</v>
      </c>
      <c r="O191" s="1056">
        <f t="shared" si="133"/>
        <v>1823.3</v>
      </c>
      <c r="P191" s="1056">
        <f t="shared" si="133"/>
        <v>8974513.4299999997</v>
      </c>
      <c r="Q191" s="1056">
        <f t="shared" si="133"/>
        <v>0</v>
      </c>
      <c r="R191" s="1056">
        <f t="shared" si="133"/>
        <v>0</v>
      </c>
      <c r="S191" s="1056">
        <f t="shared" si="133"/>
        <v>0</v>
      </c>
      <c r="T191" s="1056">
        <f t="shared" si="133"/>
        <v>0</v>
      </c>
      <c r="U191" s="1056">
        <f t="shared" si="133"/>
        <v>0</v>
      </c>
      <c r="V191" s="1056">
        <f t="shared" si="133"/>
        <v>0</v>
      </c>
      <c r="W191" s="1056">
        <f t="shared" si="133"/>
        <v>0</v>
      </c>
      <c r="X191" s="1056">
        <f t="shared" si="133"/>
        <v>0</v>
      </c>
      <c r="Y191" s="1056">
        <f t="shared" si="133"/>
        <v>0</v>
      </c>
      <c r="Z191" s="1056">
        <f t="shared" si="133"/>
        <v>702918.62</v>
      </c>
      <c r="AA191" s="1056">
        <f t="shared" si="133"/>
        <v>0</v>
      </c>
    </row>
    <row r="192" spans="1:27" s="1069" customFormat="1" ht="90" customHeight="1">
      <c r="A192" s="1121">
        <v>138</v>
      </c>
      <c r="B192" s="1062" t="s">
        <v>1359</v>
      </c>
      <c r="C192" s="1056">
        <f>D192+N192+P192+R192+T192+X192+Z192</f>
        <v>9677432.0499999989</v>
      </c>
      <c r="D192" s="1056">
        <f t="shared" ref="D192" si="134">SUM(E192:J192)</f>
        <v>0</v>
      </c>
      <c r="E192" s="1056">
        <v>0</v>
      </c>
      <c r="F192" s="1056">
        <v>0</v>
      </c>
      <c r="G192" s="1056">
        <v>0</v>
      </c>
      <c r="H192" s="1056">
        <v>0</v>
      </c>
      <c r="I192" s="1056">
        <v>0</v>
      </c>
      <c r="J192" s="1056">
        <v>0</v>
      </c>
      <c r="K192" s="1063">
        <v>0</v>
      </c>
      <c r="L192" s="1056">
        <v>0</v>
      </c>
      <c r="M192" s="1063">
        <v>0</v>
      </c>
      <c r="N192" s="1056">
        <v>0</v>
      </c>
      <c r="O192" s="1056">
        <v>1823.3</v>
      </c>
      <c r="P192" s="1056">
        <v>8974513.4299999997</v>
      </c>
      <c r="Q192" s="1056">
        <v>0</v>
      </c>
      <c r="R192" s="1056">
        <v>0</v>
      </c>
      <c r="S192" s="1056">
        <v>0</v>
      </c>
      <c r="T192" s="1056">
        <v>0</v>
      </c>
      <c r="U192" s="1056">
        <v>0</v>
      </c>
      <c r="V192" s="1056">
        <v>0</v>
      </c>
      <c r="W192" s="1056">
        <v>0</v>
      </c>
      <c r="X192" s="1056">
        <v>0</v>
      </c>
      <c r="Y192" s="1056">
        <v>0</v>
      </c>
      <c r="Z192" s="1056">
        <v>702918.62</v>
      </c>
      <c r="AA192" s="1056">
        <v>0</v>
      </c>
    </row>
    <row r="193" spans="1:27" s="1064" customFormat="1" ht="78.599999999999994" customHeight="1">
      <c r="A193" s="1121"/>
      <c r="B193" s="1062" t="s">
        <v>66</v>
      </c>
      <c r="C193" s="1056">
        <f>C194</f>
        <v>8284127.5899999999</v>
      </c>
      <c r="D193" s="1056">
        <f t="shared" ref="D193:AA194" si="135">D194</f>
        <v>0</v>
      </c>
      <c r="E193" s="1056">
        <f t="shared" si="135"/>
        <v>0</v>
      </c>
      <c r="F193" s="1056">
        <f t="shared" si="135"/>
        <v>0</v>
      </c>
      <c r="G193" s="1056">
        <f t="shared" si="135"/>
        <v>0</v>
      </c>
      <c r="H193" s="1056">
        <f t="shared" si="135"/>
        <v>0</v>
      </c>
      <c r="I193" s="1056">
        <f t="shared" si="135"/>
        <v>0</v>
      </c>
      <c r="J193" s="1056">
        <f t="shared" si="135"/>
        <v>0</v>
      </c>
      <c r="K193" s="1063">
        <v>0</v>
      </c>
      <c r="L193" s="1056">
        <v>0</v>
      </c>
      <c r="M193" s="1063">
        <v>0</v>
      </c>
      <c r="N193" s="1056">
        <f t="shared" si="135"/>
        <v>0</v>
      </c>
      <c r="O193" s="1056">
        <f t="shared" si="135"/>
        <v>625.17999999999995</v>
      </c>
      <c r="P193" s="1056">
        <f t="shared" si="135"/>
        <v>5315363.88</v>
      </c>
      <c r="Q193" s="1056">
        <f t="shared" si="135"/>
        <v>0</v>
      </c>
      <c r="R193" s="1056">
        <f t="shared" si="135"/>
        <v>0</v>
      </c>
      <c r="S193" s="1056">
        <f t="shared" si="135"/>
        <v>599.6</v>
      </c>
      <c r="T193" s="1056">
        <f t="shared" si="135"/>
        <v>2367047.52</v>
      </c>
      <c r="U193" s="1056">
        <v>0</v>
      </c>
      <c r="V193" s="1056">
        <v>0</v>
      </c>
      <c r="W193" s="1056">
        <f t="shared" si="135"/>
        <v>0</v>
      </c>
      <c r="X193" s="1056">
        <f t="shared" si="135"/>
        <v>0</v>
      </c>
      <c r="Y193" s="1056">
        <v>0</v>
      </c>
      <c r="Z193" s="1056">
        <f t="shared" si="135"/>
        <v>601716.18999999994</v>
      </c>
      <c r="AA193" s="1056">
        <f t="shared" si="135"/>
        <v>0</v>
      </c>
    </row>
    <row r="194" spans="1:27" s="1075" customFormat="1" ht="127.9" customHeight="1">
      <c r="A194" s="1121"/>
      <c r="B194" s="1062" t="s">
        <v>1035</v>
      </c>
      <c r="C194" s="1056">
        <f>C195</f>
        <v>8284127.5899999999</v>
      </c>
      <c r="D194" s="1056">
        <f t="shared" si="135"/>
        <v>0</v>
      </c>
      <c r="E194" s="1056">
        <f t="shared" si="135"/>
        <v>0</v>
      </c>
      <c r="F194" s="1056">
        <f t="shared" si="135"/>
        <v>0</v>
      </c>
      <c r="G194" s="1056">
        <f t="shared" si="135"/>
        <v>0</v>
      </c>
      <c r="H194" s="1056">
        <f t="shared" si="135"/>
        <v>0</v>
      </c>
      <c r="I194" s="1056">
        <f t="shared" si="135"/>
        <v>0</v>
      </c>
      <c r="J194" s="1056">
        <f t="shared" si="135"/>
        <v>0</v>
      </c>
      <c r="K194" s="1056">
        <f t="shared" si="135"/>
        <v>0</v>
      </c>
      <c r="L194" s="1056">
        <f t="shared" si="135"/>
        <v>0</v>
      </c>
      <c r="M194" s="1056">
        <f t="shared" si="135"/>
        <v>0</v>
      </c>
      <c r="N194" s="1056">
        <f t="shared" si="135"/>
        <v>0</v>
      </c>
      <c r="O194" s="1056">
        <f t="shared" si="135"/>
        <v>625.17999999999995</v>
      </c>
      <c r="P194" s="1056">
        <f t="shared" si="135"/>
        <v>5315363.88</v>
      </c>
      <c r="Q194" s="1056">
        <f t="shared" si="135"/>
        <v>0</v>
      </c>
      <c r="R194" s="1056">
        <f t="shared" si="135"/>
        <v>0</v>
      </c>
      <c r="S194" s="1056">
        <f t="shared" si="135"/>
        <v>599.6</v>
      </c>
      <c r="T194" s="1056">
        <f t="shared" si="135"/>
        <v>2367047.52</v>
      </c>
      <c r="U194" s="1056">
        <f t="shared" si="135"/>
        <v>0</v>
      </c>
      <c r="V194" s="1056">
        <f t="shared" si="135"/>
        <v>0</v>
      </c>
      <c r="W194" s="1056">
        <f t="shared" si="135"/>
        <v>0</v>
      </c>
      <c r="X194" s="1056">
        <f t="shared" si="135"/>
        <v>0</v>
      </c>
      <c r="Y194" s="1056">
        <f t="shared" si="135"/>
        <v>0</v>
      </c>
      <c r="Z194" s="1056">
        <f t="shared" si="135"/>
        <v>601716.18999999994</v>
      </c>
      <c r="AA194" s="1056">
        <f t="shared" si="135"/>
        <v>0</v>
      </c>
    </row>
    <row r="195" spans="1:27" s="1075" customFormat="1" ht="96.75" customHeight="1">
      <c r="A195" s="1121">
        <v>139</v>
      </c>
      <c r="B195" s="1062" t="s">
        <v>1507</v>
      </c>
      <c r="C195" s="1056">
        <f>D195+N195+P195+R195+T195+X195+Z195</f>
        <v>8284127.5899999999</v>
      </c>
      <c r="D195" s="1056">
        <f>SUM(E195:J195)</f>
        <v>0</v>
      </c>
      <c r="E195" s="1056">
        <v>0</v>
      </c>
      <c r="F195" s="1056">
        <v>0</v>
      </c>
      <c r="G195" s="1056">
        <v>0</v>
      </c>
      <c r="H195" s="1056">
        <v>0</v>
      </c>
      <c r="I195" s="1056">
        <v>0</v>
      </c>
      <c r="J195" s="1056">
        <v>0</v>
      </c>
      <c r="K195" s="1063">
        <v>0</v>
      </c>
      <c r="L195" s="1056">
        <v>0</v>
      </c>
      <c r="M195" s="1063">
        <v>0</v>
      </c>
      <c r="N195" s="1056">
        <v>0</v>
      </c>
      <c r="O195" s="1056">
        <v>625.17999999999995</v>
      </c>
      <c r="P195" s="1056">
        <v>5315363.88</v>
      </c>
      <c r="Q195" s="1056">
        <v>0</v>
      </c>
      <c r="R195" s="1056">
        <v>0</v>
      </c>
      <c r="S195" s="1056">
        <v>599.6</v>
      </c>
      <c r="T195" s="1056">
        <v>2367047.52</v>
      </c>
      <c r="U195" s="1056">
        <v>0</v>
      </c>
      <c r="V195" s="1056">
        <v>0</v>
      </c>
      <c r="W195" s="1056">
        <v>0</v>
      </c>
      <c r="X195" s="1056">
        <v>0</v>
      </c>
      <c r="Y195" s="1056">
        <v>0</v>
      </c>
      <c r="Z195" s="1056">
        <v>601716.18999999994</v>
      </c>
      <c r="AA195" s="1056">
        <v>0</v>
      </c>
    </row>
    <row r="196" spans="1:27" s="1075" customFormat="1" ht="125.45" customHeight="1">
      <c r="A196" s="1121"/>
      <c r="B196" s="1062" t="s">
        <v>1053</v>
      </c>
      <c r="C196" s="1068">
        <f t="shared" ref="C196:T196" si="136">SUM(C197:C199)</f>
        <v>14503389.620000001</v>
      </c>
      <c r="D196" s="1068">
        <f t="shared" si="136"/>
        <v>0</v>
      </c>
      <c r="E196" s="1068">
        <f t="shared" si="136"/>
        <v>0</v>
      </c>
      <c r="F196" s="1068">
        <f t="shared" si="136"/>
        <v>0</v>
      </c>
      <c r="G196" s="1068">
        <f t="shared" si="136"/>
        <v>0</v>
      </c>
      <c r="H196" s="1068">
        <f t="shared" si="136"/>
        <v>0</v>
      </c>
      <c r="I196" s="1068">
        <f t="shared" si="136"/>
        <v>0</v>
      </c>
      <c r="J196" s="1068">
        <f t="shared" si="136"/>
        <v>0</v>
      </c>
      <c r="K196" s="1063">
        <f t="shared" si="136"/>
        <v>0</v>
      </c>
      <c r="L196" s="1068">
        <f t="shared" si="136"/>
        <v>0</v>
      </c>
      <c r="M196" s="1063">
        <f t="shared" si="136"/>
        <v>1</v>
      </c>
      <c r="N196" s="1068">
        <f t="shared" si="136"/>
        <v>2838052.85</v>
      </c>
      <c r="O196" s="1068">
        <f t="shared" si="136"/>
        <v>1962.8</v>
      </c>
      <c r="P196" s="1068">
        <f t="shared" si="136"/>
        <v>10611885.550000001</v>
      </c>
      <c r="Q196" s="1068">
        <f t="shared" si="136"/>
        <v>0</v>
      </c>
      <c r="R196" s="1068">
        <f t="shared" si="136"/>
        <v>0</v>
      </c>
      <c r="S196" s="1068">
        <f t="shared" si="136"/>
        <v>0</v>
      </c>
      <c r="T196" s="1068">
        <f t="shared" si="136"/>
        <v>0</v>
      </c>
      <c r="U196" s="1056">
        <v>0</v>
      </c>
      <c r="V196" s="1056">
        <v>0</v>
      </c>
      <c r="W196" s="1068">
        <f>SUM(W197:W199)</f>
        <v>0</v>
      </c>
      <c r="X196" s="1068">
        <f>SUM(X197:X199)</f>
        <v>0</v>
      </c>
      <c r="Y196" s="1056">
        <v>0</v>
      </c>
      <c r="Z196" s="1068">
        <f>SUM(Z197:Z199)</f>
        <v>1053451.2200000002</v>
      </c>
      <c r="AA196" s="1068">
        <f>SUM(AA197:AA199)</f>
        <v>0</v>
      </c>
    </row>
    <row r="197" spans="1:27" s="1075" customFormat="1" ht="92.45" customHeight="1">
      <c r="A197" s="1121">
        <v>140</v>
      </c>
      <c r="B197" s="1245" t="s">
        <v>1683</v>
      </c>
      <c r="C197" s="1056">
        <f>D197+N197+P197+R197+T197+X197+Z197</f>
        <v>3762059.91</v>
      </c>
      <c r="D197" s="1056">
        <f>SUM(E197:J197)</f>
        <v>0</v>
      </c>
      <c r="E197" s="1068">
        <v>0</v>
      </c>
      <c r="F197" s="1068">
        <v>0</v>
      </c>
      <c r="G197" s="1068">
        <v>0</v>
      </c>
      <c r="H197" s="1068">
        <v>0</v>
      </c>
      <c r="I197" s="1068">
        <v>0</v>
      </c>
      <c r="J197" s="1068">
        <v>0</v>
      </c>
      <c r="K197" s="1063">
        <v>0</v>
      </c>
      <c r="L197" s="1068">
        <v>0</v>
      </c>
      <c r="M197" s="1063">
        <v>0</v>
      </c>
      <c r="N197" s="1068">
        <v>0</v>
      </c>
      <c r="O197" s="1068">
        <v>708.8</v>
      </c>
      <c r="P197" s="1068">
        <v>3488803.33</v>
      </c>
      <c r="Q197" s="1068">
        <v>0</v>
      </c>
      <c r="R197" s="1068">
        <v>0</v>
      </c>
      <c r="S197" s="1068">
        <v>0</v>
      </c>
      <c r="T197" s="1068">
        <v>0</v>
      </c>
      <c r="U197" s="1056">
        <v>0</v>
      </c>
      <c r="V197" s="1056">
        <v>0</v>
      </c>
      <c r="W197" s="1068">
        <v>0</v>
      </c>
      <c r="X197" s="1068">
        <v>0</v>
      </c>
      <c r="Y197" s="1056">
        <v>0</v>
      </c>
      <c r="Z197" s="1257">
        <v>273256.58</v>
      </c>
      <c r="AA197" s="1068">
        <v>0</v>
      </c>
    </row>
    <row r="198" spans="1:27" s="1075" customFormat="1" ht="86.45" customHeight="1">
      <c r="A198" s="1121">
        <v>141</v>
      </c>
      <c r="B198" s="1245" t="s">
        <v>1684</v>
      </c>
      <c r="C198" s="1056">
        <f t="shared" ref="C198:C199" si="137">D198+N198+P198+R198+T198+X198+Z198</f>
        <v>3063337.04</v>
      </c>
      <c r="D198" s="1056">
        <f t="shared" ref="D198:D199" si="138">SUM(E198:J198)</f>
        <v>0</v>
      </c>
      <c r="E198" s="1068">
        <v>0</v>
      </c>
      <c r="F198" s="1068">
        <v>0</v>
      </c>
      <c r="G198" s="1068">
        <v>0</v>
      </c>
      <c r="H198" s="1068">
        <v>0</v>
      </c>
      <c r="I198" s="1068">
        <v>0</v>
      </c>
      <c r="J198" s="1068">
        <v>0</v>
      </c>
      <c r="K198" s="1063">
        <v>0</v>
      </c>
      <c r="L198" s="1068">
        <v>0</v>
      </c>
      <c r="M198" s="1063">
        <v>0</v>
      </c>
      <c r="N198" s="1068">
        <v>0</v>
      </c>
      <c r="O198" s="1068">
        <v>384</v>
      </c>
      <c r="P198" s="1068">
        <v>2840832.08</v>
      </c>
      <c r="Q198" s="1068">
        <v>0</v>
      </c>
      <c r="R198" s="1068">
        <v>0</v>
      </c>
      <c r="S198" s="1068">
        <v>0</v>
      </c>
      <c r="T198" s="1068">
        <v>0</v>
      </c>
      <c r="U198" s="1056">
        <v>0</v>
      </c>
      <c r="V198" s="1056">
        <v>0</v>
      </c>
      <c r="W198" s="1068">
        <v>0</v>
      </c>
      <c r="X198" s="1068">
        <v>0</v>
      </c>
      <c r="Y198" s="1056">
        <v>0</v>
      </c>
      <c r="Z198" s="1257">
        <v>222504.95999999999</v>
      </c>
      <c r="AA198" s="1068">
        <v>0</v>
      </c>
    </row>
    <row r="199" spans="1:27" s="1075" customFormat="1" ht="99" customHeight="1">
      <c r="A199" s="1121">
        <v>142</v>
      </c>
      <c r="B199" s="1245" t="s">
        <v>428</v>
      </c>
      <c r="C199" s="1056">
        <f t="shared" si="137"/>
        <v>7677992.6699999999</v>
      </c>
      <c r="D199" s="1056">
        <f t="shared" si="138"/>
        <v>0</v>
      </c>
      <c r="E199" s="1068">
        <v>0</v>
      </c>
      <c r="F199" s="1068">
        <v>0</v>
      </c>
      <c r="G199" s="1068">
        <v>0</v>
      </c>
      <c r="H199" s="1068">
        <v>0</v>
      </c>
      <c r="I199" s="1068">
        <v>0</v>
      </c>
      <c r="J199" s="1068">
        <v>0</v>
      </c>
      <c r="K199" s="1063">
        <v>0</v>
      </c>
      <c r="L199" s="1068">
        <v>0</v>
      </c>
      <c r="M199" s="1063">
        <v>1</v>
      </c>
      <c r="N199" s="1068">
        <v>2838052.85</v>
      </c>
      <c r="O199" s="1068">
        <v>870</v>
      </c>
      <c r="P199" s="1068">
        <v>4282250.1399999997</v>
      </c>
      <c r="Q199" s="1068">
        <v>0</v>
      </c>
      <c r="R199" s="1068">
        <v>0</v>
      </c>
      <c r="S199" s="1068">
        <v>0</v>
      </c>
      <c r="T199" s="1068">
        <v>0</v>
      </c>
      <c r="U199" s="1056">
        <v>0</v>
      </c>
      <c r="V199" s="1056">
        <v>0</v>
      </c>
      <c r="W199" s="1068">
        <v>0</v>
      </c>
      <c r="X199" s="1068">
        <v>0</v>
      </c>
      <c r="Y199" s="1056">
        <v>0</v>
      </c>
      <c r="Z199" s="1257">
        <v>557689.68000000005</v>
      </c>
      <c r="AA199" s="1068">
        <v>0</v>
      </c>
    </row>
    <row r="200" spans="1:27" s="1075" customFormat="1" ht="79.900000000000006" customHeight="1">
      <c r="A200" s="1449" t="s">
        <v>1339</v>
      </c>
      <c r="B200" s="1449"/>
      <c r="C200" s="1449"/>
      <c r="D200" s="1449"/>
      <c r="E200" s="1449"/>
      <c r="F200" s="1449"/>
      <c r="G200" s="1449"/>
      <c r="H200" s="1449"/>
      <c r="I200" s="1449"/>
      <c r="J200" s="1449"/>
      <c r="K200" s="1449"/>
      <c r="L200" s="1449"/>
      <c r="M200" s="1449"/>
      <c r="N200" s="1449"/>
      <c r="O200" s="1449"/>
      <c r="P200" s="1449"/>
      <c r="Q200" s="1449"/>
      <c r="R200" s="1449"/>
      <c r="S200" s="1449"/>
      <c r="T200" s="1449"/>
      <c r="U200" s="1449"/>
      <c r="V200" s="1449"/>
      <c r="W200" s="1449"/>
      <c r="X200" s="1449"/>
      <c r="Y200" s="1449"/>
      <c r="Z200" s="1449"/>
      <c r="AA200" s="1449"/>
    </row>
    <row r="201" spans="1:27" s="1075" customFormat="1" ht="86.45" customHeight="1">
      <c r="A201" s="1121"/>
      <c r="B201" s="1062" t="s">
        <v>42</v>
      </c>
      <c r="C201" s="1056">
        <f>C202+C224+C233+C241+C244+C250+C252+C257+C260+C263+C265+C267+C272+C278+C284+C288+C299+C307+C312+C317+C319+C321+C325+C309+C247+C305</f>
        <v>626456376.27999985</v>
      </c>
      <c r="D201" s="1056">
        <f t="shared" ref="D201:AA201" si="139">D202+D224+D233+D241+D244+D250+D252+D257+D260+D263+D265+D267+D272+D278+D284+D288+D299+D307+D312+D317+D319+D321+D325+D309+D247+D305</f>
        <v>122578116.93000001</v>
      </c>
      <c r="E201" s="1056">
        <f t="shared" si="139"/>
        <v>21522707.919999998</v>
      </c>
      <c r="F201" s="1056">
        <f t="shared" si="139"/>
        <v>37270671.480000004</v>
      </c>
      <c r="G201" s="1056">
        <f t="shared" si="139"/>
        <v>4353712.8099999996</v>
      </c>
      <c r="H201" s="1056">
        <f t="shared" si="139"/>
        <v>22254108.859999999</v>
      </c>
      <c r="I201" s="1056">
        <f t="shared" si="139"/>
        <v>23419723.179999996</v>
      </c>
      <c r="J201" s="1056">
        <f t="shared" si="139"/>
        <v>13757192.68</v>
      </c>
      <c r="K201" s="1056">
        <f t="shared" si="139"/>
        <v>9</v>
      </c>
      <c r="L201" s="1056">
        <f t="shared" si="139"/>
        <v>1942161</v>
      </c>
      <c r="M201" s="1056">
        <f t="shared" si="139"/>
        <v>10</v>
      </c>
      <c r="N201" s="1056">
        <f t="shared" si="139"/>
        <v>32430647.079999998</v>
      </c>
      <c r="O201" s="1056">
        <f t="shared" si="139"/>
        <v>45839.789999999994</v>
      </c>
      <c r="P201" s="1056">
        <f t="shared" si="139"/>
        <v>323716575.92999995</v>
      </c>
      <c r="Q201" s="1056">
        <f t="shared" si="139"/>
        <v>0</v>
      </c>
      <c r="R201" s="1056">
        <f t="shared" si="139"/>
        <v>0</v>
      </c>
      <c r="S201" s="1056">
        <f t="shared" si="139"/>
        <v>17094.5</v>
      </c>
      <c r="T201" s="1056">
        <f t="shared" si="139"/>
        <v>71445425.339999989</v>
      </c>
      <c r="U201" s="1056">
        <f t="shared" si="139"/>
        <v>405</v>
      </c>
      <c r="V201" s="1056">
        <f t="shared" si="139"/>
        <v>1934306.89</v>
      </c>
      <c r="W201" s="1056">
        <f t="shared" si="139"/>
        <v>15.5</v>
      </c>
      <c r="X201" s="1056">
        <f t="shared" si="139"/>
        <v>132000</v>
      </c>
      <c r="Y201" s="1056">
        <f t="shared" si="139"/>
        <v>0</v>
      </c>
      <c r="Z201" s="1056">
        <f t="shared" si="139"/>
        <v>44623615.889999993</v>
      </c>
      <c r="AA201" s="1056">
        <f t="shared" si="139"/>
        <v>0</v>
      </c>
    </row>
    <row r="202" spans="1:27" s="1075" customFormat="1" ht="98.45" customHeight="1">
      <c r="A202" s="1121"/>
      <c r="B202" s="1055" t="s">
        <v>1036</v>
      </c>
      <c r="C202" s="1056">
        <f t="shared" ref="C202:T202" si="140">SUM(C203:C223)</f>
        <v>223177973.08999994</v>
      </c>
      <c r="D202" s="1056">
        <f t="shared" si="140"/>
        <v>110209536.34</v>
      </c>
      <c r="E202" s="1056">
        <f t="shared" si="140"/>
        <v>15401977.609999999</v>
      </c>
      <c r="F202" s="1056">
        <f t="shared" si="140"/>
        <v>37270671.480000004</v>
      </c>
      <c r="G202" s="1056">
        <f t="shared" si="140"/>
        <v>4353712.8099999996</v>
      </c>
      <c r="H202" s="1056">
        <f t="shared" si="140"/>
        <v>21832374.939999998</v>
      </c>
      <c r="I202" s="1056">
        <f t="shared" si="140"/>
        <v>21832374.939999998</v>
      </c>
      <c r="J202" s="1056">
        <f t="shared" si="140"/>
        <v>9518424.5600000005</v>
      </c>
      <c r="K202" s="1056">
        <f t="shared" si="140"/>
        <v>9</v>
      </c>
      <c r="L202" s="1056">
        <f t="shared" si="140"/>
        <v>1942161</v>
      </c>
      <c r="M202" s="1056">
        <f t="shared" si="140"/>
        <v>2</v>
      </c>
      <c r="N202" s="1056">
        <f t="shared" si="140"/>
        <v>8568291.7200000007</v>
      </c>
      <c r="O202" s="1056">
        <f t="shared" si="140"/>
        <v>2838.3199999999997</v>
      </c>
      <c r="P202" s="1056">
        <f t="shared" si="140"/>
        <v>25360977.300000001</v>
      </c>
      <c r="Q202" s="1056">
        <f t="shared" si="140"/>
        <v>0</v>
      </c>
      <c r="R202" s="1056">
        <f t="shared" si="140"/>
        <v>0</v>
      </c>
      <c r="S202" s="1056">
        <f t="shared" si="140"/>
        <v>11229.139999999998</v>
      </c>
      <c r="T202" s="1056">
        <f t="shared" si="140"/>
        <v>46588879.899999999</v>
      </c>
      <c r="U202" s="1056">
        <v>0</v>
      </c>
      <c r="V202" s="1056">
        <v>0</v>
      </c>
      <c r="W202" s="1056">
        <f>SUM(W203:W223)</f>
        <v>0</v>
      </c>
      <c r="X202" s="1056">
        <f>SUM(X203:X223)</f>
        <v>0</v>
      </c>
      <c r="Y202" s="1056">
        <f>SUM(Y203:Y223)</f>
        <v>0</v>
      </c>
      <c r="Z202" s="1056">
        <f>SUM(Z203:Z223)</f>
        <v>16210494.449999996</v>
      </c>
      <c r="AA202" s="1056">
        <f>SUM(AA203:AA223)</f>
        <v>0</v>
      </c>
    </row>
    <row r="203" spans="1:27" s="1075" customFormat="1" ht="107.25" customHeight="1">
      <c r="A203" s="1121">
        <v>1</v>
      </c>
      <c r="B203" s="1233" t="s">
        <v>1777</v>
      </c>
      <c r="C203" s="1068">
        <f>D203+L203+N203+P203+R203+T203+V203+X203+Z203</f>
        <v>33500342.280000001</v>
      </c>
      <c r="D203" s="1068">
        <f>E203+F203+G203+H203+I203+J203</f>
        <v>17576598.040000003</v>
      </c>
      <c r="E203" s="1258">
        <v>1980305.23</v>
      </c>
      <c r="F203" s="1258">
        <f>5270231.16+1051566</f>
        <v>6321797.1600000001</v>
      </c>
      <c r="G203" s="1258">
        <v>1535827.91</v>
      </c>
      <c r="H203" s="1258">
        <v>3176822.32</v>
      </c>
      <c r="I203" s="1258">
        <v>3176822.32</v>
      </c>
      <c r="J203" s="1258">
        <v>1385023.1</v>
      </c>
      <c r="K203" s="1259">
        <v>3</v>
      </c>
      <c r="L203" s="1258">
        <f>365937+86309+195141</f>
        <v>647387</v>
      </c>
      <c r="M203" s="1260">
        <v>0</v>
      </c>
      <c r="N203" s="1261">
        <v>0</v>
      </c>
      <c r="O203" s="1261">
        <v>0</v>
      </c>
      <c r="P203" s="1261">
        <v>0</v>
      </c>
      <c r="Q203" s="1261">
        <v>0</v>
      </c>
      <c r="R203" s="1261">
        <v>0</v>
      </c>
      <c r="S203" s="1261">
        <v>1439</v>
      </c>
      <c r="T203" s="1261">
        <v>5970305.6699999999</v>
      </c>
      <c r="U203" s="1258">
        <v>1439</v>
      </c>
      <c r="V203" s="1258">
        <v>6872759.5499999998</v>
      </c>
      <c r="W203" s="1101">
        <v>0</v>
      </c>
      <c r="X203" s="1101">
        <v>0</v>
      </c>
      <c r="Y203" s="1101">
        <v>0</v>
      </c>
      <c r="Z203" s="1101">
        <v>2433292.02</v>
      </c>
      <c r="AA203" s="1068">
        <v>0</v>
      </c>
    </row>
    <row r="204" spans="1:27" s="1075" customFormat="1" ht="107.25" customHeight="1">
      <c r="A204" s="1121">
        <v>2</v>
      </c>
      <c r="B204" s="1233" t="s">
        <v>1776</v>
      </c>
      <c r="C204" s="1068">
        <f t="shared" ref="C204:C223" si="141">D204+L204+N204+P204+R204+T204+V204+X204+Z204</f>
        <v>29734760.809999995</v>
      </c>
      <c r="D204" s="1068">
        <f t="shared" ref="D204:D223" si="142">SUM(E204:J204)</f>
        <v>27574981.559999995</v>
      </c>
      <c r="E204" s="1262">
        <v>3643080.7</v>
      </c>
      <c r="F204" s="1262">
        <v>9695413.1600000001</v>
      </c>
      <c r="G204" s="1100">
        <v>0</v>
      </c>
      <c r="H204" s="1262">
        <v>5844260.7199999997</v>
      </c>
      <c r="I204" s="1262">
        <v>5844260.7199999997</v>
      </c>
      <c r="J204" s="1262">
        <v>2547966.2599999998</v>
      </c>
      <c r="K204" s="1103">
        <v>0</v>
      </c>
      <c r="L204" s="1100">
        <v>0</v>
      </c>
      <c r="M204" s="1263">
        <v>0</v>
      </c>
      <c r="N204" s="1100">
        <v>0</v>
      </c>
      <c r="O204" s="1100">
        <v>0</v>
      </c>
      <c r="P204" s="1100">
        <v>0</v>
      </c>
      <c r="Q204" s="1100">
        <v>0</v>
      </c>
      <c r="R204" s="1100">
        <v>0</v>
      </c>
      <c r="S204" s="1101">
        <v>0</v>
      </c>
      <c r="T204" s="1101">
        <v>0</v>
      </c>
      <c r="U204" s="1100">
        <v>0</v>
      </c>
      <c r="V204" s="1100">
        <v>0</v>
      </c>
      <c r="W204" s="1100">
        <v>0</v>
      </c>
      <c r="X204" s="1100">
        <v>0</v>
      </c>
      <c r="Y204" s="1100">
        <v>0</v>
      </c>
      <c r="Z204" s="1100">
        <v>2159779.25</v>
      </c>
      <c r="AA204" s="1068">
        <v>0</v>
      </c>
    </row>
    <row r="205" spans="1:27" s="1075" customFormat="1" ht="107.25" customHeight="1">
      <c r="A205" s="1121">
        <v>3</v>
      </c>
      <c r="B205" s="1233" t="s">
        <v>1794</v>
      </c>
      <c r="C205" s="1068">
        <f t="shared" si="141"/>
        <v>9239393.4800000004</v>
      </c>
      <c r="D205" s="1068">
        <f t="shared" si="142"/>
        <v>0</v>
      </c>
      <c r="E205" s="1100">
        <v>0</v>
      </c>
      <c r="F205" s="1100">
        <v>0</v>
      </c>
      <c r="G205" s="1100">
        <v>0</v>
      </c>
      <c r="H205" s="1100">
        <v>0</v>
      </c>
      <c r="I205" s="1100">
        <v>0</v>
      </c>
      <c r="J205" s="1100">
        <v>0</v>
      </c>
      <c r="K205" s="1103">
        <v>0</v>
      </c>
      <c r="L205" s="1100">
        <v>0</v>
      </c>
      <c r="M205" s="1263">
        <v>2</v>
      </c>
      <c r="N205" s="1262">
        <v>8568291.7200000007</v>
      </c>
      <c r="O205" s="1100">
        <v>0</v>
      </c>
      <c r="P205" s="1100">
        <v>0</v>
      </c>
      <c r="Q205" s="1100">
        <v>0</v>
      </c>
      <c r="R205" s="1100">
        <v>0</v>
      </c>
      <c r="S205" s="1101">
        <v>0</v>
      </c>
      <c r="T205" s="1101">
        <v>0</v>
      </c>
      <c r="U205" s="1100">
        <v>0</v>
      </c>
      <c r="V205" s="1100">
        <v>0</v>
      </c>
      <c r="W205" s="1100">
        <v>0</v>
      </c>
      <c r="X205" s="1100">
        <v>0</v>
      </c>
      <c r="Y205" s="1100">
        <v>0</v>
      </c>
      <c r="Z205" s="1100">
        <v>671101.76</v>
      </c>
      <c r="AA205" s="1068">
        <v>0</v>
      </c>
    </row>
    <row r="206" spans="1:27" s="1064" customFormat="1" ht="107.25" customHeight="1">
      <c r="A206" s="1121">
        <v>4</v>
      </c>
      <c r="B206" s="1233" t="s">
        <v>1795</v>
      </c>
      <c r="C206" s="1068">
        <f t="shared" si="141"/>
        <v>16145744.640000001</v>
      </c>
      <c r="D206" s="1068">
        <f t="shared" si="142"/>
        <v>14973001.25</v>
      </c>
      <c r="E206" s="1262">
        <v>1978164.58</v>
      </c>
      <c r="F206" s="1262">
        <v>5264534.2</v>
      </c>
      <c r="G206" s="1100">
        <v>0</v>
      </c>
      <c r="H206" s="1262">
        <v>3173388.27</v>
      </c>
      <c r="I206" s="1262">
        <v>3173388.27</v>
      </c>
      <c r="J206" s="1262">
        <v>1383525.93</v>
      </c>
      <c r="K206" s="1103">
        <v>0</v>
      </c>
      <c r="L206" s="1100">
        <v>0</v>
      </c>
      <c r="M206" s="1263">
        <v>0</v>
      </c>
      <c r="N206" s="1100">
        <v>0</v>
      </c>
      <c r="O206" s="1100">
        <v>0</v>
      </c>
      <c r="P206" s="1100">
        <v>0</v>
      </c>
      <c r="Q206" s="1100">
        <v>0</v>
      </c>
      <c r="R206" s="1100">
        <v>0</v>
      </c>
      <c r="S206" s="1101">
        <v>0</v>
      </c>
      <c r="T206" s="1101">
        <v>0</v>
      </c>
      <c r="U206" s="1100">
        <v>0</v>
      </c>
      <c r="V206" s="1100">
        <v>0</v>
      </c>
      <c r="W206" s="1100">
        <v>0</v>
      </c>
      <c r="X206" s="1100">
        <v>0</v>
      </c>
      <c r="Y206" s="1100">
        <v>0</v>
      </c>
      <c r="Z206" s="1100">
        <v>1172743.3900000001</v>
      </c>
      <c r="AA206" s="1068">
        <v>0</v>
      </c>
    </row>
    <row r="207" spans="1:27" s="1064" customFormat="1" ht="107.25" customHeight="1">
      <c r="A207" s="1121">
        <v>5</v>
      </c>
      <c r="B207" s="1233" t="s">
        <v>1789</v>
      </c>
      <c r="C207" s="1068">
        <f t="shared" si="141"/>
        <v>5536872.379999999</v>
      </c>
      <c r="D207" s="1068">
        <f t="shared" si="142"/>
        <v>0</v>
      </c>
      <c r="E207" s="1100">
        <v>0</v>
      </c>
      <c r="F207" s="1100">
        <v>0</v>
      </c>
      <c r="G207" s="1100">
        <v>0</v>
      </c>
      <c r="H207" s="1100">
        <v>0</v>
      </c>
      <c r="I207" s="1100">
        <v>0</v>
      </c>
      <c r="J207" s="1100">
        <v>0</v>
      </c>
      <c r="K207" s="1103">
        <v>0</v>
      </c>
      <c r="L207" s="1100">
        <v>0</v>
      </c>
      <c r="M207" s="1263">
        <v>0</v>
      </c>
      <c r="N207" s="1100">
        <v>0</v>
      </c>
      <c r="O207" s="1262">
        <v>382.1</v>
      </c>
      <c r="P207" s="1262">
        <v>3414142.67</v>
      </c>
      <c r="Q207" s="1100">
        <v>0</v>
      </c>
      <c r="R207" s="1100">
        <v>0</v>
      </c>
      <c r="S207" s="1101">
        <v>414.7</v>
      </c>
      <c r="T207" s="1101">
        <v>1720559.94</v>
      </c>
      <c r="U207" s="1100">
        <v>0</v>
      </c>
      <c r="V207" s="1100">
        <v>0</v>
      </c>
      <c r="W207" s="1100">
        <v>0</v>
      </c>
      <c r="X207" s="1100">
        <v>0</v>
      </c>
      <c r="Y207" s="1100">
        <v>0</v>
      </c>
      <c r="Z207" s="1100">
        <v>402169.77</v>
      </c>
      <c r="AA207" s="1068">
        <v>0</v>
      </c>
    </row>
    <row r="208" spans="1:27" s="1064" customFormat="1" ht="107.25" customHeight="1">
      <c r="A208" s="1121">
        <v>6</v>
      </c>
      <c r="B208" s="1233" t="s">
        <v>1778</v>
      </c>
      <c r="C208" s="1068">
        <f t="shared" si="141"/>
        <v>4957673.88</v>
      </c>
      <c r="D208" s="1068">
        <f t="shared" si="142"/>
        <v>2807727.0700000003</v>
      </c>
      <c r="E208" s="1262">
        <v>370944.09</v>
      </c>
      <c r="F208" s="1262">
        <v>987201.89</v>
      </c>
      <c r="G208" s="1100">
        <v>0</v>
      </c>
      <c r="H208" s="1262">
        <v>595071.62</v>
      </c>
      <c r="I208" s="1262">
        <v>595071.62</v>
      </c>
      <c r="J208" s="1262">
        <v>259437.85</v>
      </c>
      <c r="K208" s="1103">
        <v>0</v>
      </c>
      <c r="L208" s="1100">
        <v>0</v>
      </c>
      <c r="M208" s="1263">
        <v>0</v>
      </c>
      <c r="N208" s="1100">
        <v>0</v>
      </c>
      <c r="O208" s="1100">
        <v>0</v>
      </c>
      <c r="P208" s="1100">
        <v>0</v>
      </c>
      <c r="Q208" s="1100">
        <v>0</v>
      </c>
      <c r="R208" s="1100">
        <v>0</v>
      </c>
      <c r="S208" s="1101">
        <v>431.4</v>
      </c>
      <c r="T208" s="1101">
        <v>1789847.02</v>
      </c>
      <c r="U208" s="1100">
        <v>0</v>
      </c>
      <c r="V208" s="1100">
        <v>0</v>
      </c>
      <c r="W208" s="1100">
        <v>0</v>
      </c>
      <c r="X208" s="1100">
        <v>0</v>
      </c>
      <c r="Y208" s="1100">
        <v>0</v>
      </c>
      <c r="Z208" s="1100">
        <v>360099.79</v>
      </c>
      <c r="AA208" s="1068">
        <v>0</v>
      </c>
    </row>
    <row r="209" spans="1:27" s="1064" customFormat="1" ht="107.25" customHeight="1">
      <c r="A209" s="1121">
        <v>7</v>
      </c>
      <c r="B209" s="1233" t="s">
        <v>1779</v>
      </c>
      <c r="C209" s="1068">
        <f t="shared" si="141"/>
        <v>2617223.7800000003</v>
      </c>
      <c r="D209" s="1068">
        <f t="shared" si="142"/>
        <v>0</v>
      </c>
      <c r="E209" s="1100">
        <v>0</v>
      </c>
      <c r="F209" s="1100">
        <v>0</v>
      </c>
      <c r="G209" s="1100">
        <v>0</v>
      </c>
      <c r="H209" s="1100">
        <v>0</v>
      </c>
      <c r="I209" s="1100">
        <v>0</v>
      </c>
      <c r="J209" s="1100">
        <v>0</v>
      </c>
      <c r="K209" s="1103">
        <v>0</v>
      </c>
      <c r="L209" s="1100">
        <v>0</v>
      </c>
      <c r="M209" s="1263">
        <v>0</v>
      </c>
      <c r="N209" s="1100">
        <v>0</v>
      </c>
      <c r="O209" s="1100">
        <v>0</v>
      </c>
      <c r="P209" s="1100">
        <v>0</v>
      </c>
      <c r="Q209" s="1100">
        <v>0</v>
      </c>
      <c r="R209" s="1100">
        <v>0</v>
      </c>
      <c r="S209" s="1101">
        <v>585</v>
      </c>
      <c r="T209" s="1101">
        <v>2427122.1800000002</v>
      </c>
      <c r="U209" s="1100">
        <v>0</v>
      </c>
      <c r="V209" s="1100">
        <v>0</v>
      </c>
      <c r="W209" s="1100">
        <v>0</v>
      </c>
      <c r="X209" s="1100">
        <v>0</v>
      </c>
      <c r="Y209" s="1100">
        <v>0</v>
      </c>
      <c r="Z209" s="1100">
        <v>190101.6</v>
      </c>
      <c r="AA209" s="1068">
        <v>0</v>
      </c>
    </row>
    <row r="210" spans="1:27" s="1064" customFormat="1" ht="107.25" customHeight="1">
      <c r="A210" s="1121">
        <v>8</v>
      </c>
      <c r="B210" s="1233" t="s">
        <v>1791</v>
      </c>
      <c r="C210" s="1068">
        <f t="shared" si="141"/>
        <v>5790663.3700000001</v>
      </c>
      <c r="D210" s="1068">
        <f t="shared" si="142"/>
        <v>0</v>
      </c>
      <c r="E210" s="1100">
        <v>0</v>
      </c>
      <c r="F210" s="1100">
        <v>0</v>
      </c>
      <c r="G210" s="1100">
        <v>0</v>
      </c>
      <c r="H210" s="1100">
        <v>0</v>
      </c>
      <c r="I210" s="1100">
        <v>0</v>
      </c>
      <c r="J210" s="1100">
        <v>0</v>
      </c>
      <c r="K210" s="1103">
        <v>0</v>
      </c>
      <c r="L210" s="1100">
        <v>0</v>
      </c>
      <c r="M210" s="1263">
        <v>0</v>
      </c>
      <c r="N210" s="1100">
        <v>0</v>
      </c>
      <c r="O210" s="1262">
        <v>601</v>
      </c>
      <c r="P210" s="1262">
        <v>5370059.5300000003</v>
      </c>
      <c r="Q210" s="1100">
        <v>0</v>
      </c>
      <c r="R210" s="1100">
        <v>0</v>
      </c>
      <c r="S210" s="1101">
        <v>0</v>
      </c>
      <c r="T210" s="1101">
        <v>0</v>
      </c>
      <c r="U210" s="1100">
        <v>0</v>
      </c>
      <c r="V210" s="1100">
        <v>0</v>
      </c>
      <c r="W210" s="1100">
        <v>0</v>
      </c>
      <c r="X210" s="1100">
        <v>0</v>
      </c>
      <c r="Y210" s="1100">
        <v>0</v>
      </c>
      <c r="Z210" s="1100">
        <v>420603.84</v>
      </c>
      <c r="AA210" s="1068">
        <v>0</v>
      </c>
    </row>
    <row r="211" spans="1:27" s="1064" customFormat="1" ht="107.25" customHeight="1">
      <c r="A211" s="1121">
        <v>9</v>
      </c>
      <c r="B211" s="1233" t="s">
        <v>1796</v>
      </c>
      <c r="C211" s="1068">
        <f t="shared" si="141"/>
        <v>6956571.0499999989</v>
      </c>
      <c r="D211" s="1068">
        <f t="shared" si="142"/>
        <v>6451281.6999999993</v>
      </c>
      <c r="E211" s="1262">
        <v>3633396.8</v>
      </c>
      <c r="F211" s="1100">
        <v>0</v>
      </c>
      <c r="G211" s="1100">
        <v>2817884.9</v>
      </c>
      <c r="H211" s="1100">
        <v>0</v>
      </c>
      <c r="I211" s="1100">
        <v>0</v>
      </c>
      <c r="J211" s="1100">
        <v>0</v>
      </c>
      <c r="K211" s="1103">
        <v>0</v>
      </c>
      <c r="L211" s="1100">
        <v>0</v>
      </c>
      <c r="M211" s="1263">
        <v>0</v>
      </c>
      <c r="N211" s="1100">
        <v>0</v>
      </c>
      <c r="O211" s="1100">
        <v>0</v>
      </c>
      <c r="P211" s="1100">
        <v>0</v>
      </c>
      <c r="Q211" s="1100">
        <v>0</v>
      </c>
      <c r="R211" s="1100">
        <v>0</v>
      </c>
      <c r="S211" s="1101">
        <v>0</v>
      </c>
      <c r="T211" s="1101">
        <v>0</v>
      </c>
      <c r="U211" s="1100">
        <v>0</v>
      </c>
      <c r="V211" s="1100">
        <v>0</v>
      </c>
      <c r="W211" s="1100">
        <v>0</v>
      </c>
      <c r="X211" s="1100">
        <v>0</v>
      </c>
      <c r="Y211" s="1100">
        <v>0</v>
      </c>
      <c r="Z211" s="1100">
        <v>505289.35</v>
      </c>
      <c r="AA211" s="1068">
        <v>0</v>
      </c>
    </row>
    <row r="212" spans="1:27" s="1064" customFormat="1" ht="107.25" customHeight="1">
      <c r="A212" s="1121">
        <v>10</v>
      </c>
      <c r="B212" s="1233" t="s">
        <v>1780</v>
      </c>
      <c r="C212" s="1068">
        <f t="shared" si="141"/>
        <v>14961522.02</v>
      </c>
      <c r="D212" s="1068">
        <f t="shared" si="142"/>
        <v>0</v>
      </c>
      <c r="E212" s="1100">
        <v>0</v>
      </c>
      <c r="F212" s="1100">
        <v>0</v>
      </c>
      <c r="G212" s="1100">
        <v>0</v>
      </c>
      <c r="H212" s="1100">
        <v>0</v>
      </c>
      <c r="I212" s="1100">
        <v>0</v>
      </c>
      <c r="J212" s="1100">
        <v>0</v>
      </c>
      <c r="K212" s="1103">
        <v>0</v>
      </c>
      <c r="L212" s="1100">
        <v>0</v>
      </c>
      <c r="M212" s="1263">
        <v>0</v>
      </c>
      <c r="N212" s="1100">
        <v>0</v>
      </c>
      <c r="O212" s="1100">
        <v>0</v>
      </c>
      <c r="P212" s="1100">
        <v>0</v>
      </c>
      <c r="Q212" s="1100">
        <v>0</v>
      </c>
      <c r="R212" s="1100">
        <v>0</v>
      </c>
      <c r="S212" s="1101">
        <v>1554.6</v>
      </c>
      <c r="T212" s="1101">
        <v>6449921.5999999996</v>
      </c>
      <c r="U212" s="1264">
        <v>1554.6</v>
      </c>
      <c r="V212" s="1264">
        <v>7424872.8300000001</v>
      </c>
      <c r="W212" s="1100">
        <v>0</v>
      </c>
      <c r="X212" s="1100">
        <v>0</v>
      </c>
      <c r="Y212" s="1100">
        <v>0</v>
      </c>
      <c r="Z212" s="1100">
        <v>1086727.5900000001</v>
      </c>
      <c r="AA212" s="1068">
        <v>0</v>
      </c>
    </row>
    <row r="213" spans="1:27" s="1064" customFormat="1" ht="107.25" customHeight="1">
      <c r="A213" s="1121">
        <v>11</v>
      </c>
      <c r="B213" s="1233" t="s">
        <v>1781</v>
      </c>
      <c r="C213" s="1068">
        <f t="shared" si="141"/>
        <v>2832417.74</v>
      </c>
      <c r="D213" s="1068">
        <f t="shared" si="142"/>
        <v>0</v>
      </c>
      <c r="E213" s="1100">
        <v>0</v>
      </c>
      <c r="F213" s="1100">
        <v>0</v>
      </c>
      <c r="G213" s="1100">
        <v>0</v>
      </c>
      <c r="H213" s="1100">
        <v>0</v>
      </c>
      <c r="I213" s="1100">
        <v>0</v>
      </c>
      <c r="J213" s="1100">
        <v>0</v>
      </c>
      <c r="K213" s="1103">
        <v>0</v>
      </c>
      <c r="L213" s="1100">
        <v>0</v>
      </c>
      <c r="M213" s="1263">
        <v>0</v>
      </c>
      <c r="N213" s="1100">
        <v>0</v>
      </c>
      <c r="O213" s="1100">
        <v>0</v>
      </c>
      <c r="P213" s="1100">
        <v>0</v>
      </c>
      <c r="Q213" s="1100">
        <v>0</v>
      </c>
      <c r="R213" s="1100">
        <v>0</v>
      </c>
      <c r="S213" s="1101">
        <v>633.1</v>
      </c>
      <c r="T213" s="1101">
        <v>2626685.56</v>
      </c>
      <c r="U213" s="1100">
        <v>0</v>
      </c>
      <c r="V213" s="1100">
        <v>0</v>
      </c>
      <c r="W213" s="1100">
        <v>0</v>
      </c>
      <c r="X213" s="1100">
        <v>0</v>
      </c>
      <c r="Y213" s="1100">
        <v>0</v>
      </c>
      <c r="Z213" s="1100">
        <v>205732.18</v>
      </c>
      <c r="AA213" s="1068">
        <v>0</v>
      </c>
    </row>
    <row r="214" spans="1:27" s="1064" customFormat="1" ht="107.25" customHeight="1">
      <c r="A214" s="1121">
        <v>12</v>
      </c>
      <c r="B214" s="1233" t="s">
        <v>1782</v>
      </c>
      <c r="C214" s="1068">
        <f t="shared" si="141"/>
        <v>2997056.7600000002</v>
      </c>
      <c r="D214" s="1068">
        <f t="shared" si="142"/>
        <v>0</v>
      </c>
      <c r="E214" s="1100">
        <v>0</v>
      </c>
      <c r="F214" s="1100">
        <v>0</v>
      </c>
      <c r="G214" s="1100">
        <v>0</v>
      </c>
      <c r="H214" s="1100">
        <v>0</v>
      </c>
      <c r="I214" s="1100">
        <v>0</v>
      </c>
      <c r="J214" s="1100">
        <v>0</v>
      </c>
      <c r="K214" s="1103">
        <v>0</v>
      </c>
      <c r="L214" s="1100">
        <v>0</v>
      </c>
      <c r="M214" s="1263">
        <v>0</v>
      </c>
      <c r="N214" s="1100">
        <v>0</v>
      </c>
      <c r="O214" s="1100">
        <v>0</v>
      </c>
      <c r="P214" s="1100">
        <v>0</v>
      </c>
      <c r="Q214" s="1100">
        <v>0</v>
      </c>
      <c r="R214" s="1100">
        <v>0</v>
      </c>
      <c r="S214" s="1101">
        <v>669.9</v>
      </c>
      <c r="T214" s="1101">
        <v>2779366.06</v>
      </c>
      <c r="U214" s="1100">
        <v>0</v>
      </c>
      <c r="V214" s="1100">
        <v>0</v>
      </c>
      <c r="W214" s="1100">
        <v>0</v>
      </c>
      <c r="X214" s="1100">
        <v>0</v>
      </c>
      <c r="Y214" s="1100">
        <v>0</v>
      </c>
      <c r="Z214" s="1100">
        <v>217690.7</v>
      </c>
      <c r="AA214" s="1068">
        <v>0</v>
      </c>
    </row>
    <row r="215" spans="1:27" s="1064" customFormat="1" ht="107.25" customHeight="1">
      <c r="A215" s="1121">
        <v>13</v>
      </c>
      <c r="B215" s="1233" t="s">
        <v>1790</v>
      </c>
      <c r="C215" s="1068">
        <f t="shared" si="141"/>
        <v>13738096.710000001</v>
      </c>
      <c r="D215" s="1068">
        <f t="shared" si="142"/>
        <v>12092845.280000001</v>
      </c>
      <c r="E215" s="1100">
        <v>0</v>
      </c>
      <c r="F215" s="1100">
        <v>4899114.87</v>
      </c>
      <c r="G215" s="1100">
        <v>0</v>
      </c>
      <c r="H215" s="1100">
        <v>2953118.56</v>
      </c>
      <c r="I215" s="1100">
        <v>2953118.56</v>
      </c>
      <c r="J215" s="1100">
        <v>1287493.29</v>
      </c>
      <c r="K215" s="1103">
        <v>3</v>
      </c>
      <c r="L215" s="1100">
        <f>365937+86309+195141</f>
        <v>647387</v>
      </c>
      <c r="M215" s="1263">
        <v>0</v>
      </c>
      <c r="N215" s="1100">
        <v>0</v>
      </c>
      <c r="O215" s="1100">
        <v>0</v>
      </c>
      <c r="P215" s="1100">
        <v>0</v>
      </c>
      <c r="Q215" s="1100">
        <v>0</v>
      </c>
      <c r="R215" s="1100">
        <v>0</v>
      </c>
      <c r="S215" s="1101">
        <v>0</v>
      </c>
      <c r="T215" s="1101">
        <v>0</v>
      </c>
      <c r="U215" s="1100">
        <v>0</v>
      </c>
      <c r="V215" s="1100">
        <v>0</v>
      </c>
      <c r="W215" s="1100">
        <v>0</v>
      </c>
      <c r="X215" s="1100">
        <v>0</v>
      </c>
      <c r="Y215" s="1100">
        <v>0</v>
      </c>
      <c r="Z215" s="1100">
        <v>997864.43</v>
      </c>
      <c r="AA215" s="1068">
        <v>0</v>
      </c>
    </row>
    <row r="216" spans="1:27" s="1064" customFormat="1" ht="107.25" customHeight="1">
      <c r="A216" s="1121">
        <v>14</v>
      </c>
      <c r="B216" s="1233" t="s">
        <v>1783</v>
      </c>
      <c r="C216" s="1068">
        <f t="shared" si="141"/>
        <v>11882228.34</v>
      </c>
      <c r="D216" s="1068">
        <f t="shared" si="142"/>
        <v>0</v>
      </c>
      <c r="E216" s="1100">
        <v>0</v>
      </c>
      <c r="F216" s="1100">
        <v>0</v>
      </c>
      <c r="G216" s="1100">
        <v>0</v>
      </c>
      <c r="H216" s="1100">
        <v>0</v>
      </c>
      <c r="I216" s="1100">
        <v>0</v>
      </c>
      <c r="J216" s="1100">
        <v>0</v>
      </c>
      <c r="K216" s="1103">
        <v>0</v>
      </c>
      <c r="L216" s="1100">
        <v>0</v>
      </c>
      <c r="M216" s="1263">
        <v>0</v>
      </c>
      <c r="N216" s="1100">
        <v>0</v>
      </c>
      <c r="O216" s="1100">
        <v>679</v>
      </c>
      <c r="P216" s="1100">
        <v>6067005.6900000004</v>
      </c>
      <c r="Q216" s="1100">
        <v>0</v>
      </c>
      <c r="R216" s="1100">
        <v>0</v>
      </c>
      <c r="S216" s="1101">
        <v>1193.5999999999999</v>
      </c>
      <c r="T216" s="1101">
        <v>4952159.03</v>
      </c>
      <c r="U216" s="1100">
        <v>0</v>
      </c>
      <c r="V216" s="1100">
        <v>0</v>
      </c>
      <c r="W216" s="1100">
        <v>0</v>
      </c>
      <c r="X216" s="1100">
        <v>0</v>
      </c>
      <c r="Y216" s="1100">
        <v>0</v>
      </c>
      <c r="Z216" s="1100">
        <v>863063.62</v>
      </c>
      <c r="AA216" s="1068">
        <v>0</v>
      </c>
    </row>
    <row r="217" spans="1:27" s="1064" customFormat="1" ht="107.25" customHeight="1">
      <c r="A217" s="1121">
        <v>15</v>
      </c>
      <c r="B217" s="1233" t="s">
        <v>1784</v>
      </c>
      <c r="C217" s="1068">
        <f t="shared" si="141"/>
        <v>3407491.1399999997</v>
      </c>
      <c r="D217" s="1068">
        <f t="shared" si="142"/>
        <v>0</v>
      </c>
      <c r="E217" s="1100">
        <v>0</v>
      </c>
      <c r="F217" s="1100">
        <v>0</v>
      </c>
      <c r="G217" s="1100">
        <v>0</v>
      </c>
      <c r="H217" s="1100">
        <v>0</v>
      </c>
      <c r="I217" s="1100">
        <v>0</v>
      </c>
      <c r="J217" s="1100">
        <v>0</v>
      </c>
      <c r="K217" s="1103">
        <v>0</v>
      </c>
      <c r="L217" s="1100">
        <v>0</v>
      </c>
      <c r="M217" s="1263">
        <v>0</v>
      </c>
      <c r="N217" s="1100">
        <v>0</v>
      </c>
      <c r="O217" s="1100">
        <v>0</v>
      </c>
      <c r="P217" s="1100">
        <v>0</v>
      </c>
      <c r="Q217" s="1100">
        <v>0</v>
      </c>
      <c r="R217" s="1100">
        <v>0</v>
      </c>
      <c r="S217" s="1101">
        <v>761.64</v>
      </c>
      <c r="T217" s="1101">
        <v>3159988.61</v>
      </c>
      <c r="U217" s="1100">
        <v>0</v>
      </c>
      <c r="V217" s="1100">
        <v>0</v>
      </c>
      <c r="W217" s="1100">
        <v>0</v>
      </c>
      <c r="X217" s="1100">
        <v>0</v>
      </c>
      <c r="Y217" s="1100">
        <v>0</v>
      </c>
      <c r="Z217" s="1100">
        <v>247502.53</v>
      </c>
      <c r="AA217" s="1068">
        <v>0</v>
      </c>
    </row>
    <row r="218" spans="1:27" s="1064" customFormat="1" ht="107.25" customHeight="1">
      <c r="A218" s="1121">
        <v>16</v>
      </c>
      <c r="B218" s="1233" t="s">
        <v>1785</v>
      </c>
      <c r="C218" s="1068">
        <f t="shared" si="141"/>
        <v>2264681.5</v>
      </c>
      <c r="D218" s="1068">
        <f t="shared" si="142"/>
        <v>0</v>
      </c>
      <c r="E218" s="1100">
        <v>0</v>
      </c>
      <c r="F218" s="1100">
        <v>0</v>
      </c>
      <c r="G218" s="1100">
        <v>0</v>
      </c>
      <c r="H218" s="1100">
        <v>0</v>
      </c>
      <c r="I218" s="1100">
        <v>0</v>
      </c>
      <c r="J218" s="1100">
        <v>0</v>
      </c>
      <c r="K218" s="1103">
        <v>0</v>
      </c>
      <c r="L218" s="1100">
        <v>0</v>
      </c>
      <c r="M218" s="1263">
        <v>0</v>
      </c>
      <c r="N218" s="1100">
        <v>0</v>
      </c>
      <c r="O218" s="1100">
        <v>0</v>
      </c>
      <c r="P218" s="1100">
        <v>0</v>
      </c>
      <c r="Q218" s="1100">
        <v>0</v>
      </c>
      <c r="R218" s="1100">
        <v>0</v>
      </c>
      <c r="S218" s="1101">
        <v>506.2</v>
      </c>
      <c r="T218" s="1101">
        <v>2100186.75</v>
      </c>
      <c r="U218" s="1100">
        <v>0</v>
      </c>
      <c r="V218" s="1100">
        <v>0</v>
      </c>
      <c r="W218" s="1100">
        <v>0</v>
      </c>
      <c r="X218" s="1100">
        <v>0</v>
      </c>
      <c r="Y218" s="1100">
        <v>0</v>
      </c>
      <c r="Z218" s="1100">
        <v>164494.75</v>
      </c>
      <c r="AA218" s="1068">
        <v>0</v>
      </c>
    </row>
    <row r="219" spans="1:27" s="1064" customFormat="1" ht="107.25" customHeight="1">
      <c r="A219" s="1121">
        <v>17</v>
      </c>
      <c r="B219" s="1233" t="s">
        <v>1786</v>
      </c>
      <c r="C219" s="1068">
        <f t="shared" si="141"/>
        <v>4457333.42</v>
      </c>
      <c r="D219" s="1068">
        <f t="shared" si="142"/>
        <v>0</v>
      </c>
      <c r="E219" s="1100">
        <v>0</v>
      </c>
      <c r="F219" s="1100">
        <v>0</v>
      </c>
      <c r="G219" s="1100">
        <v>0</v>
      </c>
      <c r="H219" s="1100">
        <v>0</v>
      </c>
      <c r="I219" s="1100">
        <v>0</v>
      </c>
      <c r="J219" s="1100">
        <v>0</v>
      </c>
      <c r="K219" s="1103">
        <v>0</v>
      </c>
      <c r="L219" s="1100">
        <v>0</v>
      </c>
      <c r="M219" s="1263">
        <v>0</v>
      </c>
      <c r="N219" s="1100">
        <v>0</v>
      </c>
      <c r="O219" s="1100">
        <v>0</v>
      </c>
      <c r="P219" s="1100">
        <v>0</v>
      </c>
      <c r="Q219" s="1100">
        <v>0</v>
      </c>
      <c r="R219" s="1100">
        <v>0</v>
      </c>
      <c r="S219" s="1101">
        <v>996.3</v>
      </c>
      <c r="T219" s="1101">
        <v>4133575.77</v>
      </c>
      <c r="U219" s="1100">
        <v>0</v>
      </c>
      <c r="V219" s="1100">
        <v>0</v>
      </c>
      <c r="W219" s="1100">
        <v>0</v>
      </c>
      <c r="X219" s="1100">
        <v>0</v>
      </c>
      <c r="Y219" s="1100">
        <v>0</v>
      </c>
      <c r="Z219" s="1100">
        <v>323757.65000000002</v>
      </c>
      <c r="AA219" s="1068">
        <v>0</v>
      </c>
    </row>
    <row r="220" spans="1:27" s="1071" customFormat="1" ht="107.25" customHeight="1">
      <c r="A220" s="1121">
        <v>18</v>
      </c>
      <c r="B220" s="1233" t="s">
        <v>1787</v>
      </c>
      <c r="C220" s="1068">
        <f t="shared" si="141"/>
        <v>2287945.71</v>
      </c>
      <c r="D220" s="1068">
        <f t="shared" si="142"/>
        <v>0</v>
      </c>
      <c r="E220" s="1100">
        <v>0</v>
      </c>
      <c r="F220" s="1100">
        <v>0</v>
      </c>
      <c r="G220" s="1100">
        <v>0</v>
      </c>
      <c r="H220" s="1100">
        <v>0</v>
      </c>
      <c r="I220" s="1100">
        <v>0</v>
      </c>
      <c r="J220" s="1100">
        <v>0</v>
      </c>
      <c r="K220" s="1103">
        <v>0</v>
      </c>
      <c r="L220" s="1100">
        <v>0</v>
      </c>
      <c r="M220" s="1263">
        <v>0</v>
      </c>
      <c r="N220" s="1100">
        <v>0</v>
      </c>
      <c r="O220" s="1100">
        <v>0</v>
      </c>
      <c r="P220" s="1100">
        <v>0</v>
      </c>
      <c r="Q220" s="1100">
        <v>0</v>
      </c>
      <c r="R220" s="1100">
        <v>0</v>
      </c>
      <c r="S220" s="1101">
        <v>511.4</v>
      </c>
      <c r="T220" s="1101">
        <v>2121761.17</v>
      </c>
      <c r="U220" s="1100">
        <v>0</v>
      </c>
      <c r="V220" s="1100">
        <v>0</v>
      </c>
      <c r="W220" s="1100">
        <v>0</v>
      </c>
      <c r="X220" s="1100">
        <v>0</v>
      </c>
      <c r="Y220" s="1100">
        <v>0</v>
      </c>
      <c r="Z220" s="1100">
        <v>166184.54</v>
      </c>
      <c r="AA220" s="1068">
        <v>0</v>
      </c>
    </row>
    <row r="221" spans="1:27" s="1071" customFormat="1" ht="107.25" customHeight="1">
      <c r="A221" s="1121">
        <v>19</v>
      </c>
      <c r="B221" s="1233" t="s">
        <v>1788</v>
      </c>
      <c r="C221" s="1068">
        <f t="shared" si="141"/>
        <v>16311359.199999999</v>
      </c>
      <c r="D221" s="1068">
        <f t="shared" si="142"/>
        <v>14479199.289999999</v>
      </c>
      <c r="E221" s="1100">
        <v>1912925.72</v>
      </c>
      <c r="F221" s="1262">
        <v>5090912.54</v>
      </c>
      <c r="G221" s="1100">
        <v>0</v>
      </c>
      <c r="H221" s="1100">
        <v>3068731.54</v>
      </c>
      <c r="I221" s="1100">
        <v>3068731.54</v>
      </c>
      <c r="J221" s="1100">
        <v>1337897.95</v>
      </c>
      <c r="K221" s="1103">
        <v>3</v>
      </c>
      <c r="L221" s="1100">
        <f>365937+86309+195141</f>
        <v>647387</v>
      </c>
      <c r="M221" s="1263">
        <v>0</v>
      </c>
      <c r="N221" s="1100">
        <v>0</v>
      </c>
      <c r="O221" s="1100">
        <v>0</v>
      </c>
      <c r="P221" s="1100">
        <v>0</v>
      </c>
      <c r="Q221" s="1100">
        <v>0</v>
      </c>
      <c r="R221" s="1100">
        <v>0</v>
      </c>
      <c r="S221" s="1101">
        <v>0</v>
      </c>
      <c r="T221" s="1101">
        <v>0</v>
      </c>
      <c r="U221" s="1100">
        <v>0</v>
      </c>
      <c r="V221" s="1100">
        <v>0</v>
      </c>
      <c r="W221" s="1100">
        <v>0</v>
      </c>
      <c r="X221" s="1100">
        <v>0</v>
      </c>
      <c r="Y221" s="1100">
        <v>0</v>
      </c>
      <c r="Z221" s="1100">
        <v>1184772.9099999999</v>
      </c>
      <c r="AA221" s="1068">
        <v>0</v>
      </c>
    </row>
    <row r="222" spans="1:27" s="1071" customFormat="1" ht="107.25" customHeight="1">
      <c r="A222" s="1121">
        <v>20</v>
      </c>
      <c r="B222" s="1233" t="s">
        <v>1792</v>
      </c>
      <c r="C222" s="1068">
        <f t="shared" si="141"/>
        <v>15370322.92</v>
      </c>
      <c r="D222" s="1068">
        <f t="shared" si="142"/>
        <v>14253902.15</v>
      </c>
      <c r="E222" s="1100">
        <v>1883160.49</v>
      </c>
      <c r="F222" s="1262">
        <v>5011697.66</v>
      </c>
      <c r="G222" s="1100">
        <v>0</v>
      </c>
      <c r="H222" s="1100">
        <v>3020981.91</v>
      </c>
      <c r="I222" s="1100">
        <v>3020981.91</v>
      </c>
      <c r="J222" s="1100">
        <v>1317080.18</v>
      </c>
      <c r="K222" s="1103">
        <v>0</v>
      </c>
      <c r="L222" s="1100">
        <v>0</v>
      </c>
      <c r="M222" s="1263">
        <v>0</v>
      </c>
      <c r="N222" s="1100">
        <v>0</v>
      </c>
      <c r="O222" s="1100">
        <v>0</v>
      </c>
      <c r="P222" s="1100">
        <v>0</v>
      </c>
      <c r="Q222" s="1100">
        <v>0</v>
      </c>
      <c r="R222" s="1100">
        <v>0</v>
      </c>
      <c r="S222" s="1101">
        <v>0</v>
      </c>
      <c r="T222" s="1101">
        <v>0</v>
      </c>
      <c r="U222" s="1100">
        <v>0</v>
      </c>
      <c r="V222" s="1100">
        <v>0</v>
      </c>
      <c r="W222" s="1100">
        <v>0</v>
      </c>
      <c r="X222" s="1100">
        <v>0</v>
      </c>
      <c r="Y222" s="1100">
        <v>0</v>
      </c>
      <c r="Z222" s="1100">
        <v>1116420.77</v>
      </c>
      <c r="AA222" s="1068">
        <v>0</v>
      </c>
    </row>
    <row r="223" spans="1:27" s="1071" customFormat="1" ht="93" customHeight="1">
      <c r="A223" s="1121">
        <v>21</v>
      </c>
      <c r="B223" s="1233" t="s">
        <v>1793</v>
      </c>
      <c r="C223" s="1068">
        <f t="shared" si="141"/>
        <v>18188271.960000001</v>
      </c>
      <c r="D223" s="1068">
        <f t="shared" si="142"/>
        <v>0</v>
      </c>
      <c r="E223" s="1100">
        <v>0</v>
      </c>
      <c r="F223" s="1104">
        <v>0</v>
      </c>
      <c r="G223" s="1100">
        <v>0</v>
      </c>
      <c r="H223" s="1100">
        <v>0</v>
      </c>
      <c r="I223" s="1100">
        <v>0</v>
      </c>
      <c r="J223" s="1100">
        <v>0</v>
      </c>
      <c r="K223" s="1103">
        <v>0</v>
      </c>
      <c r="L223" s="1100">
        <v>0</v>
      </c>
      <c r="M223" s="1263">
        <v>0</v>
      </c>
      <c r="N223" s="1100">
        <v>0</v>
      </c>
      <c r="O223" s="1100">
        <v>1176.22</v>
      </c>
      <c r="P223" s="1100">
        <v>10509769.41</v>
      </c>
      <c r="Q223" s="1100">
        <v>0</v>
      </c>
      <c r="R223" s="1100">
        <v>0</v>
      </c>
      <c r="S223" s="1101">
        <v>1532.3</v>
      </c>
      <c r="T223" s="1101">
        <v>6357400.54</v>
      </c>
      <c r="U223" s="1100">
        <v>0</v>
      </c>
      <c r="V223" s="1100">
        <v>0</v>
      </c>
      <c r="W223" s="1100">
        <v>0</v>
      </c>
      <c r="X223" s="1100">
        <v>0</v>
      </c>
      <c r="Y223" s="1100">
        <v>0</v>
      </c>
      <c r="Z223" s="1100">
        <v>1321102.01</v>
      </c>
      <c r="AA223" s="1068">
        <v>0</v>
      </c>
    </row>
    <row r="224" spans="1:27" s="1064" customFormat="1" ht="135" customHeight="1">
      <c r="A224" s="1121"/>
      <c r="B224" s="1055" t="s">
        <v>1093</v>
      </c>
      <c r="C224" s="1056">
        <f>SUM(C225:C232)</f>
        <v>40919487.259999998</v>
      </c>
      <c r="D224" s="1056">
        <f t="shared" ref="D224:AA224" si="143">SUM(D225:D232)</f>
        <v>986330.03</v>
      </c>
      <c r="E224" s="1056">
        <f t="shared" si="143"/>
        <v>986330.03</v>
      </c>
      <c r="F224" s="1056">
        <f t="shared" si="143"/>
        <v>0</v>
      </c>
      <c r="G224" s="1056">
        <f t="shared" si="143"/>
        <v>0</v>
      </c>
      <c r="H224" s="1056">
        <f t="shared" si="143"/>
        <v>0</v>
      </c>
      <c r="I224" s="1056">
        <f t="shared" si="143"/>
        <v>0</v>
      </c>
      <c r="J224" s="1056">
        <f t="shared" si="143"/>
        <v>0</v>
      </c>
      <c r="K224" s="1056">
        <f t="shared" si="143"/>
        <v>0</v>
      </c>
      <c r="L224" s="1056">
        <f t="shared" si="143"/>
        <v>0</v>
      </c>
      <c r="M224" s="1056">
        <f t="shared" si="143"/>
        <v>0</v>
      </c>
      <c r="N224" s="1056">
        <f t="shared" si="143"/>
        <v>0</v>
      </c>
      <c r="O224" s="1056">
        <f t="shared" si="143"/>
        <v>4471.88</v>
      </c>
      <c r="P224" s="1056">
        <f t="shared" si="143"/>
        <v>36960977.299999997</v>
      </c>
      <c r="Q224" s="1056">
        <f t="shared" si="143"/>
        <v>0</v>
      </c>
      <c r="R224" s="1056">
        <f t="shared" si="143"/>
        <v>0</v>
      </c>
      <c r="S224" s="1056">
        <f t="shared" si="143"/>
        <v>0</v>
      </c>
      <c r="T224" s="1056">
        <f t="shared" si="143"/>
        <v>0</v>
      </c>
      <c r="U224" s="1056">
        <f t="shared" si="143"/>
        <v>0</v>
      </c>
      <c r="V224" s="1056">
        <f t="shared" si="143"/>
        <v>0</v>
      </c>
      <c r="W224" s="1056">
        <f t="shared" si="143"/>
        <v>0</v>
      </c>
      <c r="X224" s="1056">
        <f t="shared" si="143"/>
        <v>0</v>
      </c>
      <c r="Y224" s="1056">
        <f t="shared" si="143"/>
        <v>0</v>
      </c>
      <c r="Z224" s="1056">
        <f t="shared" si="143"/>
        <v>2972179.9300000006</v>
      </c>
      <c r="AA224" s="1056">
        <f t="shared" si="143"/>
        <v>0</v>
      </c>
    </row>
    <row r="225" spans="1:16275" s="1064" customFormat="1" ht="97.15" customHeight="1">
      <c r="A225" s="1121">
        <v>22</v>
      </c>
      <c r="B225" s="1233" t="s">
        <v>1726</v>
      </c>
      <c r="C225" s="1056">
        <f>D225+N225+P225+R225+T225+X225+Z225</f>
        <v>3613142.7</v>
      </c>
      <c r="D225" s="1056">
        <f t="shared" ref="D225" si="144">SUM(E225:J225)</f>
        <v>0</v>
      </c>
      <c r="E225" s="1068">
        <v>0</v>
      </c>
      <c r="F225" s="1068">
        <v>0</v>
      </c>
      <c r="G225" s="1068">
        <v>0</v>
      </c>
      <c r="H225" s="1068">
        <v>0</v>
      </c>
      <c r="I225" s="1068">
        <v>0</v>
      </c>
      <c r="J225" s="1068">
        <v>0</v>
      </c>
      <c r="K225" s="1063">
        <v>0</v>
      </c>
      <c r="L225" s="1068">
        <v>0</v>
      </c>
      <c r="M225" s="1063">
        <v>0</v>
      </c>
      <c r="N225" s="1068">
        <v>0</v>
      </c>
      <c r="O225" s="1234">
        <v>375</v>
      </c>
      <c r="P225" s="1234">
        <v>3350702.7</v>
      </c>
      <c r="Q225" s="1068">
        <v>0</v>
      </c>
      <c r="R225" s="1068">
        <v>0</v>
      </c>
      <c r="S225" s="1068">
        <v>0</v>
      </c>
      <c r="T225" s="1068">
        <v>0</v>
      </c>
      <c r="U225" s="1076">
        <v>0</v>
      </c>
      <c r="V225" s="1076">
        <v>0</v>
      </c>
      <c r="W225" s="1068">
        <v>0</v>
      </c>
      <c r="X225" s="1068">
        <v>0</v>
      </c>
      <c r="Y225" s="1056">
        <v>0</v>
      </c>
      <c r="Z225" s="1234">
        <v>262440</v>
      </c>
      <c r="AA225" s="1068">
        <v>0</v>
      </c>
    </row>
    <row r="226" spans="1:16275" s="1064" customFormat="1" ht="137.44999999999999" customHeight="1">
      <c r="A226" s="1121">
        <v>23</v>
      </c>
      <c r="B226" s="1233" t="s">
        <v>1730</v>
      </c>
      <c r="C226" s="1056">
        <f t="shared" ref="C226:C232" si="145">D226+N226+P226+R226+T226+X226+Z226</f>
        <v>1063583.21</v>
      </c>
      <c r="D226" s="1056">
        <f t="shared" ref="D226:D232" si="146">SUM(E226:J226)</f>
        <v>986330.03</v>
      </c>
      <c r="E226" s="1068">
        <v>986330.03</v>
      </c>
      <c r="F226" s="1068">
        <v>0</v>
      </c>
      <c r="G226" s="1068">
        <v>0</v>
      </c>
      <c r="H226" s="1068">
        <v>0</v>
      </c>
      <c r="I226" s="1068">
        <v>0</v>
      </c>
      <c r="J226" s="1068">
        <v>0</v>
      </c>
      <c r="K226" s="1063">
        <v>0</v>
      </c>
      <c r="L226" s="1068">
        <v>0</v>
      </c>
      <c r="M226" s="1063">
        <v>0</v>
      </c>
      <c r="N226" s="1068">
        <v>0</v>
      </c>
      <c r="O226" s="1234">
        <v>0</v>
      </c>
      <c r="P226" s="1234">
        <v>0</v>
      </c>
      <c r="Q226" s="1068">
        <v>0</v>
      </c>
      <c r="R226" s="1068">
        <v>0</v>
      </c>
      <c r="S226" s="1068">
        <v>0</v>
      </c>
      <c r="T226" s="1068">
        <v>0</v>
      </c>
      <c r="U226" s="1076">
        <v>0</v>
      </c>
      <c r="V226" s="1076">
        <v>0</v>
      </c>
      <c r="W226" s="1068">
        <v>0</v>
      </c>
      <c r="X226" s="1068">
        <v>0</v>
      </c>
      <c r="Y226" s="1076">
        <v>0</v>
      </c>
      <c r="Z226" s="1234">
        <v>77253.179999999993</v>
      </c>
      <c r="AA226" s="1068">
        <v>0</v>
      </c>
    </row>
    <row r="227" spans="1:16275" s="1064" customFormat="1" ht="138.75" customHeight="1">
      <c r="A227" s="1121">
        <v>24</v>
      </c>
      <c r="B227" s="1233" t="s">
        <v>1727</v>
      </c>
      <c r="C227" s="1056">
        <f t="shared" si="145"/>
        <v>8113769.5999999996</v>
      </c>
      <c r="D227" s="1056">
        <f t="shared" si="146"/>
        <v>0</v>
      </c>
      <c r="E227" s="1068">
        <v>0</v>
      </c>
      <c r="F227" s="1068">
        <v>0</v>
      </c>
      <c r="G227" s="1068">
        <v>0</v>
      </c>
      <c r="H227" s="1068">
        <v>0</v>
      </c>
      <c r="I227" s="1068">
        <v>0</v>
      </c>
      <c r="J227" s="1068">
        <v>0</v>
      </c>
      <c r="K227" s="1063">
        <v>0</v>
      </c>
      <c r="L227" s="1068">
        <v>0</v>
      </c>
      <c r="M227" s="1063">
        <v>0</v>
      </c>
      <c r="N227" s="1068">
        <v>0</v>
      </c>
      <c r="O227" s="1234">
        <v>842.11</v>
      </c>
      <c r="P227" s="1234">
        <v>7524427.3399999999</v>
      </c>
      <c r="Q227" s="1068">
        <v>0</v>
      </c>
      <c r="R227" s="1068">
        <v>0</v>
      </c>
      <c r="S227" s="1068">
        <v>0</v>
      </c>
      <c r="T227" s="1068">
        <v>0</v>
      </c>
      <c r="U227" s="1076">
        <v>0</v>
      </c>
      <c r="V227" s="1076">
        <v>0</v>
      </c>
      <c r="W227" s="1068">
        <v>0</v>
      </c>
      <c r="X227" s="1068">
        <v>0</v>
      </c>
      <c r="Y227" s="1056">
        <v>0</v>
      </c>
      <c r="Z227" s="1234">
        <v>589342.26</v>
      </c>
      <c r="AA227" s="1068">
        <v>0</v>
      </c>
    </row>
    <row r="228" spans="1:16275" s="1064" customFormat="1" ht="94.9" customHeight="1">
      <c r="A228" s="1121">
        <v>25</v>
      </c>
      <c r="B228" s="1233" t="s">
        <v>1728</v>
      </c>
      <c r="C228" s="1056">
        <f t="shared" si="145"/>
        <v>5039129.6900000004</v>
      </c>
      <c r="D228" s="1056">
        <f t="shared" si="146"/>
        <v>0</v>
      </c>
      <c r="E228" s="1068">
        <v>0</v>
      </c>
      <c r="F228" s="1068">
        <v>0</v>
      </c>
      <c r="G228" s="1068">
        <v>0</v>
      </c>
      <c r="H228" s="1068">
        <v>0</v>
      </c>
      <c r="I228" s="1068">
        <v>0</v>
      </c>
      <c r="J228" s="1068">
        <v>0</v>
      </c>
      <c r="K228" s="1063">
        <v>0</v>
      </c>
      <c r="L228" s="1068">
        <v>0</v>
      </c>
      <c r="M228" s="1063">
        <v>0</v>
      </c>
      <c r="N228" s="1068">
        <v>0</v>
      </c>
      <c r="O228" s="1234">
        <v>523</v>
      </c>
      <c r="P228" s="1234">
        <v>4673113.37</v>
      </c>
      <c r="Q228" s="1068">
        <v>0</v>
      </c>
      <c r="R228" s="1068">
        <v>0</v>
      </c>
      <c r="S228" s="1068">
        <v>0</v>
      </c>
      <c r="T228" s="1068">
        <v>0</v>
      </c>
      <c r="U228" s="1076">
        <v>0</v>
      </c>
      <c r="V228" s="1076">
        <v>0</v>
      </c>
      <c r="W228" s="1068">
        <v>0</v>
      </c>
      <c r="X228" s="1068">
        <v>0</v>
      </c>
      <c r="Y228" s="1076">
        <v>0</v>
      </c>
      <c r="Z228" s="1234">
        <v>366016.32</v>
      </c>
      <c r="AA228" s="1068">
        <v>0</v>
      </c>
    </row>
    <row r="229" spans="1:16275" s="1064" customFormat="1" ht="94.9" customHeight="1">
      <c r="A229" s="1121">
        <v>26</v>
      </c>
      <c r="B229" s="1233" t="s">
        <v>1729</v>
      </c>
      <c r="C229" s="1056">
        <f t="shared" si="145"/>
        <v>5923819.7199999997</v>
      </c>
      <c r="D229" s="1056">
        <f t="shared" si="146"/>
        <v>0</v>
      </c>
      <c r="E229" s="1068">
        <v>0</v>
      </c>
      <c r="F229" s="1068">
        <v>0</v>
      </c>
      <c r="G229" s="1068">
        <v>0</v>
      </c>
      <c r="H229" s="1068">
        <v>0</v>
      </c>
      <c r="I229" s="1068">
        <v>0</v>
      </c>
      <c r="J229" s="1068">
        <v>0</v>
      </c>
      <c r="K229" s="1063">
        <v>0</v>
      </c>
      <c r="L229" s="1068">
        <v>0</v>
      </c>
      <c r="M229" s="1063">
        <v>0</v>
      </c>
      <c r="N229" s="1068">
        <v>0</v>
      </c>
      <c r="O229" s="1234">
        <v>614.82000000000005</v>
      </c>
      <c r="P229" s="1234">
        <v>5493544.0899999999</v>
      </c>
      <c r="Q229" s="1068">
        <v>0</v>
      </c>
      <c r="R229" s="1068">
        <v>0</v>
      </c>
      <c r="S229" s="1068">
        <v>0</v>
      </c>
      <c r="T229" s="1068">
        <v>0</v>
      </c>
      <c r="U229" s="1076">
        <v>0</v>
      </c>
      <c r="V229" s="1076">
        <v>0</v>
      </c>
      <c r="W229" s="1068">
        <v>0</v>
      </c>
      <c r="X229" s="1068">
        <v>0</v>
      </c>
      <c r="Y229" s="1056">
        <v>0</v>
      </c>
      <c r="Z229" s="1234">
        <v>430275.63</v>
      </c>
      <c r="AA229" s="1068">
        <v>0</v>
      </c>
    </row>
    <row r="230" spans="1:16275" s="1064" customFormat="1" ht="100.9" customHeight="1">
      <c r="A230" s="1121">
        <v>27</v>
      </c>
      <c r="B230" s="1233" t="s">
        <v>1731</v>
      </c>
      <c r="C230" s="1056">
        <f t="shared" si="145"/>
        <v>5156749.29</v>
      </c>
      <c r="D230" s="1056">
        <f t="shared" si="146"/>
        <v>0</v>
      </c>
      <c r="E230" s="1068">
        <v>0</v>
      </c>
      <c r="F230" s="1068">
        <v>0</v>
      </c>
      <c r="G230" s="1068">
        <v>0</v>
      </c>
      <c r="H230" s="1068">
        <v>0</v>
      </c>
      <c r="I230" s="1068">
        <v>0</v>
      </c>
      <c r="J230" s="1068">
        <v>0</v>
      </c>
      <c r="K230" s="1063">
        <v>0</v>
      </c>
      <c r="L230" s="1068">
        <v>0</v>
      </c>
      <c r="M230" s="1063">
        <v>0</v>
      </c>
      <c r="N230" s="1068">
        <v>0</v>
      </c>
      <c r="O230" s="1234">
        <v>615</v>
      </c>
      <c r="P230" s="1234">
        <v>4782189.6900000004</v>
      </c>
      <c r="Q230" s="1068">
        <v>0</v>
      </c>
      <c r="R230" s="1068">
        <v>0</v>
      </c>
      <c r="S230" s="1068">
        <v>0</v>
      </c>
      <c r="T230" s="1068">
        <v>0</v>
      </c>
      <c r="U230" s="1076">
        <v>0</v>
      </c>
      <c r="V230" s="1076">
        <v>0</v>
      </c>
      <c r="W230" s="1068">
        <v>0</v>
      </c>
      <c r="X230" s="1068">
        <v>0</v>
      </c>
      <c r="Y230" s="1076">
        <v>0</v>
      </c>
      <c r="Z230" s="1234">
        <v>374559.6</v>
      </c>
      <c r="AA230" s="1068">
        <v>0</v>
      </c>
    </row>
    <row r="231" spans="1:16275" s="1064" customFormat="1" ht="87.6" customHeight="1">
      <c r="A231" s="1121">
        <v>28</v>
      </c>
      <c r="B231" s="1233" t="s">
        <v>1732</v>
      </c>
      <c r="C231" s="1056">
        <f t="shared" si="145"/>
        <v>3385925.81</v>
      </c>
      <c r="D231" s="1056">
        <f t="shared" si="146"/>
        <v>0</v>
      </c>
      <c r="E231" s="1068">
        <v>0</v>
      </c>
      <c r="F231" s="1068">
        <v>0</v>
      </c>
      <c r="G231" s="1068">
        <v>0</v>
      </c>
      <c r="H231" s="1068">
        <v>0</v>
      </c>
      <c r="I231" s="1068">
        <v>0</v>
      </c>
      <c r="J231" s="1068">
        <v>0</v>
      </c>
      <c r="K231" s="1063">
        <v>0</v>
      </c>
      <c r="L231" s="1068">
        <v>0</v>
      </c>
      <c r="M231" s="1063">
        <v>0</v>
      </c>
      <c r="N231" s="1068">
        <v>0</v>
      </c>
      <c r="O231" s="1234">
        <v>606.95000000000005</v>
      </c>
      <c r="P231" s="1234">
        <v>3139989.67</v>
      </c>
      <c r="Q231" s="1068">
        <v>0</v>
      </c>
      <c r="R231" s="1068">
        <v>0</v>
      </c>
      <c r="S231" s="1068">
        <v>0</v>
      </c>
      <c r="T231" s="1068">
        <v>0</v>
      </c>
      <c r="U231" s="1076">
        <v>0</v>
      </c>
      <c r="V231" s="1076">
        <v>0</v>
      </c>
      <c r="W231" s="1068">
        <v>0</v>
      </c>
      <c r="X231" s="1068">
        <v>0</v>
      </c>
      <c r="Y231" s="1056">
        <v>0</v>
      </c>
      <c r="Z231" s="1234">
        <v>245936.14</v>
      </c>
      <c r="AA231" s="1068">
        <v>0</v>
      </c>
    </row>
    <row r="232" spans="1:16275" s="1064" customFormat="1" ht="88.9" customHeight="1">
      <c r="A232" s="1121">
        <v>29</v>
      </c>
      <c r="B232" s="1233" t="s">
        <v>1733</v>
      </c>
      <c r="C232" s="1056">
        <f t="shared" si="145"/>
        <v>8623367.2400000002</v>
      </c>
      <c r="D232" s="1056">
        <f t="shared" si="146"/>
        <v>0</v>
      </c>
      <c r="E232" s="1068">
        <v>0</v>
      </c>
      <c r="F232" s="1068">
        <v>0</v>
      </c>
      <c r="G232" s="1068">
        <v>0</v>
      </c>
      <c r="H232" s="1068">
        <v>0</v>
      </c>
      <c r="I232" s="1068">
        <v>0</v>
      </c>
      <c r="J232" s="1068">
        <v>0</v>
      </c>
      <c r="K232" s="1063">
        <v>0</v>
      </c>
      <c r="L232" s="1068">
        <v>0</v>
      </c>
      <c r="M232" s="1063">
        <v>0</v>
      </c>
      <c r="N232" s="1068">
        <v>0</v>
      </c>
      <c r="O232" s="1234">
        <v>895</v>
      </c>
      <c r="P232" s="1234">
        <v>7997010.4400000004</v>
      </c>
      <c r="Q232" s="1068">
        <v>0</v>
      </c>
      <c r="R232" s="1068">
        <v>0</v>
      </c>
      <c r="S232" s="1068">
        <v>0</v>
      </c>
      <c r="T232" s="1068">
        <v>0</v>
      </c>
      <c r="U232" s="1076">
        <v>0</v>
      </c>
      <c r="V232" s="1076">
        <v>0</v>
      </c>
      <c r="W232" s="1068">
        <v>0</v>
      </c>
      <c r="X232" s="1068">
        <v>0</v>
      </c>
      <c r="Y232" s="1056">
        <v>0</v>
      </c>
      <c r="Z232" s="1234">
        <v>626356.80000000005</v>
      </c>
      <c r="AA232" s="1068">
        <v>0</v>
      </c>
    </row>
    <row r="233" spans="1:16275" s="1064" customFormat="1" ht="95.25" customHeight="1">
      <c r="A233" s="1121"/>
      <c r="B233" s="1055" t="s">
        <v>1244</v>
      </c>
      <c r="C233" s="1056">
        <f>SUM(C234:C240)</f>
        <v>53142252.980000004</v>
      </c>
      <c r="D233" s="1056">
        <f t="shared" ref="D233:T233" si="147">SUM(D235:D240)</f>
        <v>0</v>
      </c>
      <c r="E233" s="1056">
        <f t="shared" si="147"/>
        <v>0</v>
      </c>
      <c r="F233" s="1056">
        <f t="shared" si="147"/>
        <v>0</v>
      </c>
      <c r="G233" s="1056">
        <f t="shared" si="147"/>
        <v>0</v>
      </c>
      <c r="H233" s="1056">
        <f t="shared" si="147"/>
        <v>0</v>
      </c>
      <c r="I233" s="1056">
        <f t="shared" si="147"/>
        <v>0</v>
      </c>
      <c r="J233" s="1056">
        <f t="shared" si="147"/>
        <v>0</v>
      </c>
      <c r="K233" s="1063">
        <f t="shared" si="147"/>
        <v>0</v>
      </c>
      <c r="L233" s="1056">
        <f t="shared" si="147"/>
        <v>0</v>
      </c>
      <c r="M233" s="1063">
        <f t="shared" si="147"/>
        <v>0</v>
      </c>
      <c r="N233" s="1056">
        <f t="shared" si="147"/>
        <v>0</v>
      </c>
      <c r="O233" s="1056">
        <f t="shared" si="147"/>
        <v>4871</v>
      </c>
      <c r="P233" s="1056">
        <f t="shared" si="147"/>
        <v>32117567.549999997</v>
      </c>
      <c r="Q233" s="1056">
        <f t="shared" si="147"/>
        <v>0</v>
      </c>
      <c r="R233" s="1056">
        <f t="shared" si="147"/>
        <v>0</v>
      </c>
      <c r="S233" s="1056">
        <f t="shared" si="147"/>
        <v>1618.36</v>
      </c>
      <c r="T233" s="1056">
        <f t="shared" si="147"/>
        <v>6714457.1799999997</v>
      </c>
      <c r="U233" s="1076">
        <v>0</v>
      </c>
      <c r="V233" s="1076">
        <v>0</v>
      </c>
      <c r="W233" s="1056">
        <f>SUM(W235:W240)</f>
        <v>0</v>
      </c>
      <c r="X233" s="1056">
        <f>SUM(X235:X240)</f>
        <v>0</v>
      </c>
      <c r="Y233" s="1076">
        <v>0</v>
      </c>
      <c r="Z233" s="1056">
        <f>SUM(Z235:Z240)</f>
        <v>3041474.43</v>
      </c>
      <c r="AA233" s="1056">
        <f>SUM(AA235:AA240)</f>
        <v>0</v>
      </c>
    </row>
    <row r="234" spans="1:16275" s="1064" customFormat="1" ht="95.25" customHeight="1">
      <c r="A234" s="1121">
        <v>30</v>
      </c>
      <c r="B234" s="1233" t="s">
        <v>1975</v>
      </c>
      <c r="C234" s="1056">
        <f t="shared" ref="C234" si="148">D234+N234+P234+R234+T234+X234+Z234</f>
        <v>11268753.82</v>
      </c>
      <c r="D234" s="1056">
        <f t="shared" ref="D234" si="149">SUM(E234:J234)</f>
        <v>0</v>
      </c>
      <c r="E234" s="1056">
        <v>0</v>
      </c>
      <c r="F234" s="1056">
        <v>0</v>
      </c>
      <c r="G234" s="1056">
        <v>0</v>
      </c>
      <c r="H234" s="1056">
        <v>0</v>
      </c>
      <c r="I234" s="1056">
        <v>0</v>
      </c>
      <c r="J234" s="1056">
        <v>0</v>
      </c>
      <c r="K234" s="1063">
        <v>0</v>
      </c>
      <c r="L234" s="1056">
        <v>0</v>
      </c>
      <c r="M234" s="1063">
        <v>0</v>
      </c>
      <c r="N234" s="1056">
        <v>0</v>
      </c>
      <c r="O234" s="1056">
        <v>2020</v>
      </c>
      <c r="P234" s="1056">
        <v>10450249.82</v>
      </c>
      <c r="Q234" s="1056">
        <v>0</v>
      </c>
      <c r="R234" s="1056">
        <v>0</v>
      </c>
      <c r="S234" s="1056">
        <v>0</v>
      </c>
      <c r="T234" s="1056">
        <v>0</v>
      </c>
      <c r="U234" s="1076">
        <v>0</v>
      </c>
      <c r="V234" s="1076">
        <v>0</v>
      </c>
      <c r="W234" s="1056">
        <v>0</v>
      </c>
      <c r="X234" s="1056">
        <v>0</v>
      </c>
      <c r="Y234" s="1076">
        <v>0</v>
      </c>
      <c r="Z234" s="1056">
        <v>818504</v>
      </c>
      <c r="AA234" s="1056">
        <v>0</v>
      </c>
    </row>
    <row r="235" spans="1:16275" s="1064" customFormat="1" ht="94.5" customHeight="1">
      <c r="A235" s="1121">
        <v>31</v>
      </c>
      <c r="B235" s="1233" t="s">
        <v>1976</v>
      </c>
      <c r="C235" s="1056">
        <f t="shared" ref="C235:C240" si="150">D235+N235+P235+R235+T235+X235+Z235</f>
        <v>6906295.6599999992</v>
      </c>
      <c r="D235" s="1056">
        <f t="shared" ref="D235:D240" si="151">SUM(E235:J235)</f>
        <v>0</v>
      </c>
      <c r="E235" s="1056">
        <v>0</v>
      </c>
      <c r="F235" s="1056">
        <v>0</v>
      </c>
      <c r="G235" s="1056">
        <v>0</v>
      </c>
      <c r="H235" s="1056">
        <v>0</v>
      </c>
      <c r="I235" s="1056">
        <v>0</v>
      </c>
      <c r="J235" s="1056">
        <v>0</v>
      </c>
      <c r="K235" s="1063">
        <v>0</v>
      </c>
      <c r="L235" s="1056">
        <v>0</v>
      </c>
      <c r="M235" s="1063">
        <v>0</v>
      </c>
      <c r="N235" s="1056">
        <v>0</v>
      </c>
      <c r="O235" s="1234">
        <v>1238</v>
      </c>
      <c r="P235" s="1234">
        <v>6404658.0599999996</v>
      </c>
      <c r="Q235" s="1234">
        <v>0</v>
      </c>
      <c r="R235" s="1234">
        <v>0</v>
      </c>
      <c r="S235" s="1234">
        <v>0</v>
      </c>
      <c r="T235" s="1265">
        <v>0</v>
      </c>
      <c r="U235" s="1265">
        <v>0</v>
      </c>
      <c r="V235" s="1265">
        <v>0</v>
      </c>
      <c r="W235" s="1265">
        <v>0</v>
      </c>
      <c r="X235" s="1265">
        <v>0</v>
      </c>
      <c r="Y235" s="1265">
        <v>0</v>
      </c>
      <c r="Z235" s="1265">
        <v>501637.6</v>
      </c>
      <c r="AA235" s="1056">
        <v>0</v>
      </c>
    </row>
    <row r="236" spans="1:16275" s="1064" customFormat="1" ht="94.5" customHeight="1">
      <c r="A236" s="1121">
        <v>32</v>
      </c>
      <c r="B236" s="1233" t="s">
        <v>1977</v>
      </c>
      <c r="C236" s="1056">
        <f t="shared" si="150"/>
        <v>3564967.46</v>
      </c>
      <c r="D236" s="1056">
        <f t="shared" si="151"/>
        <v>0</v>
      </c>
      <c r="E236" s="1056">
        <v>0</v>
      </c>
      <c r="F236" s="1056">
        <v>0</v>
      </c>
      <c r="G236" s="1056">
        <v>0</v>
      </c>
      <c r="H236" s="1056">
        <v>0</v>
      </c>
      <c r="I236" s="1056">
        <v>0</v>
      </c>
      <c r="J236" s="1056">
        <v>0</v>
      </c>
      <c r="K236" s="1063">
        <v>0</v>
      </c>
      <c r="L236" s="1056">
        <v>0</v>
      </c>
      <c r="M236" s="1063">
        <v>0</v>
      </c>
      <c r="N236" s="1056">
        <v>0</v>
      </c>
      <c r="O236" s="1234">
        <v>370</v>
      </c>
      <c r="P236" s="1234">
        <v>3306026.66</v>
      </c>
      <c r="Q236" s="1234">
        <v>0</v>
      </c>
      <c r="R236" s="1234">
        <v>0</v>
      </c>
      <c r="S236" s="1234">
        <v>0</v>
      </c>
      <c r="T236" s="1265">
        <v>0</v>
      </c>
      <c r="U236" s="1265">
        <v>0</v>
      </c>
      <c r="V236" s="1265">
        <v>0</v>
      </c>
      <c r="W236" s="1265">
        <v>0</v>
      </c>
      <c r="X236" s="1265">
        <v>0</v>
      </c>
      <c r="Y236" s="1265">
        <v>0</v>
      </c>
      <c r="Z236" s="1265">
        <v>258940.79999999999</v>
      </c>
      <c r="AA236" s="1056">
        <v>0</v>
      </c>
      <c r="AB236" s="1077"/>
      <c r="AC236" s="1077"/>
      <c r="AD236" s="1077"/>
      <c r="AE236" s="1077"/>
      <c r="AF236" s="1077"/>
      <c r="AG236" s="1077"/>
      <c r="AH236" s="1077"/>
      <c r="AI236" s="1077"/>
      <c r="AJ236" s="1077"/>
      <c r="AK236" s="1077"/>
      <c r="AL236" s="1077"/>
      <c r="AM236" s="1077"/>
      <c r="AN236" s="1077"/>
      <c r="AO236" s="1077"/>
      <c r="AP236" s="1077"/>
      <c r="AQ236" s="1077"/>
      <c r="AR236" s="1077"/>
      <c r="AS236" s="1077"/>
      <c r="AT236" s="1077"/>
      <c r="AU236" s="1077"/>
      <c r="AV236" s="1077"/>
      <c r="AW236" s="1077"/>
      <c r="AX236" s="1077"/>
      <c r="AY236" s="1077"/>
      <c r="AZ236" s="1077"/>
      <c r="BA236" s="1077"/>
      <c r="BB236" s="1077"/>
      <c r="BC236" s="1077"/>
      <c r="BD236" s="1077"/>
      <c r="BE236" s="1077"/>
      <c r="BF236" s="1077"/>
      <c r="BG236" s="1077"/>
      <c r="BH236" s="1077"/>
      <c r="BI236" s="1077"/>
      <c r="BJ236" s="1077"/>
      <c r="BK236" s="1077"/>
      <c r="BL236" s="1077"/>
      <c r="BM236" s="1077"/>
      <c r="BN236" s="1077"/>
      <c r="BO236" s="1077"/>
      <c r="BP236" s="1077"/>
      <c r="BQ236" s="1077"/>
      <c r="BR236" s="1077"/>
      <c r="BS236" s="1077"/>
      <c r="BT236" s="1077"/>
      <c r="BU236" s="1077"/>
      <c r="BV236" s="1077"/>
      <c r="BW236" s="1077"/>
      <c r="BX236" s="1077"/>
      <c r="BY236" s="1077"/>
      <c r="BZ236" s="1077"/>
      <c r="CA236" s="1077"/>
      <c r="CB236" s="1077"/>
      <c r="CC236" s="1077"/>
      <c r="CD236" s="1077"/>
      <c r="CE236" s="1077"/>
      <c r="CF236" s="1077"/>
      <c r="CG236" s="1077"/>
      <c r="CH236" s="1077"/>
      <c r="CI236" s="1077"/>
      <c r="CJ236" s="1077"/>
      <c r="CK236" s="1077"/>
      <c r="CL236" s="1077"/>
      <c r="CM236" s="1077"/>
      <c r="CN236" s="1077"/>
      <c r="CO236" s="1077"/>
      <c r="CP236" s="1077"/>
      <c r="CQ236" s="1077"/>
      <c r="CR236" s="1077"/>
      <c r="CS236" s="1077"/>
      <c r="CT236" s="1077"/>
      <c r="CU236" s="1077"/>
      <c r="CV236" s="1077"/>
      <c r="CW236" s="1077"/>
      <c r="CX236" s="1077"/>
      <c r="CY236" s="1077"/>
      <c r="CZ236" s="1077"/>
      <c r="DA236" s="1077"/>
      <c r="DB236" s="1077"/>
      <c r="DC236" s="1077"/>
      <c r="DD236" s="1077"/>
      <c r="DE236" s="1077"/>
      <c r="DF236" s="1077"/>
      <c r="DG236" s="1077"/>
      <c r="DH236" s="1077"/>
      <c r="DI236" s="1077"/>
      <c r="DJ236" s="1077"/>
      <c r="DK236" s="1077"/>
      <c r="DL236" s="1077"/>
      <c r="DM236" s="1077"/>
      <c r="DN236" s="1077"/>
      <c r="DO236" s="1077"/>
      <c r="DP236" s="1077"/>
      <c r="DQ236" s="1077"/>
      <c r="DR236" s="1077"/>
      <c r="DS236" s="1077"/>
      <c r="DT236" s="1077"/>
      <c r="DU236" s="1077"/>
      <c r="DV236" s="1077"/>
      <c r="DW236" s="1077"/>
      <c r="DX236" s="1077"/>
      <c r="DY236" s="1077"/>
      <c r="DZ236" s="1077"/>
      <c r="EA236" s="1077"/>
      <c r="EB236" s="1077"/>
      <c r="EC236" s="1077"/>
      <c r="ED236" s="1077"/>
      <c r="EE236" s="1077"/>
      <c r="EF236" s="1077"/>
      <c r="EG236" s="1077"/>
      <c r="EH236" s="1077"/>
      <c r="EI236" s="1077"/>
      <c r="EJ236" s="1077"/>
      <c r="EK236" s="1077"/>
      <c r="EL236" s="1077"/>
      <c r="EM236" s="1077"/>
      <c r="EN236" s="1077"/>
      <c r="EO236" s="1077"/>
      <c r="EP236" s="1077"/>
      <c r="EQ236" s="1077"/>
      <c r="ER236" s="1077"/>
      <c r="ES236" s="1077"/>
      <c r="ET236" s="1077"/>
      <c r="EU236" s="1077"/>
      <c r="EV236" s="1077"/>
      <c r="EW236" s="1077"/>
      <c r="EX236" s="1077"/>
      <c r="EY236" s="1077"/>
      <c r="EZ236" s="1077"/>
      <c r="FA236" s="1077"/>
      <c r="FB236" s="1077"/>
      <c r="FC236" s="1077"/>
      <c r="FD236" s="1077"/>
      <c r="FE236" s="1077"/>
      <c r="FF236" s="1077"/>
      <c r="FG236" s="1077"/>
      <c r="FH236" s="1077"/>
      <c r="FI236" s="1077"/>
      <c r="FJ236" s="1077"/>
      <c r="FK236" s="1077"/>
      <c r="FL236" s="1077"/>
      <c r="FM236" s="1077"/>
      <c r="FN236" s="1077"/>
      <c r="FO236" s="1077"/>
      <c r="FP236" s="1077"/>
      <c r="FQ236" s="1077"/>
      <c r="FR236" s="1077"/>
      <c r="FS236" s="1077"/>
      <c r="FT236" s="1077"/>
      <c r="FU236" s="1077"/>
      <c r="FV236" s="1077"/>
      <c r="FW236" s="1077"/>
      <c r="FX236" s="1077"/>
      <c r="FY236" s="1077"/>
      <c r="FZ236" s="1077"/>
      <c r="GA236" s="1077"/>
      <c r="GB236" s="1077"/>
      <c r="GC236" s="1077"/>
      <c r="GD236" s="1077"/>
      <c r="GE236" s="1077"/>
      <c r="GF236" s="1077"/>
      <c r="GG236" s="1077"/>
      <c r="GH236" s="1077"/>
      <c r="GI236" s="1077"/>
      <c r="GJ236" s="1077"/>
      <c r="GK236" s="1077"/>
      <c r="GL236" s="1077"/>
      <c r="GM236" s="1077"/>
      <c r="GN236" s="1077"/>
      <c r="GO236" s="1077"/>
      <c r="GP236" s="1077"/>
      <c r="GQ236" s="1077"/>
      <c r="GR236" s="1077"/>
      <c r="GS236" s="1077"/>
      <c r="GT236" s="1077"/>
      <c r="GU236" s="1077"/>
      <c r="GV236" s="1077"/>
      <c r="GW236" s="1077"/>
      <c r="GX236" s="1077"/>
      <c r="GY236" s="1077"/>
      <c r="GZ236" s="1077"/>
      <c r="HA236" s="1077"/>
      <c r="HB236" s="1077"/>
      <c r="HC236" s="1077"/>
      <c r="HD236" s="1077"/>
      <c r="HE236" s="1077"/>
      <c r="HF236" s="1077"/>
      <c r="HG236" s="1077"/>
      <c r="HH236" s="1077"/>
      <c r="HI236" s="1077"/>
      <c r="HJ236" s="1077"/>
      <c r="HK236" s="1077"/>
      <c r="HL236" s="1077"/>
      <c r="HM236" s="1077"/>
      <c r="HN236" s="1077"/>
      <c r="HO236" s="1077"/>
      <c r="HP236" s="1077"/>
      <c r="HQ236" s="1077"/>
      <c r="HR236" s="1077"/>
      <c r="HS236" s="1077"/>
      <c r="HT236" s="1077"/>
      <c r="HU236" s="1077"/>
      <c r="HV236" s="1077"/>
      <c r="HW236" s="1077"/>
      <c r="HX236" s="1077"/>
      <c r="HY236" s="1077"/>
      <c r="HZ236" s="1077"/>
      <c r="IA236" s="1077"/>
      <c r="IB236" s="1077"/>
      <c r="IC236" s="1077"/>
      <c r="ID236" s="1077"/>
      <c r="IE236" s="1077"/>
      <c r="IF236" s="1077"/>
      <c r="IG236" s="1077"/>
      <c r="IH236" s="1077"/>
      <c r="II236" s="1077"/>
      <c r="IJ236" s="1077"/>
      <c r="IK236" s="1077"/>
      <c r="IL236" s="1077"/>
      <c r="IM236" s="1077"/>
      <c r="IN236" s="1077"/>
      <c r="IO236" s="1077"/>
      <c r="IP236" s="1077"/>
      <c r="IQ236" s="1077"/>
      <c r="IR236" s="1077"/>
      <c r="IS236" s="1077"/>
      <c r="IT236" s="1077"/>
      <c r="IU236" s="1077"/>
      <c r="IV236" s="1077"/>
      <c r="IW236" s="1077"/>
      <c r="IX236" s="1077"/>
      <c r="IY236" s="1077"/>
      <c r="IZ236" s="1077"/>
      <c r="JA236" s="1077"/>
      <c r="JB236" s="1077"/>
      <c r="JC236" s="1077"/>
      <c r="JD236" s="1077"/>
      <c r="JE236" s="1077"/>
      <c r="JF236" s="1077"/>
      <c r="JG236" s="1077"/>
      <c r="JH236" s="1077"/>
      <c r="JI236" s="1077"/>
      <c r="JJ236" s="1077"/>
      <c r="JK236" s="1077"/>
      <c r="JL236" s="1077"/>
      <c r="JM236" s="1077"/>
      <c r="JN236" s="1077"/>
      <c r="JO236" s="1077"/>
      <c r="JP236" s="1077"/>
      <c r="JQ236" s="1077"/>
      <c r="JR236" s="1077"/>
      <c r="JS236" s="1077"/>
      <c r="JT236" s="1077"/>
      <c r="JU236" s="1077"/>
      <c r="JV236" s="1077"/>
      <c r="JW236" s="1077">
        <v>8298541</v>
      </c>
      <c r="JX236" s="1077">
        <v>8298541</v>
      </c>
      <c r="JY236" s="1077">
        <v>8298541</v>
      </c>
      <c r="JZ236" s="1077">
        <v>8298541</v>
      </c>
      <c r="KA236" s="1077">
        <v>8298541</v>
      </c>
      <c r="KB236" s="1077">
        <v>8298541</v>
      </c>
      <c r="KC236" s="1077">
        <v>8298541</v>
      </c>
      <c r="KD236" s="1077">
        <v>8298541</v>
      </c>
      <c r="KE236" s="1077">
        <v>8298541</v>
      </c>
      <c r="KF236" s="1077">
        <v>8298541</v>
      </c>
      <c r="KG236" s="1077">
        <v>8298541</v>
      </c>
      <c r="KH236" s="1077">
        <v>8298541</v>
      </c>
      <c r="KI236" s="1077">
        <v>8298541</v>
      </c>
      <c r="KJ236" s="1077">
        <v>8298541</v>
      </c>
      <c r="KK236" s="1077">
        <v>8298541</v>
      </c>
      <c r="KL236" s="1077">
        <v>8298541</v>
      </c>
      <c r="KM236" s="1077">
        <v>8298541</v>
      </c>
      <c r="KN236" s="1077">
        <v>8298541</v>
      </c>
      <c r="KO236" s="1077">
        <v>8298541</v>
      </c>
      <c r="KP236" s="1077">
        <v>8298541</v>
      </c>
      <c r="KQ236" s="1077">
        <v>8298541</v>
      </c>
      <c r="KR236" s="1077">
        <v>8298541</v>
      </c>
      <c r="KS236" s="1077">
        <v>8298541</v>
      </c>
      <c r="KT236" s="1077">
        <v>8298541</v>
      </c>
      <c r="KU236" s="1077">
        <v>8298541</v>
      </c>
      <c r="KV236" s="1077">
        <v>8298541</v>
      </c>
      <c r="KW236" s="1077">
        <v>8298541</v>
      </c>
      <c r="KX236" s="1077">
        <v>8298541</v>
      </c>
      <c r="KY236" s="1077">
        <v>8298541</v>
      </c>
      <c r="KZ236" s="1077">
        <v>8298541</v>
      </c>
      <c r="LA236" s="1077">
        <v>8298541</v>
      </c>
      <c r="LB236" s="1077">
        <v>8298541</v>
      </c>
      <c r="LC236" s="1077">
        <v>8298541</v>
      </c>
      <c r="LD236" s="1077">
        <v>8298541</v>
      </c>
      <c r="LE236" s="1077">
        <v>8298541</v>
      </c>
      <c r="LF236" s="1077">
        <v>8298541</v>
      </c>
      <c r="LG236" s="1077">
        <v>8298541</v>
      </c>
      <c r="LH236" s="1077">
        <v>8298541</v>
      </c>
      <c r="LI236" s="1077">
        <v>8298541</v>
      </c>
      <c r="LJ236" s="1077">
        <v>8298541</v>
      </c>
      <c r="LK236" s="1077">
        <v>8298541</v>
      </c>
      <c r="LL236" s="1077">
        <v>8298541</v>
      </c>
      <c r="LM236" s="1077">
        <v>8298541</v>
      </c>
      <c r="LN236" s="1077">
        <v>8298541</v>
      </c>
      <c r="LO236" s="1077">
        <v>8298541</v>
      </c>
      <c r="LP236" s="1077">
        <v>8298541</v>
      </c>
      <c r="LQ236" s="1077">
        <v>8298541</v>
      </c>
      <c r="LR236" s="1077">
        <v>8298541</v>
      </c>
      <c r="LS236" s="1077">
        <v>8298541</v>
      </c>
      <c r="LT236" s="1077">
        <v>8298541</v>
      </c>
      <c r="LU236" s="1077">
        <v>8298541</v>
      </c>
      <c r="LV236" s="1077">
        <v>8298541</v>
      </c>
      <c r="LW236" s="1077">
        <v>8298541</v>
      </c>
      <c r="LX236" s="1077">
        <v>8298541</v>
      </c>
      <c r="LY236" s="1077">
        <v>8298541</v>
      </c>
      <c r="LZ236" s="1077">
        <v>8298541</v>
      </c>
      <c r="MA236" s="1077">
        <v>8298541</v>
      </c>
      <c r="MB236" s="1077">
        <v>8298541</v>
      </c>
      <c r="MC236" s="1077">
        <v>8298541</v>
      </c>
      <c r="MD236" s="1077">
        <v>8298541</v>
      </c>
      <c r="ME236" s="1077">
        <v>8298541</v>
      </c>
      <c r="MF236" s="1077">
        <v>8298541</v>
      </c>
      <c r="MG236" s="1077">
        <v>8298541</v>
      </c>
      <c r="MH236" s="1077">
        <v>8298541</v>
      </c>
      <c r="MI236" s="1077">
        <v>8298541</v>
      </c>
      <c r="MJ236" s="1077">
        <v>8298541</v>
      </c>
      <c r="MK236" s="1077">
        <v>8298541</v>
      </c>
      <c r="ML236" s="1077">
        <v>8298541</v>
      </c>
      <c r="MM236" s="1077">
        <v>8298541</v>
      </c>
      <c r="MN236" s="1077">
        <v>8298541</v>
      </c>
      <c r="MO236" s="1077">
        <v>8298541</v>
      </c>
      <c r="MP236" s="1077">
        <v>8298541</v>
      </c>
      <c r="MQ236" s="1077">
        <v>8298541</v>
      </c>
      <c r="MR236" s="1077">
        <v>8298541</v>
      </c>
      <c r="MS236" s="1077">
        <v>8298541</v>
      </c>
      <c r="MT236" s="1077">
        <v>8298541</v>
      </c>
      <c r="MU236" s="1077">
        <v>8298541</v>
      </c>
      <c r="MV236" s="1077">
        <v>8298541</v>
      </c>
      <c r="MW236" s="1077">
        <v>8298541</v>
      </c>
      <c r="MX236" s="1077">
        <v>8298541</v>
      </c>
      <c r="MY236" s="1077">
        <v>8298541</v>
      </c>
      <c r="MZ236" s="1077">
        <v>8298541</v>
      </c>
      <c r="NA236" s="1077">
        <v>8298541</v>
      </c>
      <c r="NB236" s="1077">
        <v>8298541</v>
      </c>
      <c r="NC236" s="1077">
        <v>8298541</v>
      </c>
      <c r="ND236" s="1077">
        <v>8298541</v>
      </c>
      <c r="NE236" s="1077">
        <v>8298541</v>
      </c>
      <c r="NF236" s="1077">
        <v>8298541</v>
      </c>
      <c r="NG236" s="1077">
        <v>8298541</v>
      </c>
      <c r="NH236" s="1077">
        <v>8298541</v>
      </c>
      <c r="NI236" s="1077">
        <v>8298541</v>
      </c>
      <c r="NJ236" s="1077">
        <v>8298541</v>
      </c>
      <c r="NK236" s="1077">
        <v>8298541</v>
      </c>
      <c r="NL236" s="1077">
        <v>8298541</v>
      </c>
      <c r="NM236" s="1077">
        <v>8298541</v>
      </c>
      <c r="NN236" s="1077">
        <v>8298541</v>
      </c>
      <c r="NO236" s="1077">
        <v>8298541</v>
      </c>
      <c r="NP236" s="1077">
        <v>8298541</v>
      </c>
      <c r="NQ236" s="1077">
        <v>8298541</v>
      </c>
      <c r="NR236" s="1077">
        <v>8298541</v>
      </c>
      <c r="NS236" s="1077">
        <v>8298541</v>
      </c>
      <c r="NT236" s="1077">
        <v>8298541</v>
      </c>
      <c r="NU236" s="1077">
        <v>8298541</v>
      </c>
      <c r="NV236" s="1077">
        <v>8298541</v>
      </c>
      <c r="NW236" s="1077">
        <v>8298541</v>
      </c>
      <c r="NX236" s="1077">
        <v>8298541</v>
      </c>
      <c r="NY236" s="1077">
        <v>8298541</v>
      </c>
      <c r="NZ236" s="1077">
        <v>8298541</v>
      </c>
      <c r="OA236" s="1077">
        <v>8298541</v>
      </c>
      <c r="OB236" s="1077">
        <v>8298541</v>
      </c>
      <c r="OC236" s="1077">
        <v>8298541</v>
      </c>
      <c r="OD236" s="1077">
        <v>8298541</v>
      </c>
      <c r="OE236" s="1077">
        <v>8298541</v>
      </c>
      <c r="OF236" s="1077">
        <v>8298541</v>
      </c>
      <c r="OG236" s="1077">
        <v>8298541</v>
      </c>
      <c r="OH236" s="1077">
        <v>8298541</v>
      </c>
      <c r="OI236" s="1077">
        <v>8298541</v>
      </c>
      <c r="OJ236" s="1077">
        <v>8298541</v>
      </c>
      <c r="OK236" s="1077">
        <v>8298541</v>
      </c>
      <c r="OL236" s="1077">
        <v>8298541</v>
      </c>
      <c r="OM236" s="1077">
        <v>8298541</v>
      </c>
      <c r="ON236" s="1077">
        <v>8298541</v>
      </c>
      <c r="OO236" s="1077">
        <v>8298541</v>
      </c>
      <c r="OP236" s="1077">
        <v>8298541</v>
      </c>
      <c r="OQ236" s="1077">
        <v>8298541</v>
      </c>
      <c r="OR236" s="1077">
        <v>8298541</v>
      </c>
      <c r="OS236" s="1077">
        <v>8298541</v>
      </c>
      <c r="OT236" s="1077">
        <v>8298541</v>
      </c>
      <c r="OU236" s="1077">
        <v>8298541</v>
      </c>
      <c r="OV236" s="1077">
        <v>8298541</v>
      </c>
      <c r="OW236" s="1077">
        <v>8298541</v>
      </c>
      <c r="OX236" s="1077">
        <v>8298541</v>
      </c>
      <c r="OY236" s="1077">
        <v>8298541</v>
      </c>
      <c r="OZ236" s="1077">
        <v>8298541</v>
      </c>
      <c r="PA236" s="1077">
        <v>8298541</v>
      </c>
      <c r="PB236" s="1077">
        <v>8298541</v>
      </c>
      <c r="PC236" s="1077">
        <v>8298541</v>
      </c>
      <c r="PD236" s="1077">
        <v>8298541</v>
      </c>
      <c r="PE236" s="1077">
        <v>8298541</v>
      </c>
      <c r="PF236" s="1077">
        <v>8298541</v>
      </c>
      <c r="PG236" s="1077">
        <v>8298541</v>
      </c>
      <c r="PH236" s="1077">
        <v>8298541</v>
      </c>
      <c r="PI236" s="1077">
        <v>8298541</v>
      </c>
      <c r="PJ236" s="1077">
        <v>8298541</v>
      </c>
      <c r="PK236" s="1077">
        <v>8298541</v>
      </c>
      <c r="PL236" s="1077">
        <v>8298541</v>
      </c>
      <c r="PM236" s="1077">
        <v>8298541</v>
      </c>
      <c r="PN236" s="1077">
        <v>8298541</v>
      </c>
      <c r="PO236" s="1077">
        <v>8298541</v>
      </c>
      <c r="PP236" s="1077">
        <v>8298541</v>
      </c>
      <c r="PQ236" s="1077">
        <v>8298541</v>
      </c>
      <c r="PR236" s="1077">
        <v>8298541</v>
      </c>
      <c r="PS236" s="1077">
        <v>8298541</v>
      </c>
      <c r="PT236" s="1077">
        <v>8298541</v>
      </c>
      <c r="PU236" s="1077">
        <v>8298541</v>
      </c>
      <c r="PV236" s="1077">
        <v>8298541</v>
      </c>
      <c r="PW236" s="1077">
        <v>8298541</v>
      </c>
      <c r="PX236" s="1077">
        <v>8298541</v>
      </c>
      <c r="PY236" s="1077">
        <v>8298541</v>
      </c>
      <c r="PZ236" s="1077">
        <v>8298541</v>
      </c>
      <c r="QA236" s="1077">
        <v>8298541</v>
      </c>
      <c r="QB236" s="1077">
        <v>8298541</v>
      </c>
      <c r="QC236" s="1077">
        <v>8298541</v>
      </c>
      <c r="QD236" s="1077">
        <v>8298541</v>
      </c>
      <c r="QE236" s="1077">
        <v>8298541</v>
      </c>
      <c r="QF236" s="1077">
        <v>8298541</v>
      </c>
      <c r="QG236" s="1077">
        <v>8298541</v>
      </c>
      <c r="QH236" s="1077">
        <v>8298541</v>
      </c>
      <c r="QI236" s="1077">
        <v>8298541</v>
      </c>
      <c r="QJ236" s="1077">
        <v>8298541</v>
      </c>
      <c r="QK236" s="1077">
        <v>8298541</v>
      </c>
      <c r="QL236" s="1077">
        <v>8298541</v>
      </c>
      <c r="QM236" s="1077">
        <v>8298541</v>
      </c>
      <c r="QN236" s="1077">
        <v>8298541</v>
      </c>
      <c r="QO236" s="1077">
        <v>8298541</v>
      </c>
      <c r="QP236" s="1077">
        <v>8298541</v>
      </c>
      <c r="QQ236" s="1077">
        <v>8298541</v>
      </c>
      <c r="QR236" s="1077">
        <v>8298541</v>
      </c>
      <c r="QS236" s="1077">
        <v>8298541</v>
      </c>
      <c r="QT236" s="1077">
        <v>8298541</v>
      </c>
      <c r="QU236" s="1077">
        <v>8298541</v>
      </c>
      <c r="QV236" s="1077">
        <v>8298541</v>
      </c>
      <c r="QW236" s="1077">
        <v>8298541</v>
      </c>
      <c r="QX236" s="1077">
        <v>8298541</v>
      </c>
      <c r="QY236" s="1077">
        <v>8298541</v>
      </c>
      <c r="QZ236" s="1077">
        <v>8298541</v>
      </c>
      <c r="RA236" s="1077">
        <v>8298541</v>
      </c>
      <c r="RB236" s="1077">
        <v>8298541</v>
      </c>
      <c r="RC236" s="1077">
        <v>8298541</v>
      </c>
      <c r="RD236" s="1077">
        <v>8298541</v>
      </c>
      <c r="RE236" s="1077">
        <v>8298541</v>
      </c>
      <c r="RF236" s="1077">
        <v>8298541</v>
      </c>
      <c r="RG236" s="1077">
        <v>8298541</v>
      </c>
      <c r="RH236" s="1077">
        <v>8298541</v>
      </c>
      <c r="RI236" s="1077">
        <v>8298541</v>
      </c>
      <c r="RJ236" s="1077">
        <v>8298541</v>
      </c>
      <c r="RK236" s="1077">
        <v>8298541</v>
      </c>
      <c r="RL236" s="1077">
        <v>8298541</v>
      </c>
      <c r="RM236" s="1077">
        <v>8298541</v>
      </c>
      <c r="RN236" s="1077">
        <v>8298541</v>
      </c>
      <c r="RO236" s="1077">
        <v>8298541</v>
      </c>
      <c r="RP236" s="1077">
        <v>8298541</v>
      </c>
      <c r="RQ236" s="1077">
        <v>8298541</v>
      </c>
      <c r="RR236" s="1077">
        <v>8298541</v>
      </c>
      <c r="RS236" s="1077">
        <v>8298541</v>
      </c>
      <c r="RT236" s="1077">
        <v>8298541</v>
      </c>
      <c r="RU236" s="1077">
        <v>8298541</v>
      </c>
      <c r="RV236" s="1077">
        <v>8298541</v>
      </c>
      <c r="RW236" s="1077">
        <v>8298541</v>
      </c>
      <c r="RX236" s="1077">
        <v>8298541</v>
      </c>
      <c r="RY236" s="1077">
        <v>8298541</v>
      </c>
      <c r="RZ236" s="1077">
        <v>8298541</v>
      </c>
      <c r="SA236" s="1077">
        <v>8298541</v>
      </c>
      <c r="SB236" s="1077">
        <v>8298541</v>
      </c>
      <c r="SC236" s="1077">
        <v>8298541</v>
      </c>
      <c r="SD236" s="1077">
        <v>8298541</v>
      </c>
      <c r="SE236" s="1077">
        <v>8298541</v>
      </c>
      <c r="SF236" s="1077">
        <v>8298541</v>
      </c>
      <c r="SG236" s="1077">
        <v>8298541</v>
      </c>
      <c r="SH236" s="1077">
        <v>8298541</v>
      </c>
      <c r="SI236" s="1077">
        <v>8298541</v>
      </c>
      <c r="SJ236" s="1077">
        <v>8298541</v>
      </c>
      <c r="SK236" s="1077">
        <v>8298541</v>
      </c>
      <c r="SL236" s="1077">
        <v>8298541</v>
      </c>
      <c r="SM236" s="1077">
        <v>8298541</v>
      </c>
      <c r="SN236" s="1077">
        <v>8298541</v>
      </c>
      <c r="SO236" s="1077">
        <v>8298541</v>
      </c>
      <c r="SP236" s="1077">
        <v>8298541</v>
      </c>
      <c r="SQ236" s="1077">
        <v>8298541</v>
      </c>
      <c r="SR236" s="1077">
        <v>8298541</v>
      </c>
      <c r="SS236" s="1077">
        <v>8298541</v>
      </c>
      <c r="ST236" s="1077">
        <v>8298541</v>
      </c>
      <c r="SU236" s="1077">
        <v>8298541</v>
      </c>
      <c r="SV236" s="1077">
        <v>8298541</v>
      </c>
      <c r="SW236" s="1077">
        <v>8298541</v>
      </c>
      <c r="SX236" s="1077">
        <v>8298541</v>
      </c>
      <c r="SY236" s="1077">
        <v>8298541</v>
      </c>
      <c r="SZ236" s="1077">
        <v>8298541</v>
      </c>
      <c r="TA236" s="1077">
        <v>8298541</v>
      </c>
      <c r="TB236" s="1077">
        <v>8298541</v>
      </c>
      <c r="TC236" s="1077">
        <v>8298541</v>
      </c>
      <c r="TD236" s="1077">
        <v>8298541</v>
      </c>
      <c r="TE236" s="1077">
        <v>8298541</v>
      </c>
      <c r="TF236" s="1077">
        <v>8298541</v>
      </c>
      <c r="TG236" s="1077">
        <v>8298541</v>
      </c>
      <c r="TH236" s="1077">
        <v>8298541</v>
      </c>
      <c r="TI236" s="1077">
        <v>8298541</v>
      </c>
      <c r="TJ236" s="1077">
        <v>8298541</v>
      </c>
      <c r="TK236" s="1077">
        <v>8298541</v>
      </c>
      <c r="TL236" s="1077">
        <v>8298541</v>
      </c>
      <c r="TM236" s="1077">
        <v>8298541</v>
      </c>
      <c r="TN236" s="1077">
        <v>8298541</v>
      </c>
      <c r="TO236" s="1077">
        <v>8298541</v>
      </c>
      <c r="TP236" s="1077">
        <v>8298541</v>
      </c>
      <c r="TQ236" s="1077">
        <v>8298541</v>
      </c>
      <c r="TR236" s="1077">
        <v>8298541</v>
      </c>
      <c r="TS236" s="1077">
        <v>8298541</v>
      </c>
      <c r="TT236" s="1077">
        <v>8298541</v>
      </c>
      <c r="TU236" s="1077">
        <v>8298541</v>
      </c>
      <c r="TV236" s="1077">
        <v>8298541</v>
      </c>
      <c r="TW236" s="1077">
        <v>8298541</v>
      </c>
      <c r="TX236" s="1077">
        <v>8298541</v>
      </c>
      <c r="TY236" s="1077">
        <v>8298541</v>
      </c>
      <c r="TZ236" s="1077">
        <v>8298541</v>
      </c>
      <c r="UA236" s="1077">
        <v>8298541</v>
      </c>
      <c r="UB236" s="1077">
        <v>8298541</v>
      </c>
      <c r="UC236" s="1077">
        <v>8298541</v>
      </c>
      <c r="UD236" s="1077">
        <v>8298541</v>
      </c>
      <c r="UE236" s="1077">
        <v>8298541</v>
      </c>
      <c r="UF236" s="1077">
        <v>8298541</v>
      </c>
      <c r="UG236" s="1077">
        <v>8298541</v>
      </c>
      <c r="UH236" s="1077">
        <v>8298541</v>
      </c>
      <c r="UI236" s="1077">
        <v>8298541</v>
      </c>
      <c r="UJ236" s="1077">
        <v>8298541</v>
      </c>
      <c r="UK236" s="1077">
        <v>8298541</v>
      </c>
      <c r="UL236" s="1077">
        <v>8298541</v>
      </c>
      <c r="UM236" s="1077">
        <v>8298541</v>
      </c>
      <c r="UN236" s="1077">
        <v>8298541</v>
      </c>
      <c r="UO236" s="1077">
        <v>8298541</v>
      </c>
      <c r="UP236" s="1077">
        <v>8298541</v>
      </c>
      <c r="UQ236" s="1077">
        <v>8298541</v>
      </c>
      <c r="UR236" s="1077">
        <v>8298541</v>
      </c>
      <c r="US236" s="1077">
        <v>8298541</v>
      </c>
      <c r="UT236" s="1077">
        <v>8298541</v>
      </c>
      <c r="UU236" s="1077">
        <v>8298541</v>
      </c>
      <c r="UV236" s="1077">
        <v>8298541</v>
      </c>
      <c r="UW236" s="1077">
        <v>8298541</v>
      </c>
      <c r="UX236" s="1077">
        <v>8298541</v>
      </c>
      <c r="UY236" s="1077">
        <v>8298541</v>
      </c>
      <c r="UZ236" s="1077">
        <v>8298541</v>
      </c>
      <c r="VA236" s="1077">
        <v>8298541</v>
      </c>
      <c r="VB236" s="1077">
        <v>8298541</v>
      </c>
      <c r="VC236" s="1077">
        <v>8298541</v>
      </c>
      <c r="VD236" s="1077">
        <v>8298541</v>
      </c>
      <c r="VE236" s="1077">
        <v>8298541</v>
      </c>
      <c r="VF236" s="1077">
        <v>8298541</v>
      </c>
      <c r="VG236" s="1077">
        <v>8298541</v>
      </c>
      <c r="VH236" s="1077">
        <v>8298541</v>
      </c>
      <c r="VI236" s="1077">
        <v>8298541</v>
      </c>
      <c r="VJ236" s="1077">
        <v>8298541</v>
      </c>
      <c r="VK236" s="1077">
        <v>8298541</v>
      </c>
      <c r="VL236" s="1077">
        <v>8298541</v>
      </c>
      <c r="VM236" s="1077">
        <v>8298541</v>
      </c>
      <c r="VN236" s="1077">
        <v>8298541</v>
      </c>
      <c r="VO236" s="1077">
        <v>8298541</v>
      </c>
      <c r="VP236" s="1077">
        <v>8298541</v>
      </c>
      <c r="VQ236" s="1077">
        <v>8298541</v>
      </c>
      <c r="VR236" s="1077">
        <v>8298541</v>
      </c>
      <c r="VS236" s="1077">
        <v>8298541</v>
      </c>
      <c r="VT236" s="1077">
        <v>8298541</v>
      </c>
      <c r="VU236" s="1077">
        <v>8298541</v>
      </c>
      <c r="VV236" s="1077">
        <v>8298541</v>
      </c>
      <c r="VW236" s="1077">
        <v>8298541</v>
      </c>
      <c r="VX236" s="1077">
        <v>8298541</v>
      </c>
      <c r="VY236" s="1077">
        <v>8298541</v>
      </c>
      <c r="VZ236" s="1077">
        <v>8298541</v>
      </c>
      <c r="WA236" s="1077">
        <v>8298541</v>
      </c>
      <c r="WB236" s="1077">
        <v>8298541</v>
      </c>
      <c r="WC236" s="1077">
        <v>8298541</v>
      </c>
      <c r="WD236" s="1077">
        <v>8298541</v>
      </c>
      <c r="WE236" s="1077">
        <v>8298541</v>
      </c>
      <c r="WF236" s="1077">
        <v>8298541</v>
      </c>
      <c r="WG236" s="1077">
        <v>8298541</v>
      </c>
      <c r="WH236" s="1077">
        <v>8298541</v>
      </c>
      <c r="WI236" s="1077">
        <v>8298541</v>
      </c>
      <c r="WJ236" s="1077">
        <v>8298541</v>
      </c>
      <c r="WK236" s="1077">
        <v>8298541</v>
      </c>
      <c r="WL236" s="1077">
        <v>8298541</v>
      </c>
      <c r="WM236" s="1077">
        <v>8298541</v>
      </c>
      <c r="WN236" s="1077">
        <v>8298541</v>
      </c>
      <c r="WO236" s="1077">
        <v>8298541</v>
      </c>
      <c r="WP236" s="1077">
        <v>8298541</v>
      </c>
      <c r="WQ236" s="1077">
        <v>8298541</v>
      </c>
      <c r="WR236" s="1077">
        <v>8298541</v>
      </c>
      <c r="WS236" s="1077">
        <v>8298541</v>
      </c>
      <c r="WT236" s="1077">
        <v>8298541</v>
      </c>
      <c r="WU236" s="1077">
        <v>8298541</v>
      </c>
      <c r="WV236" s="1077">
        <v>8298541</v>
      </c>
      <c r="WW236" s="1077">
        <v>8298541</v>
      </c>
      <c r="WX236" s="1077">
        <v>8298541</v>
      </c>
      <c r="WY236" s="1077">
        <v>8298541</v>
      </c>
      <c r="WZ236" s="1077">
        <v>8298541</v>
      </c>
      <c r="XA236" s="1077">
        <v>8298541</v>
      </c>
      <c r="XB236" s="1077">
        <v>8298541</v>
      </c>
      <c r="XC236" s="1077">
        <v>8298541</v>
      </c>
      <c r="XD236" s="1077">
        <v>8298541</v>
      </c>
      <c r="XE236" s="1077">
        <v>8298541</v>
      </c>
      <c r="XF236" s="1077">
        <v>8298541</v>
      </c>
      <c r="XG236" s="1077">
        <v>8298541</v>
      </c>
      <c r="XH236" s="1077">
        <v>8298541</v>
      </c>
      <c r="XI236" s="1077">
        <v>8298541</v>
      </c>
      <c r="XJ236" s="1077">
        <v>8298541</v>
      </c>
      <c r="XK236" s="1077">
        <v>8298541</v>
      </c>
      <c r="XL236" s="1077">
        <v>8298541</v>
      </c>
      <c r="XM236" s="1077">
        <v>8298541</v>
      </c>
      <c r="XN236" s="1077">
        <v>8298541</v>
      </c>
      <c r="XO236" s="1077">
        <v>8298541</v>
      </c>
      <c r="XP236" s="1077">
        <v>8298541</v>
      </c>
      <c r="XQ236" s="1077">
        <v>8298541</v>
      </c>
      <c r="XR236" s="1077">
        <v>8298541</v>
      </c>
      <c r="XS236" s="1077">
        <v>8298541</v>
      </c>
      <c r="XT236" s="1077">
        <v>8298541</v>
      </c>
      <c r="XU236" s="1077">
        <v>8298541</v>
      </c>
      <c r="XV236" s="1077">
        <v>8298541</v>
      </c>
      <c r="XW236" s="1077">
        <v>8298541</v>
      </c>
      <c r="XX236" s="1077">
        <v>8298541</v>
      </c>
      <c r="XY236" s="1077">
        <v>8298541</v>
      </c>
      <c r="XZ236" s="1077">
        <v>8298541</v>
      </c>
      <c r="YA236" s="1077">
        <v>8298541</v>
      </c>
      <c r="YB236" s="1077">
        <v>8298541</v>
      </c>
      <c r="YC236" s="1077">
        <v>8298541</v>
      </c>
      <c r="YD236" s="1077">
        <v>8298541</v>
      </c>
      <c r="YE236" s="1077">
        <v>8298541</v>
      </c>
      <c r="YF236" s="1077">
        <v>8298541</v>
      </c>
      <c r="YG236" s="1077">
        <v>8298541</v>
      </c>
      <c r="YH236" s="1077">
        <v>8298541</v>
      </c>
      <c r="YI236" s="1077">
        <v>8298541</v>
      </c>
      <c r="YJ236" s="1077">
        <v>8298541</v>
      </c>
      <c r="YK236" s="1077">
        <v>8298541</v>
      </c>
      <c r="YL236" s="1077">
        <v>8298541</v>
      </c>
      <c r="YM236" s="1077">
        <v>8298541</v>
      </c>
      <c r="YN236" s="1077">
        <v>8298541</v>
      </c>
      <c r="YO236" s="1077">
        <v>8298541</v>
      </c>
      <c r="YP236" s="1077">
        <v>8298541</v>
      </c>
      <c r="YQ236" s="1077">
        <v>8298541</v>
      </c>
      <c r="YR236" s="1077">
        <v>8298541</v>
      </c>
      <c r="YS236" s="1077">
        <v>8298541</v>
      </c>
      <c r="YT236" s="1077">
        <v>8298541</v>
      </c>
      <c r="YU236" s="1077">
        <v>8298541</v>
      </c>
      <c r="YV236" s="1077">
        <v>8298541</v>
      </c>
      <c r="YW236" s="1077">
        <v>8298541</v>
      </c>
      <c r="YX236" s="1077">
        <v>8298541</v>
      </c>
      <c r="YY236" s="1077">
        <v>8298541</v>
      </c>
      <c r="YZ236" s="1077">
        <v>8298541</v>
      </c>
      <c r="ZA236" s="1077">
        <v>8298541</v>
      </c>
      <c r="ZB236" s="1077">
        <v>8298541</v>
      </c>
      <c r="ZC236" s="1077">
        <v>8298541</v>
      </c>
      <c r="ZD236" s="1077">
        <v>8298541</v>
      </c>
      <c r="ZE236" s="1077">
        <v>8298541</v>
      </c>
      <c r="ZF236" s="1077">
        <v>8298541</v>
      </c>
      <c r="ZG236" s="1077">
        <v>8298541</v>
      </c>
      <c r="ZH236" s="1077">
        <v>8298541</v>
      </c>
      <c r="ZI236" s="1077">
        <v>8298541</v>
      </c>
      <c r="ZJ236" s="1077">
        <v>8298541</v>
      </c>
      <c r="ZK236" s="1077">
        <v>8298541</v>
      </c>
      <c r="ZL236" s="1077">
        <v>8298541</v>
      </c>
      <c r="ZM236" s="1077">
        <v>8298541</v>
      </c>
      <c r="ZN236" s="1077">
        <v>8298541</v>
      </c>
      <c r="ZO236" s="1077">
        <v>8298541</v>
      </c>
      <c r="ZP236" s="1077">
        <v>8298541</v>
      </c>
      <c r="ZQ236" s="1077">
        <v>8298541</v>
      </c>
      <c r="ZR236" s="1077">
        <v>8298541</v>
      </c>
      <c r="ZS236" s="1077">
        <v>8298541</v>
      </c>
      <c r="ZT236" s="1077">
        <v>8298541</v>
      </c>
      <c r="ZU236" s="1077">
        <v>8298541</v>
      </c>
      <c r="ZV236" s="1077">
        <v>8298541</v>
      </c>
      <c r="ZW236" s="1077">
        <v>8298541</v>
      </c>
      <c r="ZX236" s="1077">
        <v>8298541</v>
      </c>
      <c r="ZY236" s="1077">
        <v>8298541</v>
      </c>
      <c r="ZZ236" s="1077">
        <v>8298541</v>
      </c>
      <c r="AAA236" s="1077">
        <v>8298541</v>
      </c>
      <c r="AAB236" s="1077">
        <v>8298541</v>
      </c>
      <c r="AAC236" s="1077">
        <v>8298541</v>
      </c>
      <c r="AAD236" s="1077">
        <v>8298541</v>
      </c>
      <c r="AAE236" s="1077">
        <v>8298541</v>
      </c>
      <c r="AAF236" s="1077">
        <v>8298541</v>
      </c>
      <c r="AAG236" s="1077">
        <v>8298541</v>
      </c>
      <c r="AAH236" s="1077">
        <v>8298541</v>
      </c>
      <c r="AAI236" s="1077">
        <v>8298541</v>
      </c>
      <c r="AAJ236" s="1077">
        <v>8298541</v>
      </c>
      <c r="AAK236" s="1077">
        <v>8298541</v>
      </c>
      <c r="AAL236" s="1077">
        <v>8298541</v>
      </c>
      <c r="AAM236" s="1077">
        <v>8298541</v>
      </c>
      <c r="AAN236" s="1077">
        <v>8298541</v>
      </c>
      <c r="AAO236" s="1077">
        <v>8298541</v>
      </c>
      <c r="AAP236" s="1077">
        <v>8298541</v>
      </c>
      <c r="AAQ236" s="1077">
        <v>8298541</v>
      </c>
      <c r="AAR236" s="1077">
        <v>8298541</v>
      </c>
      <c r="AAS236" s="1077">
        <v>8298541</v>
      </c>
      <c r="AAT236" s="1077">
        <v>8298541</v>
      </c>
      <c r="AAU236" s="1077">
        <v>8298541</v>
      </c>
      <c r="AAV236" s="1077">
        <v>8298541</v>
      </c>
      <c r="AAW236" s="1077">
        <v>8298541</v>
      </c>
      <c r="AAX236" s="1077">
        <v>8298541</v>
      </c>
      <c r="AAY236" s="1077">
        <v>8298541</v>
      </c>
      <c r="AAZ236" s="1077">
        <v>8298541</v>
      </c>
      <c r="ABA236" s="1077">
        <v>8298541</v>
      </c>
      <c r="ABB236" s="1077">
        <v>8298541</v>
      </c>
      <c r="ABC236" s="1077">
        <v>8298541</v>
      </c>
      <c r="ABD236" s="1077">
        <v>8298541</v>
      </c>
      <c r="ABE236" s="1077">
        <v>8298541</v>
      </c>
      <c r="ABF236" s="1077">
        <v>8298541</v>
      </c>
      <c r="ABG236" s="1077">
        <v>8298541</v>
      </c>
      <c r="ABH236" s="1077">
        <v>8298541</v>
      </c>
      <c r="ABI236" s="1077">
        <v>8298541</v>
      </c>
      <c r="ABJ236" s="1077">
        <v>8298541</v>
      </c>
      <c r="ABK236" s="1077">
        <v>8298541</v>
      </c>
      <c r="ABL236" s="1077">
        <v>8298541</v>
      </c>
      <c r="ABM236" s="1077">
        <v>8298541</v>
      </c>
      <c r="ABN236" s="1077">
        <v>8298541</v>
      </c>
      <c r="ABO236" s="1077">
        <v>8298541</v>
      </c>
      <c r="ABP236" s="1077">
        <v>8298541</v>
      </c>
      <c r="ABQ236" s="1077">
        <v>8298541</v>
      </c>
      <c r="ABR236" s="1077">
        <v>8298541</v>
      </c>
      <c r="ABS236" s="1077">
        <v>8298541</v>
      </c>
      <c r="ABT236" s="1077">
        <v>8298541</v>
      </c>
      <c r="ABU236" s="1077">
        <v>8298541</v>
      </c>
      <c r="ABV236" s="1077">
        <v>8298541</v>
      </c>
      <c r="ABW236" s="1077">
        <v>8298541</v>
      </c>
      <c r="ABX236" s="1077">
        <v>8298541</v>
      </c>
      <c r="ABY236" s="1077">
        <v>8298541</v>
      </c>
      <c r="ABZ236" s="1077">
        <v>8298541</v>
      </c>
      <c r="ACA236" s="1077">
        <v>8298541</v>
      </c>
      <c r="ACB236" s="1077">
        <v>8298541</v>
      </c>
      <c r="ACC236" s="1077">
        <v>8298541</v>
      </c>
      <c r="ACD236" s="1077">
        <v>8298541</v>
      </c>
      <c r="ACE236" s="1077">
        <v>8298541</v>
      </c>
      <c r="ACF236" s="1077">
        <v>8298541</v>
      </c>
      <c r="ACG236" s="1077">
        <v>8298541</v>
      </c>
      <c r="ACH236" s="1077">
        <v>8298541</v>
      </c>
      <c r="ACI236" s="1077">
        <v>8298541</v>
      </c>
      <c r="ACJ236" s="1077">
        <v>8298541</v>
      </c>
      <c r="ACK236" s="1077">
        <v>8298541</v>
      </c>
      <c r="ACL236" s="1077">
        <v>8298541</v>
      </c>
      <c r="ACM236" s="1077">
        <v>8298541</v>
      </c>
      <c r="ACN236" s="1077">
        <v>8298541</v>
      </c>
      <c r="ACO236" s="1077">
        <v>8298541</v>
      </c>
      <c r="ACP236" s="1077">
        <v>8298541</v>
      </c>
      <c r="ACQ236" s="1077">
        <v>8298541</v>
      </c>
      <c r="ACR236" s="1077">
        <v>8298541</v>
      </c>
      <c r="ACS236" s="1077">
        <v>8298541</v>
      </c>
      <c r="ACT236" s="1077">
        <v>8298541</v>
      </c>
      <c r="ACU236" s="1077">
        <v>8298541</v>
      </c>
      <c r="ACV236" s="1077">
        <v>8298541</v>
      </c>
      <c r="ACW236" s="1077">
        <v>8298541</v>
      </c>
      <c r="ACX236" s="1077">
        <v>8298541</v>
      </c>
      <c r="ACY236" s="1077">
        <v>8298541</v>
      </c>
      <c r="ACZ236" s="1077">
        <v>8298541</v>
      </c>
      <c r="ADA236" s="1077">
        <v>8298541</v>
      </c>
      <c r="ADB236" s="1077">
        <v>8298541</v>
      </c>
      <c r="ADC236" s="1077">
        <v>8298541</v>
      </c>
      <c r="ADD236" s="1077">
        <v>8298541</v>
      </c>
      <c r="ADE236" s="1077">
        <v>8298541</v>
      </c>
      <c r="ADF236" s="1077">
        <v>8298541</v>
      </c>
      <c r="ADG236" s="1077">
        <v>8298541</v>
      </c>
      <c r="ADH236" s="1077">
        <v>8298541</v>
      </c>
      <c r="ADI236" s="1077">
        <v>8298541</v>
      </c>
      <c r="ADJ236" s="1077">
        <v>8298541</v>
      </c>
      <c r="ADK236" s="1077">
        <v>8298541</v>
      </c>
      <c r="ADL236" s="1077">
        <v>8298541</v>
      </c>
      <c r="ADM236" s="1077">
        <v>8298541</v>
      </c>
      <c r="ADN236" s="1077">
        <v>8298541</v>
      </c>
      <c r="ADO236" s="1077">
        <v>8298541</v>
      </c>
      <c r="ADP236" s="1077">
        <v>8298541</v>
      </c>
      <c r="ADQ236" s="1077">
        <v>8298541</v>
      </c>
      <c r="ADR236" s="1077">
        <v>8298541</v>
      </c>
      <c r="ADS236" s="1077">
        <v>8298541</v>
      </c>
      <c r="ADT236" s="1077">
        <v>8298541</v>
      </c>
      <c r="ADU236" s="1077">
        <v>8298541</v>
      </c>
      <c r="ADV236" s="1077">
        <v>8298541</v>
      </c>
      <c r="ADW236" s="1077">
        <v>8298541</v>
      </c>
      <c r="ADX236" s="1077">
        <v>8298541</v>
      </c>
      <c r="ADY236" s="1077">
        <v>8298541</v>
      </c>
      <c r="ADZ236" s="1077">
        <v>8298541</v>
      </c>
      <c r="AEA236" s="1077">
        <v>8298541</v>
      </c>
      <c r="AEB236" s="1077">
        <v>8298541</v>
      </c>
      <c r="AEC236" s="1077">
        <v>8298541</v>
      </c>
      <c r="AED236" s="1077">
        <v>8298541</v>
      </c>
      <c r="AEE236" s="1077">
        <v>8298541</v>
      </c>
      <c r="AEF236" s="1077">
        <v>8298541</v>
      </c>
      <c r="AEG236" s="1077">
        <v>8298541</v>
      </c>
      <c r="AEH236" s="1077">
        <v>8298541</v>
      </c>
      <c r="AEI236" s="1077">
        <v>8298541</v>
      </c>
      <c r="AEJ236" s="1077">
        <v>8298541</v>
      </c>
      <c r="AEK236" s="1077">
        <v>8298541</v>
      </c>
      <c r="AEL236" s="1077">
        <v>8298541</v>
      </c>
      <c r="AEM236" s="1077">
        <v>8298541</v>
      </c>
      <c r="AEN236" s="1077">
        <v>8298541</v>
      </c>
      <c r="AEO236" s="1077">
        <v>8298541</v>
      </c>
      <c r="AEP236" s="1077">
        <v>8298541</v>
      </c>
      <c r="AEQ236" s="1077">
        <v>8298541</v>
      </c>
      <c r="AER236" s="1077">
        <v>8298541</v>
      </c>
      <c r="AES236" s="1077">
        <v>8298541</v>
      </c>
      <c r="AET236" s="1077">
        <v>8298541</v>
      </c>
      <c r="AEU236" s="1077">
        <v>8298541</v>
      </c>
      <c r="AEV236" s="1077">
        <v>8298541</v>
      </c>
      <c r="AEW236" s="1077">
        <v>8298541</v>
      </c>
      <c r="AEX236" s="1077">
        <v>8298541</v>
      </c>
      <c r="AEY236" s="1077">
        <v>8298541</v>
      </c>
      <c r="AEZ236" s="1077">
        <v>8298541</v>
      </c>
      <c r="AFA236" s="1077">
        <v>8298541</v>
      </c>
      <c r="AFB236" s="1077">
        <v>8298541</v>
      </c>
      <c r="AFC236" s="1077">
        <v>8298541</v>
      </c>
      <c r="AFD236" s="1077">
        <v>8298541</v>
      </c>
      <c r="AFE236" s="1077">
        <v>8298541</v>
      </c>
      <c r="AFF236" s="1077">
        <v>8298541</v>
      </c>
      <c r="AFG236" s="1077">
        <v>8298541</v>
      </c>
      <c r="AFH236" s="1077">
        <v>8298541</v>
      </c>
      <c r="AFI236" s="1077">
        <v>8298541</v>
      </c>
      <c r="AFJ236" s="1077">
        <v>8298541</v>
      </c>
      <c r="AFK236" s="1077">
        <v>8298541</v>
      </c>
      <c r="AFL236" s="1077">
        <v>8298541</v>
      </c>
      <c r="AFM236" s="1077">
        <v>8298541</v>
      </c>
      <c r="AFN236" s="1077">
        <v>8298541</v>
      </c>
      <c r="AFO236" s="1077">
        <v>8298541</v>
      </c>
      <c r="AFP236" s="1077">
        <v>8298541</v>
      </c>
      <c r="AFQ236" s="1077">
        <v>8298541</v>
      </c>
      <c r="AFR236" s="1077">
        <v>8298541</v>
      </c>
      <c r="AFS236" s="1077">
        <v>8298541</v>
      </c>
      <c r="AFT236" s="1077">
        <v>8298541</v>
      </c>
      <c r="AFU236" s="1077">
        <v>8298541</v>
      </c>
      <c r="AFV236" s="1077">
        <v>8298541</v>
      </c>
      <c r="AFW236" s="1077">
        <v>8298541</v>
      </c>
      <c r="AFX236" s="1077">
        <v>8298541</v>
      </c>
      <c r="AFY236" s="1077">
        <v>8298541</v>
      </c>
      <c r="AFZ236" s="1077">
        <v>8298541</v>
      </c>
      <c r="AGA236" s="1077">
        <v>8298541</v>
      </c>
      <c r="AGB236" s="1077">
        <v>8298541</v>
      </c>
      <c r="AGC236" s="1077">
        <v>8298541</v>
      </c>
      <c r="AGD236" s="1077">
        <v>8298541</v>
      </c>
      <c r="AGE236" s="1077">
        <v>8298541</v>
      </c>
      <c r="AGF236" s="1077">
        <v>8298541</v>
      </c>
      <c r="AGG236" s="1077">
        <v>8298541</v>
      </c>
      <c r="AGH236" s="1077">
        <v>8298541</v>
      </c>
      <c r="AGI236" s="1077">
        <v>8298541</v>
      </c>
      <c r="AGJ236" s="1077">
        <v>8298541</v>
      </c>
      <c r="AGK236" s="1077">
        <v>8298541</v>
      </c>
      <c r="AGL236" s="1077">
        <v>8298541</v>
      </c>
      <c r="AGM236" s="1077">
        <v>8298541</v>
      </c>
      <c r="AGN236" s="1077">
        <v>8298541</v>
      </c>
      <c r="AGO236" s="1077">
        <v>8298541</v>
      </c>
      <c r="AGP236" s="1077">
        <v>8298541</v>
      </c>
      <c r="AGQ236" s="1077">
        <v>8298541</v>
      </c>
      <c r="AGR236" s="1077">
        <v>8298541</v>
      </c>
      <c r="AGS236" s="1077">
        <v>8298541</v>
      </c>
      <c r="AGT236" s="1077">
        <v>8298541</v>
      </c>
      <c r="AGU236" s="1077">
        <v>8298541</v>
      </c>
      <c r="AGV236" s="1077">
        <v>8298541</v>
      </c>
      <c r="AGW236" s="1077">
        <v>8298541</v>
      </c>
      <c r="AGX236" s="1077">
        <v>8298541</v>
      </c>
      <c r="AGY236" s="1077">
        <v>8298541</v>
      </c>
      <c r="AGZ236" s="1077">
        <v>8298541</v>
      </c>
      <c r="AHA236" s="1077">
        <v>8298541</v>
      </c>
      <c r="AHB236" s="1077">
        <v>8298541</v>
      </c>
      <c r="AHC236" s="1077">
        <v>8298541</v>
      </c>
      <c r="AHD236" s="1077">
        <v>8298541</v>
      </c>
      <c r="AHE236" s="1077">
        <v>8298541</v>
      </c>
      <c r="AHF236" s="1077">
        <v>8298541</v>
      </c>
      <c r="AHG236" s="1077">
        <v>8298541</v>
      </c>
      <c r="AHH236" s="1077">
        <v>8298541</v>
      </c>
      <c r="AHI236" s="1077">
        <v>8298541</v>
      </c>
      <c r="AHJ236" s="1077">
        <v>8298541</v>
      </c>
      <c r="AHK236" s="1077">
        <v>8298541</v>
      </c>
      <c r="AHL236" s="1077">
        <v>8298541</v>
      </c>
      <c r="AHM236" s="1077">
        <v>8298541</v>
      </c>
      <c r="AHN236" s="1077">
        <v>8298541</v>
      </c>
      <c r="AHO236" s="1077">
        <v>8298541</v>
      </c>
      <c r="AHP236" s="1077">
        <v>8298541</v>
      </c>
      <c r="AHQ236" s="1077">
        <v>8298541</v>
      </c>
      <c r="AHR236" s="1077">
        <v>8298541</v>
      </c>
      <c r="AHS236" s="1077">
        <v>8298541</v>
      </c>
      <c r="AHT236" s="1077">
        <v>8298541</v>
      </c>
      <c r="AHU236" s="1077">
        <v>8298541</v>
      </c>
      <c r="AHV236" s="1077">
        <v>8298541</v>
      </c>
      <c r="AHW236" s="1077">
        <v>8298541</v>
      </c>
      <c r="AHX236" s="1077">
        <v>8298541</v>
      </c>
      <c r="AHY236" s="1077">
        <v>8298541</v>
      </c>
      <c r="AHZ236" s="1077">
        <v>8298541</v>
      </c>
      <c r="AIA236" s="1077">
        <v>8298541</v>
      </c>
      <c r="AIB236" s="1077">
        <v>8298541</v>
      </c>
      <c r="AIC236" s="1077">
        <v>8298541</v>
      </c>
      <c r="AID236" s="1077">
        <v>8298541</v>
      </c>
      <c r="AIE236" s="1077">
        <v>8298541</v>
      </c>
      <c r="AIF236" s="1077">
        <v>8298541</v>
      </c>
      <c r="AIG236" s="1077">
        <v>8298541</v>
      </c>
      <c r="AIH236" s="1077">
        <v>8298541</v>
      </c>
      <c r="AII236" s="1077">
        <v>8298541</v>
      </c>
      <c r="AIJ236" s="1077">
        <v>8298541</v>
      </c>
      <c r="AIK236" s="1077">
        <v>8298541</v>
      </c>
      <c r="AIL236" s="1077">
        <v>8298541</v>
      </c>
      <c r="AIM236" s="1077">
        <v>8298541</v>
      </c>
      <c r="AIN236" s="1077">
        <v>8298541</v>
      </c>
      <c r="AIO236" s="1077">
        <v>8298541</v>
      </c>
      <c r="AIP236" s="1077">
        <v>8298541</v>
      </c>
      <c r="AIQ236" s="1077">
        <v>8298541</v>
      </c>
      <c r="AIR236" s="1077">
        <v>8298541</v>
      </c>
      <c r="AIS236" s="1077">
        <v>8298541</v>
      </c>
      <c r="AIT236" s="1077">
        <v>8298541</v>
      </c>
      <c r="AIU236" s="1077">
        <v>8298541</v>
      </c>
      <c r="AIV236" s="1077">
        <v>8298541</v>
      </c>
      <c r="AIW236" s="1077">
        <v>8298541</v>
      </c>
      <c r="AIX236" s="1077">
        <v>8298541</v>
      </c>
      <c r="AIY236" s="1077">
        <v>8298541</v>
      </c>
      <c r="AIZ236" s="1077">
        <v>8298541</v>
      </c>
      <c r="AJA236" s="1077">
        <v>8298541</v>
      </c>
      <c r="AJB236" s="1077">
        <v>8298541</v>
      </c>
      <c r="AJC236" s="1077">
        <v>8298541</v>
      </c>
      <c r="AJD236" s="1077">
        <v>8298541</v>
      </c>
      <c r="AJE236" s="1077">
        <v>8298541</v>
      </c>
      <c r="AJF236" s="1077">
        <v>8298541</v>
      </c>
      <c r="AJG236" s="1077">
        <v>8298541</v>
      </c>
      <c r="AJH236" s="1077">
        <v>8298541</v>
      </c>
      <c r="AJI236" s="1077">
        <v>8298541</v>
      </c>
      <c r="AJJ236" s="1077">
        <v>8298541</v>
      </c>
      <c r="AJK236" s="1077">
        <v>8298541</v>
      </c>
      <c r="AJL236" s="1077">
        <v>8298541</v>
      </c>
      <c r="AJM236" s="1077">
        <v>8298541</v>
      </c>
      <c r="AJN236" s="1077">
        <v>8298541</v>
      </c>
      <c r="AJO236" s="1077">
        <v>8298541</v>
      </c>
      <c r="AJP236" s="1077">
        <v>8298541</v>
      </c>
      <c r="AJQ236" s="1077">
        <v>8298541</v>
      </c>
      <c r="AJR236" s="1077">
        <v>8298541</v>
      </c>
      <c r="AJS236" s="1077">
        <v>8298541</v>
      </c>
      <c r="AJT236" s="1077">
        <v>8298541</v>
      </c>
      <c r="AJU236" s="1077">
        <v>8298541</v>
      </c>
      <c r="AJV236" s="1077">
        <v>8298541</v>
      </c>
      <c r="AJW236" s="1077">
        <v>8298541</v>
      </c>
      <c r="AJX236" s="1077">
        <v>8298541</v>
      </c>
      <c r="AJY236" s="1077">
        <v>8298541</v>
      </c>
      <c r="AJZ236" s="1077">
        <v>8298541</v>
      </c>
      <c r="AKA236" s="1077">
        <v>8298541</v>
      </c>
      <c r="AKB236" s="1077">
        <v>8298541</v>
      </c>
      <c r="AKC236" s="1077">
        <v>8298541</v>
      </c>
      <c r="AKD236" s="1077">
        <v>8298541</v>
      </c>
      <c r="AKE236" s="1077">
        <v>8298541</v>
      </c>
      <c r="AKF236" s="1077">
        <v>8298541</v>
      </c>
      <c r="AKG236" s="1077">
        <v>8298541</v>
      </c>
      <c r="AKH236" s="1077">
        <v>8298541</v>
      </c>
      <c r="AKI236" s="1077">
        <v>8298541</v>
      </c>
      <c r="AKJ236" s="1077">
        <v>8298541</v>
      </c>
      <c r="AKK236" s="1077">
        <v>8298541</v>
      </c>
      <c r="AKL236" s="1077">
        <v>8298541</v>
      </c>
      <c r="AKM236" s="1077">
        <v>8298541</v>
      </c>
      <c r="AKN236" s="1077">
        <v>8298541</v>
      </c>
      <c r="AKO236" s="1077">
        <v>8298541</v>
      </c>
      <c r="AKP236" s="1077">
        <v>8298541</v>
      </c>
      <c r="AKQ236" s="1077">
        <v>8298541</v>
      </c>
      <c r="AKR236" s="1077">
        <v>8298541</v>
      </c>
      <c r="AKS236" s="1077">
        <v>8298541</v>
      </c>
      <c r="AKT236" s="1077">
        <v>8298541</v>
      </c>
      <c r="AKU236" s="1077">
        <v>8298541</v>
      </c>
      <c r="AKV236" s="1077">
        <v>8298541</v>
      </c>
      <c r="AKW236" s="1077">
        <v>8298541</v>
      </c>
      <c r="AKX236" s="1077">
        <v>8298541</v>
      </c>
      <c r="AKY236" s="1077">
        <v>8298541</v>
      </c>
      <c r="AKZ236" s="1077">
        <v>8298541</v>
      </c>
      <c r="ALA236" s="1077">
        <v>8298541</v>
      </c>
      <c r="ALB236" s="1077">
        <v>8298541</v>
      </c>
      <c r="ALC236" s="1077">
        <v>8298541</v>
      </c>
      <c r="ALD236" s="1077">
        <v>8298541</v>
      </c>
      <c r="ALE236" s="1077">
        <v>8298541</v>
      </c>
      <c r="ALF236" s="1077">
        <v>8298541</v>
      </c>
      <c r="ALG236" s="1077">
        <v>8298541</v>
      </c>
      <c r="ALH236" s="1077">
        <v>8298541</v>
      </c>
      <c r="ALI236" s="1077">
        <v>8298541</v>
      </c>
      <c r="ALJ236" s="1077">
        <v>8298541</v>
      </c>
      <c r="ALK236" s="1077">
        <v>8298541</v>
      </c>
      <c r="ALL236" s="1077">
        <v>8298541</v>
      </c>
      <c r="ALM236" s="1077">
        <v>8298541</v>
      </c>
      <c r="ALN236" s="1077">
        <v>8298541</v>
      </c>
      <c r="ALO236" s="1077">
        <v>8298541</v>
      </c>
      <c r="ALP236" s="1077">
        <v>8298541</v>
      </c>
      <c r="ALQ236" s="1077">
        <v>8298541</v>
      </c>
      <c r="ALR236" s="1077">
        <v>8298541</v>
      </c>
      <c r="ALS236" s="1077">
        <v>8298541</v>
      </c>
      <c r="ALT236" s="1077">
        <v>8298541</v>
      </c>
      <c r="ALU236" s="1077">
        <v>8298541</v>
      </c>
      <c r="ALV236" s="1077">
        <v>8298541</v>
      </c>
      <c r="ALW236" s="1077">
        <v>8298541</v>
      </c>
      <c r="ALX236" s="1077">
        <v>8298541</v>
      </c>
      <c r="ALY236" s="1077">
        <v>8298541</v>
      </c>
      <c r="ALZ236" s="1077">
        <v>8298541</v>
      </c>
      <c r="AMA236" s="1077">
        <v>8298541</v>
      </c>
      <c r="AMB236" s="1077">
        <v>8298541</v>
      </c>
      <c r="AMC236" s="1077">
        <v>8298541</v>
      </c>
      <c r="AMD236" s="1077">
        <v>8298541</v>
      </c>
      <c r="AME236" s="1077">
        <v>8298541</v>
      </c>
      <c r="AMF236" s="1077">
        <v>8298541</v>
      </c>
      <c r="AMG236" s="1077">
        <v>8298541</v>
      </c>
      <c r="AMH236" s="1077">
        <v>8298541</v>
      </c>
      <c r="AMI236" s="1077">
        <v>8298541</v>
      </c>
      <c r="AMJ236" s="1077">
        <v>8298541</v>
      </c>
      <c r="AMK236" s="1077">
        <v>8298541</v>
      </c>
      <c r="AML236" s="1077">
        <v>8298541</v>
      </c>
      <c r="AMM236" s="1077">
        <v>8298541</v>
      </c>
      <c r="AMN236" s="1077">
        <v>8298541</v>
      </c>
      <c r="AMO236" s="1077">
        <v>8298541</v>
      </c>
      <c r="AMP236" s="1077">
        <v>8298541</v>
      </c>
      <c r="AMQ236" s="1077">
        <v>8298541</v>
      </c>
      <c r="AMR236" s="1077">
        <v>8298541</v>
      </c>
      <c r="AMS236" s="1077">
        <v>8298541</v>
      </c>
      <c r="AMT236" s="1077">
        <v>8298541</v>
      </c>
      <c r="AMU236" s="1077">
        <v>8298541</v>
      </c>
      <c r="AMV236" s="1077">
        <v>8298541</v>
      </c>
      <c r="AMW236" s="1077">
        <v>8298541</v>
      </c>
      <c r="AMX236" s="1077">
        <v>8298541</v>
      </c>
      <c r="AMY236" s="1077">
        <v>8298541</v>
      </c>
      <c r="AMZ236" s="1077">
        <v>8298541</v>
      </c>
      <c r="ANA236" s="1077">
        <v>8298541</v>
      </c>
      <c r="ANB236" s="1077">
        <v>8298541</v>
      </c>
      <c r="ANC236" s="1077">
        <v>8298541</v>
      </c>
      <c r="AND236" s="1077">
        <v>8298541</v>
      </c>
      <c r="ANE236" s="1077">
        <v>8298541</v>
      </c>
      <c r="ANF236" s="1077">
        <v>8298541</v>
      </c>
      <c r="ANG236" s="1077">
        <v>8298541</v>
      </c>
      <c r="ANH236" s="1077">
        <v>8298541</v>
      </c>
      <c r="ANI236" s="1077">
        <v>8298541</v>
      </c>
      <c r="ANJ236" s="1077">
        <v>8298541</v>
      </c>
      <c r="ANK236" s="1077">
        <v>8298541</v>
      </c>
      <c r="ANL236" s="1077">
        <v>8298541</v>
      </c>
      <c r="ANM236" s="1077">
        <v>8298541</v>
      </c>
      <c r="ANN236" s="1077">
        <v>8298541</v>
      </c>
      <c r="ANO236" s="1077">
        <v>8298541</v>
      </c>
      <c r="ANP236" s="1077">
        <v>8298541</v>
      </c>
      <c r="ANQ236" s="1077">
        <v>8298541</v>
      </c>
      <c r="ANR236" s="1077">
        <v>8298541</v>
      </c>
      <c r="ANS236" s="1077">
        <v>8298541</v>
      </c>
      <c r="ANT236" s="1077">
        <v>8298541</v>
      </c>
      <c r="ANU236" s="1077">
        <v>8298541</v>
      </c>
      <c r="ANV236" s="1077">
        <v>8298541</v>
      </c>
      <c r="ANW236" s="1077">
        <v>8298541</v>
      </c>
      <c r="ANX236" s="1077">
        <v>8298541</v>
      </c>
      <c r="ANY236" s="1077">
        <v>8298541</v>
      </c>
      <c r="ANZ236" s="1077">
        <v>8298541</v>
      </c>
      <c r="AOA236" s="1077">
        <v>8298541</v>
      </c>
      <c r="AOB236" s="1077">
        <v>8298541</v>
      </c>
      <c r="AOC236" s="1077">
        <v>8298541</v>
      </c>
      <c r="AOD236" s="1077">
        <v>8298541</v>
      </c>
      <c r="AOE236" s="1077">
        <v>8298541</v>
      </c>
      <c r="AOF236" s="1077">
        <v>8298541</v>
      </c>
      <c r="AOG236" s="1077">
        <v>8298541</v>
      </c>
      <c r="AOH236" s="1077">
        <v>8298541</v>
      </c>
      <c r="AOI236" s="1077">
        <v>8298541</v>
      </c>
      <c r="AOJ236" s="1077">
        <v>8298541</v>
      </c>
      <c r="AOK236" s="1077">
        <v>8298541</v>
      </c>
      <c r="AOL236" s="1077">
        <v>8298541</v>
      </c>
      <c r="AOM236" s="1077">
        <v>8298541</v>
      </c>
      <c r="AON236" s="1077">
        <v>8298541</v>
      </c>
      <c r="AOO236" s="1077">
        <v>8298541</v>
      </c>
      <c r="AOP236" s="1077">
        <v>8298541</v>
      </c>
      <c r="AOQ236" s="1077">
        <v>8298541</v>
      </c>
      <c r="AOR236" s="1077">
        <v>8298541</v>
      </c>
      <c r="AOS236" s="1077">
        <v>8298541</v>
      </c>
      <c r="AOT236" s="1077">
        <v>8298541</v>
      </c>
      <c r="AOU236" s="1077">
        <v>8298541</v>
      </c>
      <c r="AOV236" s="1077">
        <v>8298541</v>
      </c>
      <c r="AOW236" s="1077">
        <v>8298541</v>
      </c>
      <c r="AOX236" s="1077">
        <v>8298541</v>
      </c>
      <c r="AOY236" s="1077">
        <v>8298541</v>
      </c>
      <c r="AOZ236" s="1077">
        <v>8298541</v>
      </c>
      <c r="APA236" s="1077">
        <v>8298541</v>
      </c>
      <c r="APB236" s="1077">
        <v>8298541</v>
      </c>
      <c r="APC236" s="1077">
        <v>8298541</v>
      </c>
      <c r="APD236" s="1077">
        <v>8298541</v>
      </c>
      <c r="APE236" s="1077">
        <v>8298541</v>
      </c>
      <c r="APF236" s="1077">
        <v>8298541</v>
      </c>
      <c r="APG236" s="1077">
        <v>8298541</v>
      </c>
      <c r="APH236" s="1077">
        <v>8298541</v>
      </c>
      <c r="API236" s="1077">
        <v>8298541</v>
      </c>
      <c r="APJ236" s="1077">
        <v>8298541</v>
      </c>
      <c r="APK236" s="1077">
        <v>8298541</v>
      </c>
      <c r="APL236" s="1077">
        <v>8298541</v>
      </c>
      <c r="APM236" s="1077">
        <v>8298541</v>
      </c>
      <c r="APN236" s="1077">
        <v>8298541</v>
      </c>
      <c r="APO236" s="1077">
        <v>8298541</v>
      </c>
      <c r="APP236" s="1077">
        <v>8298541</v>
      </c>
      <c r="APQ236" s="1077">
        <v>8298541</v>
      </c>
      <c r="APR236" s="1077">
        <v>8298541</v>
      </c>
      <c r="APS236" s="1077">
        <v>8298541</v>
      </c>
      <c r="APT236" s="1077">
        <v>8298541</v>
      </c>
      <c r="APU236" s="1077">
        <v>8298541</v>
      </c>
      <c r="APV236" s="1077">
        <v>8298541</v>
      </c>
      <c r="APW236" s="1077">
        <v>8298541</v>
      </c>
      <c r="APX236" s="1077">
        <v>8298541</v>
      </c>
      <c r="APY236" s="1077">
        <v>8298541</v>
      </c>
      <c r="APZ236" s="1077">
        <v>8298541</v>
      </c>
      <c r="AQA236" s="1077">
        <v>8298541</v>
      </c>
      <c r="AQB236" s="1077">
        <v>8298541</v>
      </c>
      <c r="AQC236" s="1077">
        <v>8298541</v>
      </c>
      <c r="AQD236" s="1077">
        <v>8298541</v>
      </c>
      <c r="AQE236" s="1077">
        <v>8298541</v>
      </c>
      <c r="AQF236" s="1077">
        <v>8298541</v>
      </c>
      <c r="AQG236" s="1077">
        <v>8298541</v>
      </c>
      <c r="AQH236" s="1077">
        <v>8298541</v>
      </c>
      <c r="AQI236" s="1077">
        <v>8298541</v>
      </c>
      <c r="AQJ236" s="1077">
        <v>8298541</v>
      </c>
      <c r="AQK236" s="1077">
        <v>8298541</v>
      </c>
      <c r="AQL236" s="1077">
        <v>8298541</v>
      </c>
      <c r="AQM236" s="1077">
        <v>8298541</v>
      </c>
      <c r="AQN236" s="1077">
        <v>8298541</v>
      </c>
      <c r="AQO236" s="1077">
        <v>8298541</v>
      </c>
      <c r="AQP236" s="1077">
        <v>8298541</v>
      </c>
      <c r="AQQ236" s="1077">
        <v>8298541</v>
      </c>
      <c r="AQR236" s="1077">
        <v>8298541</v>
      </c>
      <c r="AQS236" s="1077">
        <v>8298541</v>
      </c>
      <c r="AQT236" s="1077">
        <v>8298541</v>
      </c>
      <c r="AQU236" s="1077">
        <v>8298541</v>
      </c>
      <c r="AQV236" s="1077">
        <v>8298541</v>
      </c>
      <c r="AQW236" s="1077">
        <v>8298541</v>
      </c>
      <c r="AQX236" s="1077">
        <v>8298541</v>
      </c>
      <c r="AQY236" s="1077">
        <v>8298541</v>
      </c>
      <c r="AQZ236" s="1077">
        <v>8298541</v>
      </c>
      <c r="ARA236" s="1077">
        <v>8298541</v>
      </c>
      <c r="ARB236" s="1077">
        <v>8298541</v>
      </c>
      <c r="ARC236" s="1077">
        <v>8298541</v>
      </c>
      <c r="ARD236" s="1077">
        <v>8298541</v>
      </c>
      <c r="ARE236" s="1077">
        <v>8298541</v>
      </c>
      <c r="ARF236" s="1077">
        <v>8298541</v>
      </c>
      <c r="ARG236" s="1077">
        <v>8298541</v>
      </c>
      <c r="ARH236" s="1077">
        <v>8298541</v>
      </c>
      <c r="ARI236" s="1077">
        <v>8298541</v>
      </c>
      <c r="ARJ236" s="1077">
        <v>8298541</v>
      </c>
      <c r="ARK236" s="1077">
        <v>8298541</v>
      </c>
      <c r="ARL236" s="1077">
        <v>8298541</v>
      </c>
      <c r="ARM236" s="1077">
        <v>8298541</v>
      </c>
      <c r="ARN236" s="1077">
        <v>8298541</v>
      </c>
      <c r="ARO236" s="1077">
        <v>8298541</v>
      </c>
      <c r="ARP236" s="1077">
        <v>8298541</v>
      </c>
      <c r="ARQ236" s="1077">
        <v>8298541</v>
      </c>
      <c r="ARR236" s="1077">
        <v>8298541</v>
      </c>
      <c r="ARS236" s="1077">
        <v>8298541</v>
      </c>
      <c r="ART236" s="1077">
        <v>8298541</v>
      </c>
      <c r="ARU236" s="1077">
        <v>8298541</v>
      </c>
      <c r="ARV236" s="1077">
        <v>8298541</v>
      </c>
      <c r="ARW236" s="1077">
        <v>8298541</v>
      </c>
      <c r="ARX236" s="1077">
        <v>8298541</v>
      </c>
      <c r="ARY236" s="1077">
        <v>8298541</v>
      </c>
      <c r="ARZ236" s="1077">
        <v>8298541</v>
      </c>
      <c r="ASA236" s="1077">
        <v>8298541</v>
      </c>
      <c r="ASB236" s="1077">
        <v>8298541</v>
      </c>
      <c r="ASC236" s="1077">
        <v>8298541</v>
      </c>
      <c r="ASD236" s="1077">
        <v>8298541</v>
      </c>
      <c r="ASE236" s="1077">
        <v>8298541</v>
      </c>
      <c r="ASF236" s="1077">
        <v>8298541</v>
      </c>
      <c r="ASG236" s="1077">
        <v>8298541</v>
      </c>
      <c r="ASH236" s="1077">
        <v>8298541</v>
      </c>
      <c r="ASI236" s="1077">
        <v>8298541</v>
      </c>
      <c r="ASJ236" s="1077">
        <v>8298541</v>
      </c>
      <c r="ASK236" s="1077">
        <v>8298541</v>
      </c>
      <c r="ASL236" s="1077">
        <v>8298541</v>
      </c>
      <c r="ASM236" s="1077">
        <v>8298541</v>
      </c>
      <c r="ASN236" s="1077">
        <v>8298541</v>
      </c>
      <c r="ASO236" s="1077">
        <v>8298541</v>
      </c>
      <c r="ASP236" s="1077">
        <v>8298541</v>
      </c>
      <c r="ASQ236" s="1077">
        <v>8298541</v>
      </c>
      <c r="ASR236" s="1077">
        <v>8298541</v>
      </c>
      <c r="ASS236" s="1077">
        <v>8298541</v>
      </c>
      <c r="AST236" s="1077">
        <v>8298541</v>
      </c>
      <c r="ASU236" s="1077">
        <v>8298541</v>
      </c>
      <c r="ASV236" s="1077">
        <v>8298541</v>
      </c>
      <c r="ASW236" s="1077">
        <v>8298541</v>
      </c>
      <c r="ASX236" s="1077">
        <v>8298541</v>
      </c>
      <c r="ASY236" s="1077">
        <v>8298541</v>
      </c>
      <c r="ASZ236" s="1077">
        <v>8298541</v>
      </c>
      <c r="ATA236" s="1077">
        <v>8298541</v>
      </c>
      <c r="ATB236" s="1077">
        <v>8298541</v>
      </c>
      <c r="ATC236" s="1077">
        <v>8298541</v>
      </c>
      <c r="ATD236" s="1077">
        <v>8298541</v>
      </c>
      <c r="ATE236" s="1077">
        <v>8298541</v>
      </c>
      <c r="ATF236" s="1077">
        <v>8298541</v>
      </c>
      <c r="ATG236" s="1077">
        <v>8298541</v>
      </c>
      <c r="ATH236" s="1077">
        <v>8298541</v>
      </c>
      <c r="ATI236" s="1077">
        <v>8298541</v>
      </c>
      <c r="ATJ236" s="1077">
        <v>8298541</v>
      </c>
      <c r="ATK236" s="1077">
        <v>8298541</v>
      </c>
      <c r="ATL236" s="1077">
        <v>8298541</v>
      </c>
      <c r="ATM236" s="1077">
        <v>8298541</v>
      </c>
      <c r="ATN236" s="1077">
        <v>8298541</v>
      </c>
      <c r="ATO236" s="1077">
        <v>8298541</v>
      </c>
      <c r="ATP236" s="1077">
        <v>8298541</v>
      </c>
      <c r="ATQ236" s="1077">
        <v>8298541</v>
      </c>
      <c r="ATR236" s="1077">
        <v>8298541</v>
      </c>
      <c r="ATS236" s="1077">
        <v>8298541</v>
      </c>
      <c r="ATT236" s="1077">
        <v>8298541</v>
      </c>
      <c r="ATU236" s="1077">
        <v>8298541</v>
      </c>
      <c r="ATV236" s="1077">
        <v>8298541</v>
      </c>
      <c r="ATW236" s="1077">
        <v>8298541</v>
      </c>
      <c r="ATX236" s="1077">
        <v>8298541</v>
      </c>
      <c r="ATY236" s="1077">
        <v>8298541</v>
      </c>
      <c r="ATZ236" s="1077">
        <v>8298541</v>
      </c>
      <c r="AUA236" s="1077">
        <v>8298541</v>
      </c>
      <c r="AUB236" s="1077">
        <v>8298541</v>
      </c>
      <c r="AUC236" s="1077">
        <v>8298541</v>
      </c>
      <c r="AUD236" s="1077">
        <v>8298541</v>
      </c>
      <c r="AUE236" s="1077">
        <v>8298541</v>
      </c>
      <c r="AUF236" s="1077">
        <v>8298541</v>
      </c>
      <c r="AUG236" s="1077">
        <v>8298541</v>
      </c>
      <c r="AUH236" s="1077">
        <v>8298541</v>
      </c>
      <c r="AUI236" s="1077">
        <v>8298541</v>
      </c>
      <c r="AUJ236" s="1077">
        <v>8298541</v>
      </c>
      <c r="AUK236" s="1077">
        <v>8298541</v>
      </c>
      <c r="AUL236" s="1077">
        <v>8298541</v>
      </c>
      <c r="AUM236" s="1077">
        <v>8298541</v>
      </c>
      <c r="AUN236" s="1077">
        <v>8298541</v>
      </c>
      <c r="AUO236" s="1077">
        <v>8298541</v>
      </c>
      <c r="AUP236" s="1077">
        <v>8298541</v>
      </c>
      <c r="AUQ236" s="1077">
        <v>8298541</v>
      </c>
      <c r="AUR236" s="1077">
        <v>8298541</v>
      </c>
      <c r="AUS236" s="1077">
        <v>8298541</v>
      </c>
      <c r="AUT236" s="1077">
        <v>8298541</v>
      </c>
      <c r="AUU236" s="1077">
        <v>8298541</v>
      </c>
      <c r="AUV236" s="1077">
        <v>8298541</v>
      </c>
      <c r="AUW236" s="1077">
        <v>8298541</v>
      </c>
      <c r="AUX236" s="1077">
        <v>8298541</v>
      </c>
      <c r="AUY236" s="1077">
        <v>8298541</v>
      </c>
      <c r="AUZ236" s="1077">
        <v>8298541</v>
      </c>
      <c r="AVA236" s="1077">
        <v>8298541</v>
      </c>
      <c r="AVB236" s="1077">
        <v>8298541</v>
      </c>
      <c r="AVC236" s="1077">
        <v>8298541</v>
      </c>
      <c r="AVD236" s="1077">
        <v>8298541</v>
      </c>
      <c r="AVE236" s="1077">
        <v>8298541</v>
      </c>
      <c r="AVF236" s="1077">
        <v>8298541</v>
      </c>
      <c r="AVG236" s="1077">
        <v>8298541</v>
      </c>
      <c r="AVH236" s="1077">
        <v>8298541</v>
      </c>
      <c r="AVI236" s="1077">
        <v>8298541</v>
      </c>
      <c r="AVJ236" s="1077">
        <v>8298541</v>
      </c>
      <c r="AVK236" s="1077">
        <v>8298541</v>
      </c>
      <c r="AVL236" s="1077">
        <v>8298541</v>
      </c>
      <c r="AVM236" s="1077">
        <v>8298541</v>
      </c>
      <c r="AVN236" s="1077">
        <v>8298541</v>
      </c>
      <c r="AVO236" s="1077">
        <v>8298541</v>
      </c>
      <c r="AVP236" s="1077">
        <v>8298541</v>
      </c>
      <c r="AVQ236" s="1077">
        <v>8298541</v>
      </c>
      <c r="AVR236" s="1077">
        <v>8298541</v>
      </c>
      <c r="AVS236" s="1077">
        <v>8298541</v>
      </c>
      <c r="AVT236" s="1077">
        <v>8298541</v>
      </c>
      <c r="AVU236" s="1077">
        <v>8298541</v>
      </c>
      <c r="AVV236" s="1077">
        <v>8298541</v>
      </c>
      <c r="AVW236" s="1077">
        <v>8298541</v>
      </c>
      <c r="AVX236" s="1077">
        <v>8298541</v>
      </c>
      <c r="AVY236" s="1077">
        <v>8298541</v>
      </c>
      <c r="AVZ236" s="1077">
        <v>8298541</v>
      </c>
      <c r="AWA236" s="1077">
        <v>8298541</v>
      </c>
      <c r="AWB236" s="1077">
        <v>8298541</v>
      </c>
      <c r="AWC236" s="1077">
        <v>8298541</v>
      </c>
      <c r="AWD236" s="1077">
        <v>8298541</v>
      </c>
      <c r="AWE236" s="1077">
        <v>8298541</v>
      </c>
      <c r="AWF236" s="1077">
        <v>8298541</v>
      </c>
      <c r="AWG236" s="1077">
        <v>8298541</v>
      </c>
      <c r="AWH236" s="1077">
        <v>8298541</v>
      </c>
      <c r="AWI236" s="1077">
        <v>8298541</v>
      </c>
      <c r="AWJ236" s="1077">
        <v>8298541</v>
      </c>
      <c r="AWK236" s="1077">
        <v>8298541</v>
      </c>
      <c r="AWL236" s="1077">
        <v>8298541</v>
      </c>
      <c r="AWM236" s="1077">
        <v>8298541</v>
      </c>
      <c r="AWN236" s="1077">
        <v>8298541</v>
      </c>
      <c r="AWO236" s="1077">
        <v>8298541</v>
      </c>
      <c r="AWP236" s="1077">
        <v>8298541</v>
      </c>
      <c r="AWQ236" s="1077">
        <v>8298541</v>
      </c>
      <c r="AWR236" s="1077">
        <v>8298541</v>
      </c>
      <c r="AWS236" s="1077">
        <v>8298541</v>
      </c>
      <c r="AWT236" s="1077">
        <v>8298541</v>
      </c>
      <c r="AWU236" s="1077">
        <v>8298541</v>
      </c>
      <c r="AWV236" s="1077">
        <v>8298541</v>
      </c>
      <c r="AWW236" s="1077">
        <v>8298541</v>
      </c>
      <c r="AWX236" s="1077">
        <v>8298541</v>
      </c>
      <c r="AWY236" s="1077">
        <v>8298541</v>
      </c>
      <c r="AWZ236" s="1077">
        <v>8298541</v>
      </c>
      <c r="AXA236" s="1077">
        <v>8298541</v>
      </c>
      <c r="AXB236" s="1077">
        <v>8298541</v>
      </c>
      <c r="AXC236" s="1077">
        <v>8298541</v>
      </c>
      <c r="AXD236" s="1077">
        <v>8298541</v>
      </c>
      <c r="AXE236" s="1077">
        <v>8298541</v>
      </c>
      <c r="AXF236" s="1077">
        <v>8298541</v>
      </c>
      <c r="AXG236" s="1077">
        <v>8298541</v>
      </c>
      <c r="AXH236" s="1077">
        <v>8298541</v>
      </c>
      <c r="AXI236" s="1077">
        <v>8298541</v>
      </c>
      <c r="AXJ236" s="1077">
        <v>8298541</v>
      </c>
      <c r="AXK236" s="1077">
        <v>8298541</v>
      </c>
      <c r="AXL236" s="1077">
        <v>8298541</v>
      </c>
      <c r="AXM236" s="1077">
        <v>8298541</v>
      </c>
      <c r="AXN236" s="1077">
        <v>8298541</v>
      </c>
      <c r="AXO236" s="1077">
        <v>8298541</v>
      </c>
      <c r="AXP236" s="1077">
        <v>8298541</v>
      </c>
      <c r="AXQ236" s="1077">
        <v>8298541</v>
      </c>
      <c r="AXR236" s="1077">
        <v>8298541</v>
      </c>
      <c r="AXS236" s="1077">
        <v>8298541</v>
      </c>
      <c r="AXT236" s="1077">
        <v>8298541</v>
      </c>
      <c r="AXU236" s="1077">
        <v>8298541</v>
      </c>
      <c r="AXV236" s="1077">
        <v>8298541</v>
      </c>
      <c r="AXW236" s="1077">
        <v>8298541</v>
      </c>
      <c r="AXX236" s="1077">
        <v>8298541</v>
      </c>
      <c r="AXY236" s="1077">
        <v>8298541</v>
      </c>
      <c r="AXZ236" s="1077">
        <v>8298541</v>
      </c>
      <c r="AYA236" s="1077">
        <v>8298541</v>
      </c>
      <c r="AYB236" s="1077">
        <v>8298541</v>
      </c>
      <c r="AYC236" s="1077">
        <v>8298541</v>
      </c>
      <c r="AYD236" s="1077">
        <v>8298541</v>
      </c>
      <c r="AYE236" s="1077">
        <v>8298541</v>
      </c>
      <c r="AYF236" s="1077">
        <v>8298541</v>
      </c>
      <c r="AYG236" s="1077">
        <v>8298541</v>
      </c>
      <c r="AYH236" s="1077">
        <v>8298541</v>
      </c>
      <c r="AYI236" s="1077">
        <v>8298541</v>
      </c>
      <c r="AYJ236" s="1077">
        <v>8298541</v>
      </c>
      <c r="AYK236" s="1077">
        <v>8298541</v>
      </c>
      <c r="AYL236" s="1077">
        <v>8298541</v>
      </c>
      <c r="AYM236" s="1077">
        <v>8298541</v>
      </c>
      <c r="AYN236" s="1077">
        <v>8298541</v>
      </c>
      <c r="AYO236" s="1077">
        <v>8298541</v>
      </c>
      <c r="AYP236" s="1077">
        <v>8298541</v>
      </c>
      <c r="AYQ236" s="1077">
        <v>8298541</v>
      </c>
      <c r="AYR236" s="1077">
        <v>8298541</v>
      </c>
      <c r="AYS236" s="1077">
        <v>8298541</v>
      </c>
      <c r="AYT236" s="1077">
        <v>8298541</v>
      </c>
      <c r="AYU236" s="1077">
        <v>8298541</v>
      </c>
      <c r="AYV236" s="1077">
        <v>8298541</v>
      </c>
      <c r="AYW236" s="1077">
        <v>8298541</v>
      </c>
      <c r="AYX236" s="1077">
        <v>8298541</v>
      </c>
      <c r="AYY236" s="1077">
        <v>8298541</v>
      </c>
      <c r="AYZ236" s="1077">
        <v>8298541</v>
      </c>
      <c r="AZA236" s="1077">
        <v>8298541</v>
      </c>
      <c r="AZB236" s="1077">
        <v>8298541</v>
      </c>
      <c r="AZC236" s="1077">
        <v>8298541</v>
      </c>
      <c r="AZD236" s="1077">
        <v>8298541</v>
      </c>
      <c r="AZE236" s="1077">
        <v>8298541</v>
      </c>
      <c r="AZF236" s="1077">
        <v>8298541</v>
      </c>
      <c r="AZG236" s="1077">
        <v>8298541</v>
      </c>
      <c r="AZH236" s="1077">
        <v>8298541</v>
      </c>
      <c r="AZI236" s="1077">
        <v>8298541</v>
      </c>
      <c r="AZJ236" s="1077">
        <v>8298541</v>
      </c>
      <c r="AZK236" s="1077">
        <v>8298541</v>
      </c>
      <c r="AZL236" s="1077">
        <v>8298541</v>
      </c>
      <c r="AZM236" s="1077">
        <v>8298541</v>
      </c>
      <c r="AZN236" s="1077">
        <v>8298541</v>
      </c>
      <c r="AZO236" s="1077">
        <v>8298541</v>
      </c>
      <c r="AZP236" s="1077">
        <v>8298541</v>
      </c>
      <c r="AZQ236" s="1077">
        <v>8298541</v>
      </c>
      <c r="AZR236" s="1077">
        <v>8298541</v>
      </c>
      <c r="AZS236" s="1077">
        <v>8298541</v>
      </c>
      <c r="AZT236" s="1077">
        <v>8298541</v>
      </c>
      <c r="AZU236" s="1077">
        <v>8298541</v>
      </c>
      <c r="AZV236" s="1077">
        <v>8298541</v>
      </c>
      <c r="AZW236" s="1077">
        <v>8298541</v>
      </c>
      <c r="AZX236" s="1077">
        <v>8298541</v>
      </c>
      <c r="AZY236" s="1077">
        <v>8298541</v>
      </c>
      <c r="AZZ236" s="1077">
        <v>8298541</v>
      </c>
      <c r="BAA236" s="1077">
        <v>8298541</v>
      </c>
      <c r="BAB236" s="1077">
        <v>8298541</v>
      </c>
      <c r="BAC236" s="1077">
        <v>8298541</v>
      </c>
      <c r="BAD236" s="1077">
        <v>8298541</v>
      </c>
      <c r="BAE236" s="1077">
        <v>8298541</v>
      </c>
      <c r="BAF236" s="1077">
        <v>8298541</v>
      </c>
      <c r="BAG236" s="1077">
        <v>8298541</v>
      </c>
      <c r="BAH236" s="1077">
        <v>8298541</v>
      </c>
      <c r="BAI236" s="1077">
        <v>8298541</v>
      </c>
      <c r="BAJ236" s="1077">
        <v>8298541</v>
      </c>
      <c r="BAK236" s="1077">
        <v>8298541</v>
      </c>
      <c r="BAL236" s="1077">
        <v>8298541</v>
      </c>
      <c r="BAM236" s="1077">
        <v>8298541</v>
      </c>
      <c r="BAN236" s="1077">
        <v>8298541</v>
      </c>
      <c r="BAO236" s="1077">
        <v>8298541</v>
      </c>
      <c r="BAP236" s="1077">
        <v>8298541</v>
      </c>
      <c r="BAQ236" s="1077">
        <v>8298541</v>
      </c>
      <c r="BAR236" s="1077">
        <v>8298541</v>
      </c>
      <c r="BAS236" s="1077">
        <v>8298541</v>
      </c>
      <c r="BAT236" s="1077">
        <v>8298541</v>
      </c>
      <c r="BAU236" s="1077">
        <v>8298541</v>
      </c>
      <c r="BAV236" s="1077">
        <v>8298541</v>
      </c>
      <c r="BAW236" s="1077">
        <v>8298541</v>
      </c>
      <c r="BAX236" s="1077">
        <v>8298541</v>
      </c>
      <c r="BAY236" s="1077">
        <v>8298541</v>
      </c>
      <c r="BAZ236" s="1077">
        <v>8298541</v>
      </c>
      <c r="BBA236" s="1077">
        <v>8298541</v>
      </c>
      <c r="BBB236" s="1077">
        <v>8298541</v>
      </c>
      <c r="BBC236" s="1077">
        <v>8298541</v>
      </c>
      <c r="BBD236" s="1077">
        <v>8298541</v>
      </c>
      <c r="BBE236" s="1077">
        <v>8298541</v>
      </c>
      <c r="BBF236" s="1077">
        <v>8298541</v>
      </c>
      <c r="BBG236" s="1077">
        <v>8298541</v>
      </c>
      <c r="BBH236" s="1077">
        <v>8298541</v>
      </c>
      <c r="BBI236" s="1077">
        <v>8298541</v>
      </c>
      <c r="BBJ236" s="1077">
        <v>8298541</v>
      </c>
      <c r="BBK236" s="1077">
        <v>8298541</v>
      </c>
      <c r="BBL236" s="1077">
        <v>8298541</v>
      </c>
      <c r="BBM236" s="1077">
        <v>8298541</v>
      </c>
      <c r="BBN236" s="1077">
        <v>8298541</v>
      </c>
      <c r="BBO236" s="1077">
        <v>8298541</v>
      </c>
      <c r="BBP236" s="1077">
        <v>8298541</v>
      </c>
      <c r="BBQ236" s="1077">
        <v>8298541</v>
      </c>
      <c r="BBR236" s="1077">
        <v>8298541</v>
      </c>
      <c r="BBS236" s="1077">
        <v>8298541</v>
      </c>
      <c r="BBT236" s="1077">
        <v>8298541</v>
      </c>
      <c r="BBU236" s="1077">
        <v>8298541</v>
      </c>
      <c r="BBV236" s="1077">
        <v>8298541</v>
      </c>
      <c r="BBW236" s="1077">
        <v>8298541</v>
      </c>
      <c r="BBX236" s="1077">
        <v>8298541</v>
      </c>
      <c r="BBY236" s="1077">
        <v>8298541</v>
      </c>
      <c r="BBZ236" s="1077">
        <v>8298541</v>
      </c>
      <c r="BCA236" s="1077">
        <v>8298541</v>
      </c>
      <c r="BCB236" s="1077">
        <v>8298541</v>
      </c>
      <c r="BCC236" s="1077">
        <v>8298541</v>
      </c>
      <c r="BCD236" s="1077">
        <v>8298541</v>
      </c>
      <c r="BCE236" s="1077">
        <v>8298541</v>
      </c>
      <c r="BCF236" s="1077">
        <v>8298541</v>
      </c>
      <c r="BCG236" s="1077">
        <v>8298541</v>
      </c>
      <c r="BCH236" s="1077">
        <v>8298541</v>
      </c>
      <c r="BCI236" s="1077">
        <v>8298541</v>
      </c>
      <c r="BCJ236" s="1077">
        <v>8298541</v>
      </c>
      <c r="BCK236" s="1077">
        <v>8298541</v>
      </c>
      <c r="BCL236" s="1077">
        <v>8298541</v>
      </c>
      <c r="BCM236" s="1077">
        <v>8298541</v>
      </c>
      <c r="BCN236" s="1077">
        <v>8298541</v>
      </c>
      <c r="BCO236" s="1077">
        <v>8298541</v>
      </c>
      <c r="BCP236" s="1077">
        <v>8298541</v>
      </c>
      <c r="BCQ236" s="1077">
        <v>8298541</v>
      </c>
      <c r="BCR236" s="1077">
        <v>8298541</v>
      </c>
      <c r="BCS236" s="1077">
        <v>8298541</v>
      </c>
      <c r="BCT236" s="1077">
        <v>8298541</v>
      </c>
      <c r="BCU236" s="1077">
        <v>8298541</v>
      </c>
      <c r="BCV236" s="1077">
        <v>8298541</v>
      </c>
      <c r="BCW236" s="1077">
        <v>8298541</v>
      </c>
      <c r="BCX236" s="1077">
        <v>8298541</v>
      </c>
      <c r="BCY236" s="1077">
        <v>8298541</v>
      </c>
      <c r="BCZ236" s="1077">
        <v>8298541</v>
      </c>
      <c r="BDA236" s="1077">
        <v>8298541</v>
      </c>
      <c r="BDB236" s="1077">
        <v>8298541</v>
      </c>
      <c r="BDC236" s="1077">
        <v>8298541</v>
      </c>
      <c r="BDD236" s="1077">
        <v>8298541</v>
      </c>
      <c r="BDE236" s="1077">
        <v>8298541</v>
      </c>
      <c r="BDF236" s="1077">
        <v>8298541</v>
      </c>
      <c r="BDG236" s="1077">
        <v>8298541</v>
      </c>
      <c r="BDH236" s="1077">
        <v>8298541</v>
      </c>
      <c r="BDI236" s="1077">
        <v>8298541</v>
      </c>
      <c r="BDJ236" s="1077">
        <v>8298541</v>
      </c>
      <c r="BDK236" s="1077">
        <v>8298541</v>
      </c>
      <c r="BDL236" s="1077">
        <v>8298541</v>
      </c>
      <c r="BDM236" s="1077">
        <v>8298541</v>
      </c>
      <c r="BDN236" s="1077">
        <v>8298541</v>
      </c>
      <c r="BDO236" s="1077">
        <v>8298541</v>
      </c>
      <c r="BDP236" s="1077">
        <v>8298541</v>
      </c>
      <c r="BDQ236" s="1077">
        <v>8298541</v>
      </c>
      <c r="BDR236" s="1077">
        <v>8298541</v>
      </c>
      <c r="BDS236" s="1077">
        <v>8298541</v>
      </c>
      <c r="BDT236" s="1077">
        <v>8298541</v>
      </c>
      <c r="BDU236" s="1077">
        <v>8298541</v>
      </c>
      <c r="BDV236" s="1077">
        <v>8298541</v>
      </c>
      <c r="BDW236" s="1077">
        <v>8298541</v>
      </c>
      <c r="BDX236" s="1077">
        <v>8298541</v>
      </c>
      <c r="BDY236" s="1077">
        <v>8298541</v>
      </c>
      <c r="BDZ236" s="1077">
        <v>8298541</v>
      </c>
      <c r="BEA236" s="1077">
        <v>8298541</v>
      </c>
      <c r="BEB236" s="1077">
        <v>8298541</v>
      </c>
      <c r="BEC236" s="1077">
        <v>8298541</v>
      </c>
      <c r="BED236" s="1077">
        <v>8298541</v>
      </c>
      <c r="BEE236" s="1077">
        <v>8298541</v>
      </c>
      <c r="BEF236" s="1077">
        <v>8298541</v>
      </c>
      <c r="BEG236" s="1077">
        <v>8298541</v>
      </c>
      <c r="BEH236" s="1077">
        <v>8298541</v>
      </c>
      <c r="BEI236" s="1077">
        <v>8298541</v>
      </c>
      <c r="BEJ236" s="1077">
        <v>8298541</v>
      </c>
      <c r="BEK236" s="1077">
        <v>8298541</v>
      </c>
      <c r="BEL236" s="1077">
        <v>8298541</v>
      </c>
      <c r="BEM236" s="1077">
        <v>8298541</v>
      </c>
      <c r="BEN236" s="1077">
        <v>8298541</v>
      </c>
      <c r="BEO236" s="1077">
        <v>8298541</v>
      </c>
      <c r="BEP236" s="1077">
        <v>8298541</v>
      </c>
      <c r="BEQ236" s="1077">
        <v>8298541</v>
      </c>
      <c r="BER236" s="1077">
        <v>8298541</v>
      </c>
      <c r="BES236" s="1077">
        <v>8298541</v>
      </c>
      <c r="BET236" s="1077">
        <v>8298541</v>
      </c>
      <c r="BEU236" s="1077">
        <v>8298541</v>
      </c>
      <c r="BEV236" s="1077">
        <v>8298541</v>
      </c>
      <c r="BEW236" s="1077">
        <v>8298541</v>
      </c>
      <c r="BEX236" s="1077">
        <v>8298541</v>
      </c>
      <c r="BEY236" s="1077">
        <v>8298541</v>
      </c>
      <c r="BEZ236" s="1077">
        <v>8298541</v>
      </c>
      <c r="BFA236" s="1077">
        <v>8298541</v>
      </c>
      <c r="BFB236" s="1077">
        <v>8298541</v>
      </c>
      <c r="BFC236" s="1077">
        <v>8298541</v>
      </c>
      <c r="BFD236" s="1077">
        <v>8298541</v>
      </c>
      <c r="BFE236" s="1077">
        <v>8298541</v>
      </c>
      <c r="BFF236" s="1077">
        <v>8298541</v>
      </c>
      <c r="BFG236" s="1077">
        <v>8298541</v>
      </c>
      <c r="BFH236" s="1077">
        <v>8298541</v>
      </c>
      <c r="BFI236" s="1077">
        <v>8298541</v>
      </c>
      <c r="BFJ236" s="1077">
        <v>8298541</v>
      </c>
      <c r="BFK236" s="1077">
        <v>8298541</v>
      </c>
      <c r="BFL236" s="1077">
        <v>8298541</v>
      </c>
      <c r="BFM236" s="1077">
        <v>8298541</v>
      </c>
      <c r="BFN236" s="1077">
        <v>8298541</v>
      </c>
      <c r="BFO236" s="1077">
        <v>8298541</v>
      </c>
      <c r="BFP236" s="1077">
        <v>8298541</v>
      </c>
      <c r="BFQ236" s="1077">
        <v>8298541</v>
      </c>
      <c r="BFR236" s="1077">
        <v>8298541</v>
      </c>
      <c r="BFS236" s="1077">
        <v>8298541</v>
      </c>
      <c r="BFT236" s="1077">
        <v>8298541</v>
      </c>
      <c r="BFU236" s="1077">
        <v>8298541</v>
      </c>
      <c r="BFV236" s="1077">
        <v>8298541</v>
      </c>
      <c r="BFW236" s="1077">
        <v>8298541</v>
      </c>
      <c r="BFX236" s="1077">
        <v>8298541</v>
      </c>
      <c r="BFY236" s="1077">
        <v>8298541</v>
      </c>
      <c r="BFZ236" s="1077">
        <v>8298541</v>
      </c>
      <c r="BGA236" s="1077">
        <v>8298541</v>
      </c>
      <c r="BGB236" s="1077">
        <v>8298541</v>
      </c>
      <c r="BGC236" s="1077">
        <v>8298541</v>
      </c>
      <c r="BGD236" s="1077">
        <v>8298541</v>
      </c>
      <c r="BGE236" s="1077">
        <v>8298541</v>
      </c>
      <c r="BGF236" s="1077">
        <v>8298541</v>
      </c>
      <c r="BGG236" s="1077">
        <v>8298541</v>
      </c>
      <c r="BGH236" s="1077">
        <v>8298541</v>
      </c>
      <c r="BGI236" s="1077">
        <v>8298541</v>
      </c>
      <c r="BGJ236" s="1077">
        <v>8298541</v>
      </c>
      <c r="BGK236" s="1077">
        <v>8298541</v>
      </c>
      <c r="BGL236" s="1077">
        <v>8298541</v>
      </c>
      <c r="BGM236" s="1077">
        <v>8298541</v>
      </c>
      <c r="BGN236" s="1077">
        <v>8298541</v>
      </c>
      <c r="BGO236" s="1077">
        <v>8298541</v>
      </c>
      <c r="BGP236" s="1077">
        <v>8298541</v>
      </c>
      <c r="BGQ236" s="1077">
        <v>8298541</v>
      </c>
      <c r="BGR236" s="1077">
        <v>8298541</v>
      </c>
      <c r="BGS236" s="1077">
        <v>8298541</v>
      </c>
      <c r="BGT236" s="1077">
        <v>8298541</v>
      </c>
      <c r="BGU236" s="1077">
        <v>8298541</v>
      </c>
      <c r="BGV236" s="1077">
        <v>8298541</v>
      </c>
      <c r="BGW236" s="1077">
        <v>8298541</v>
      </c>
      <c r="BGX236" s="1077">
        <v>8298541</v>
      </c>
      <c r="BGY236" s="1077">
        <v>8298541</v>
      </c>
      <c r="BGZ236" s="1077">
        <v>8298541</v>
      </c>
      <c r="BHA236" s="1077">
        <v>8298541</v>
      </c>
      <c r="BHB236" s="1077">
        <v>8298541</v>
      </c>
      <c r="BHC236" s="1077">
        <v>8298541</v>
      </c>
      <c r="BHD236" s="1077">
        <v>8298541</v>
      </c>
      <c r="BHE236" s="1077">
        <v>8298541</v>
      </c>
      <c r="BHF236" s="1077">
        <v>8298541</v>
      </c>
      <c r="BHG236" s="1077">
        <v>8298541</v>
      </c>
      <c r="BHH236" s="1077">
        <v>8298541</v>
      </c>
      <c r="BHI236" s="1077">
        <v>8298541</v>
      </c>
      <c r="BHJ236" s="1077">
        <v>8298541</v>
      </c>
      <c r="BHK236" s="1077">
        <v>8298541</v>
      </c>
      <c r="BHL236" s="1077">
        <v>8298541</v>
      </c>
      <c r="BHM236" s="1077">
        <v>8298541</v>
      </c>
      <c r="BHN236" s="1077">
        <v>8298541</v>
      </c>
      <c r="BHO236" s="1077">
        <v>8298541</v>
      </c>
      <c r="BHP236" s="1077">
        <v>8298541</v>
      </c>
      <c r="BHQ236" s="1077">
        <v>8298541</v>
      </c>
      <c r="BHR236" s="1077">
        <v>8298541</v>
      </c>
      <c r="BHS236" s="1077">
        <v>8298541</v>
      </c>
      <c r="BHT236" s="1077">
        <v>8298541</v>
      </c>
      <c r="BHU236" s="1077">
        <v>8298541</v>
      </c>
      <c r="BHV236" s="1077">
        <v>8298541</v>
      </c>
      <c r="BHW236" s="1077">
        <v>8298541</v>
      </c>
      <c r="BHX236" s="1077">
        <v>8298541</v>
      </c>
      <c r="BHY236" s="1077">
        <v>8298541</v>
      </c>
      <c r="BHZ236" s="1077">
        <v>8298541</v>
      </c>
      <c r="BIA236" s="1077">
        <v>8298541</v>
      </c>
      <c r="BIB236" s="1077">
        <v>8298541</v>
      </c>
      <c r="BIC236" s="1077">
        <v>8298541</v>
      </c>
      <c r="BID236" s="1077">
        <v>8298541</v>
      </c>
      <c r="BIE236" s="1077">
        <v>8298541</v>
      </c>
      <c r="BIF236" s="1077">
        <v>8298541</v>
      </c>
      <c r="BIG236" s="1077">
        <v>8298541</v>
      </c>
      <c r="BIH236" s="1077">
        <v>8298541</v>
      </c>
      <c r="BII236" s="1077">
        <v>8298541</v>
      </c>
      <c r="BIJ236" s="1077">
        <v>8298541</v>
      </c>
      <c r="BIK236" s="1077">
        <v>8298541</v>
      </c>
      <c r="BIL236" s="1077">
        <v>8298541</v>
      </c>
      <c r="BIM236" s="1077">
        <v>8298541</v>
      </c>
      <c r="BIN236" s="1077">
        <v>8298541</v>
      </c>
      <c r="BIO236" s="1077">
        <v>8298541</v>
      </c>
      <c r="BIP236" s="1077">
        <v>8298541</v>
      </c>
      <c r="BIQ236" s="1077">
        <v>8298541</v>
      </c>
      <c r="BIR236" s="1077">
        <v>8298541</v>
      </c>
      <c r="BIS236" s="1077">
        <v>8298541</v>
      </c>
      <c r="BIT236" s="1077">
        <v>8298541</v>
      </c>
      <c r="BIU236" s="1077">
        <v>8298541</v>
      </c>
      <c r="BIV236" s="1077">
        <v>8298541</v>
      </c>
      <c r="BIW236" s="1077">
        <v>8298541</v>
      </c>
      <c r="BIX236" s="1077">
        <v>8298541</v>
      </c>
      <c r="BIY236" s="1077">
        <v>8298541</v>
      </c>
      <c r="BIZ236" s="1077">
        <v>8298541</v>
      </c>
      <c r="BJA236" s="1077">
        <v>8298541</v>
      </c>
      <c r="BJB236" s="1077">
        <v>8298541</v>
      </c>
      <c r="BJC236" s="1077">
        <v>8298541</v>
      </c>
      <c r="BJD236" s="1077">
        <v>8298541</v>
      </c>
      <c r="BJE236" s="1077">
        <v>8298541</v>
      </c>
      <c r="BJF236" s="1077">
        <v>8298541</v>
      </c>
      <c r="BJG236" s="1077">
        <v>8298541</v>
      </c>
      <c r="BJH236" s="1077">
        <v>8298541</v>
      </c>
      <c r="BJI236" s="1077">
        <v>8298541</v>
      </c>
      <c r="BJJ236" s="1077">
        <v>8298541</v>
      </c>
      <c r="BJK236" s="1077">
        <v>8298541</v>
      </c>
      <c r="BJL236" s="1077">
        <v>8298541</v>
      </c>
      <c r="BJM236" s="1077">
        <v>8298541</v>
      </c>
      <c r="BJN236" s="1077">
        <v>8298541</v>
      </c>
      <c r="BJO236" s="1077">
        <v>8298541</v>
      </c>
      <c r="BJP236" s="1077">
        <v>8298541</v>
      </c>
      <c r="BJQ236" s="1077">
        <v>8298541</v>
      </c>
      <c r="BJR236" s="1077">
        <v>8298541</v>
      </c>
      <c r="BJS236" s="1077">
        <v>8298541</v>
      </c>
      <c r="BJT236" s="1077">
        <v>8298541</v>
      </c>
      <c r="BJU236" s="1077">
        <v>8298541</v>
      </c>
      <c r="BJV236" s="1077">
        <v>8298541</v>
      </c>
      <c r="BJW236" s="1077">
        <v>8298541</v>
      </c>
      <c r="BJX236" s="1077">
        <v>8298541</v>
      </c>
      <c r="BJY236" s="1077">
        <v>8298541</v>
      </c>
      <c r="BJZ236" s="1077">
        <v>8298541</v>
      </c>
      <c r="BKA236" s="1077">
        <v>8298541</v>
      </c>
      <c r="BKB236" s="1077">
        <v>8298541</v>
      </c>
      <c r="BKC236" s="1077">
        <v>8298541</v>
      </c>
      <c r="BKD236" s="1077">
        <v>8298541</v>
      </c>
      <c r="BKE236" s="1077">
        <v>8298541</v>
      </c>
      <c r="BKF236" s="1077">
        <v>8298541</v>
      </c>
      <c r="BKG236" s="1077">
        <v>8298541</v>
      </c>
      <c r="BKH236" s="1077">
        <v>8298541</v>
      </c>
      <c r="BKI236" s="1077">
        <v>8298541</v>
      </c>
      <c r="BKJ236" s="1077">
        <v>8298541</v>
      </c>
      <c r="BKK236" s="1077">
        <v>8298541</v>
      </c>
      <c r="BKL236" s="1077">
        <v>8298541</v>
      </c>
      <c r="BKM236" s="1077">
        <v>8298541</v>
      </c>
      <c r="BKN236" s="1077">
        <v>8298541</v>
      </c>
      <c r="BKO236" s="1077">
        <v>8298541</v>
      </c>
      <c r="BKP236" s="1077">
        <v>8298541</v>
      </c>
      <c r="BKQ236" s="1077">
        <v>8298541</v>
      </c>
      <c r="BKR236" s="1077">
        <v>8298541</v>
      </c>
      <c r="BKS236" s="1077">
        <v>8298541</v>
      </c>
      <c r="BKT236" s="1077">
        <v>8298541</v>
      </c>
      <c r="BKU236" s="1077">
        <v>8298541</v>
      </c>
      <c r="BKV236" s="1077">
        <v>8298541</v>
      </c>
      <c r="BKW236" s="1077">
        <v>8298541</v>
      </c>
      <c r="BKX236" s="1077">
        <v>8298541</v>
      </c>
      <c r="BKY236" s="1077">
        <v>8298541</v>
      </c>
      <c r="BKZ236" s="1077">
        <v>8298541</v>
      </c>
      <c r="BLA236" s="1077">
        <v>8298541</v>
      </c>
      <c r="BLB236" s="1077">
        <v>8298541</v>
      </c>
      <c r="BLC236" s="1077">
        <v>8298541</v>
      </c>
      <c r="BLD236" s="1077">
        <v>8298541</v>
      </c>
      <c r="BLE236" s="1077">
        <v>8298541</v>
      </c>
      <c r="BLF236" s="1077">
        <v>8298541</v>
      </c>
      <c r="BLG236" s="1077">
        <v>8298541</v>
      </c>
      <c r="BLH236" s="1077">
        <v>8298541</v>
      </c>
      <c r="BLI236" s="1077">
        <v>8298541</v>
      </c>
      <c r="BLJ236" s="1077">
        <v>8298541</v>
      </c>
      <c r="BLK236" s="1077">
        <v>8298541</v>
      </c>
      <c r="BLL236" s="1077">
        <v>8298541</v>
      </c>
      <c r="BLM236" s="1077">
        <v>8298541</v>
      </c>
      <c r="BLN236" s="1077">
        <v>8298541</v>
      </c>
      <c r="BLO236" s="1077">
        <v>8298541</v>
      </c>
      <c r="BLP236" s="1077">
        <v>8298541</v>
      </c>
      <c r="BLQ236" s="1077">
        <v>8298541</v>
      </c>
      <c r="BLR236" s="1077">
        <v>8298541</v>
      </c>
      <c r="BLS236" s="1077">
        <v>8298541</v>
      </c>
      <c r="BLT236" s="1077">
        <v>8298541</v>
      </c>
      <c r="BLU236" s="1077">
        <v>8298541</v>
      </c>
      <c r="BLV236" s="1077">
        <v>8298541</v>
      </c>
      <c r="BLW236" s="1077">
        <v>8298541</v>
      </c>
      <c r="BLX236" s="1077">
        <v>8298541</v>
      </c>
      <c r="BLY236" s="1077">
        <v>8298541</v>
      </c>
      <c r="BLZ236" s="1077">
        <v>8298541</v>
      </c>
      <c r="BMA236" s="1077">
        <v>8298541</v>
      </c>
      <c r="BMB236" s="1077">
        <v>8298541</v>
      </c>
      <c r="BMC236" s="1077">
        <v>8298541</v>
      </c>
      <c r="BMD236" s="1077">
        <v>8298541</v>
      </c>
      <c r="BME236" s="1077">
        <v>8298541</v>
      </c>
      <c r="BMF236" s="1077">
        <v>8298541</v>
      </c>
      <c r="BMG236" s="1077">
        <v>8298541</v>
      </c>
      <c r="BMH236" s="1077">
        <v>8298541</v>
      </c>
      <c r="BMI236" s="1077">
        <v>8298541</v>
      </c>
      <c r="BMJ236" s="1077">
        <v>8298541</v>
      </c>
      <c r="BMK236" s="1077">
        <v>8298541</v>
      </c>
      <c r="BML236" s="1077">
        <v>8298541</v>
      </c>
      <c r="BMM236" s="1077">
        <v>8298541</v>
      </c>
      <c r="BMN236" s="1077">
        <v>8298541</v>
      </c>
      <c r="BMO236" s="1077">
        <v>8298541</v>
      </c>
      <c r="BMP236" s="1077">
        <v>8298541</v>
      </c>
      <c r="BMQ236" s="1077">
        <v>8298541</v>
      </c>
      <c r="BMR236" s="1077">
        <v>8298541</v>
      </c>
      <c r="BMS236" s="1077">
        <v>8298541</v>
      </c>
      <c r="BMT236" s="1077">
        <v>8298541</v>
      </c>
      <c r="BMU236" s="1077">
        <v>8298541</v>
      </c>
      <c r="BMV236" s="1077">
        <v>8298541</v>
      </c>
      <c r="BMW236" s="1077">
        <v>8298541</v>
      </c>
      <c r="BMX236" s="1077">
        <v>8298541</v>
      </c>
      <c r="BMY236" s="1077">
        <v>8298541</v>
      </c>
      <c r="BMZ236" s="1077">
        <v>8298541</v>
      </c>
      <c r="BNA236" s="1077">
        <v>8298541</v>
      </c>
      <c r="BNB236" s="1077">
        <v>8298541</v>
      </c>
      <c r="BNC236" s="1077">
        <v>8298541</v>
      </c>
      <c r="BND236" s="1077">
        <v>8298541</v>
      </c>
      <c r="BNE236" s="1077">
        <v>8298541</v>
      </c>
      <c r="BNF236" s="1077">
        <v>8298541</v>
      </c>
      <c r="BNG236" s="1077">
        <v>8298541</v>
      </c>
      <c r="BNH236" s="1077">
        <v>8298541</v>
      </c>
      <c r="BNI236" s="1077">
        <v>8298541</v>
      </c>
      <c r="BNJ236" s="1077">
        <v>8298541</v>
      </c>
      <c r="BNK236" s="1077">
        <v>8298541</v>
      </c>
      <c r="BNL236" s="1077">
        <v>8298541</v>
      </c>
      <c r="BNM236" s="1077">
        <v>8298541</v>
      </c>
      <c r="BNN236" s="1077">
        <v>8298541</v>
      </c>
      <c r="BNO236" s="1077">
        <v>8298541</v>
      </c>
      <c r="BNP236" s="1077">
        <v>8298541</v>
      </c>
      <c r="BNQ236" s="1077">
        <v>8298541</v>
      </c>
      <c r="BNR236" s="1077">
        <v>8298541</v>
      </c>
      <c r="BNS236" s="1077">
        <v>8298541</v>
      </c>
      <c r="BNT236" s="1077">
        <v>8298541</v>
      </c>
      <c r="BNU236" s="1077">
        <v>8298541</v>
      </c>
      <c r="BNV236" s="1077">
        <v>8298541</v>
      </c>
      <c r="BNW236" s="1077">
        <v>8298541</v>
      </c>
      <c r="BNX236" s="1077">
        <v>8298541</v>
      </c>
      <c r="BNY236" s="1077">
        <v>8298541</v>
      </c>
      <c r="BNZ236" s="1077">
        <v>8298541</v>
      </c>
      <c r="BOA236" s="1077">
        <v>8298541</v>
      </c>
      <c r="BOB236" s="1077">
        <v>8298541</v>
      </c>
      <c r="BOC236" s="1077">
        <v>8298541</v>
      </c>
      <c r="BOD236" s="1077">
        <v>8298541</v>
      </c>
      <c r="BOE236" s="1077">
        <v>8298541</v>
      </c>
      <c r="BOF236" s="1077">
        <v>8298541</v>
      </c>
      <c r="BOG236" s="1077">
        <v>8298541</v>
      </c>
      <c r="BOH236" s="1077">
        <v>8298541</v>
      </c>
      <c r="BOI236" s="1077">
        <v>8298541</v>
      </c>
      <c r="BOJ236" s="1077">
        <v>8298541</v>
      </c>
      <c r="BOK236" s="1077">
        <v>8298541</v>
      </c>
      <c r="BOL236" s="1077">
        <v>8298541</v>
      </c>
      <c r="BOM236" s="1077">
        <v>8298541</v>
      </c>
      <c r="BON236" s="1077">
        <v>8298541</v>
      </c>
      <c r="BOO236" s="1077">
        <v>8298541</v>
      </c>
      <c r="BOP236" s="1077">
        <v>8298541</v>
      </c>
      <c r="BOQ236" s="1077">
        <v>8298541</v>
      </c>
      <c r="BOR236" s="1077">
        <v>8298541</v>
      </c>
      <c r="BOS236" s="1077">
        <v>8298541</v>
      </c>
      <c r="BOT236" s="1077">
        <v>8298541</v>
      </c>
      <c r="BOU236" s="1077">
        <v>8298541</v>
      </c>
      <c r="BOV236" s="1077">
        <v>8298541</v>
      </c>
      <c r="BOW236" s="1077">
        <v>8298541</v>
      </c>
      <c r="BOX236" s="1077">
        <v>8298541</v>
      </c>
      <c r="BOY236" s="1077">
        <v>8298541</v>
      </c>
      <c r="BOZ236" s="1077">
        <v>8298541</v>
      </c>
      <c r="BPA236" s="1077">
        <v>8298541</v>
      </c>
      <c r="BPB236" s="1077">
        <v>8298541</v>
      </c>
      <c r="BPC236" s="1077">
        <v>8298541</v>
      </c>
      <c r="BPD236" s="1077">
        <v>8298541</v>
      </c>
      <c r="BPE236" s="1077">
        <v>8298541</v>
      </c>
      <c r="BPF236" s="1077">
        <v>8298541</v>
      </c>
      <c r="BPG236" s="1077">
        <v>8298541</v>
      </c>
      <c r="BPH236" s="1077">
        <v>8298541</v>
      </c>
      <c r="BPI236" s="1077">
        <v>8298541</v>
      </c>
      <c r="BPJ236" s="1077">
        <v>8298541</v>
      </c>
      <c r="BPK236" s="1077">
        <v>8298541</v>
      </c>
      <c r="BPL236" s="1077">
        <v>8298541</v>
      </c>
      <c r="BPM236" s="1077">
        <v>8298541</v>
      </c>
      <c r="BPN236" s="1077">
        <v>8298541</v>
      </c>
      <c r="BPO236" s="1077">
        <v>8298541</v>
      </c>
      <c r="BPP236" s="1077">
        <v>8298541</v>
      </c>
      <c r="BPQ236" s="1077">
        <v>8298541</v>
      </c>
      <c r="BPR236" s="1077">
        <v>8298541</v>
      </c>
      <c r="BPS236" s="1077">
        <v>8298541</v>
      </c>
      <c r="BPT236" s="1077">
        <v>8298541</v>
      </c>
      <c r="BPU236" s="1077">
        <v>8298541</v>
      </c>
      <c r="BPV236" s="1077">
        <v>8298541</v>
      </c>
      <c r="BPW236" s="1077">
        <v>8298541</v>
      </c>
      <c r="BPX236" s="1077">
        <v>8298541</v>
      </c>
      <c r="BPY236" s="1077">
        <v>8298541</v>
      </c>
      <c r="BPZ236" s="1077">
        <v>8298541</v>
      </c>
      <c r="BQA236" s="1077">
        <v>8298541</v>
      </c>
      <c r="BQB236" s="1077">
        <v>8298541</v>
      </c>
      <c r="BQC236" s="1077">
        <v>8298541</v>
      </c>
      <c r="BQD236" s="1077">
        <v>8298541</v>
      </c>
      <c r="BQE236" s="1077">
        <v>8298541</v>
      </c>
      <c r="BQF236" s="1077">
        <v>8298541</v>
      </c>
      <c r="BQG236" s="1077">
        <v>8298541</v>
      </c>
      <c r="BQH236" s="1077">
        <v>8298541</v>
      </c>
      <c r="BQI236" s="1077">
        <v>8298541</v>
      </c>
      <c r="BQJ236" s="1077">
        <v>8298541</v>
      </c>
      <c r="BQK236" s="1077">
        <v>8298541</v>
      </c>
      <c r="BQL236" s="1077">
        <v>8298541</v>
      </c>
      <c r="BQM236" s="1077">
        <v>8298541</v>
      </c>
      <c r="BQN236" s="1077">
        <v>8298541</v>
      </c>
      <c r="BQO236" s="1077">
        <v>8298541</v>
      </c>
      <c r="BQP236" s="1077">
        <v>8298541</v>
      </c>
      <c r="BQQ236" s="1077">
        <v>8298541</v>
      </c>
      <c r="BQR236" s="1077">
        <v>8298541</v>
      </c>
      <c r="BQS236" s="1077">
        <v>8298541</v>
      </c>
      <c r="BQT236" s="1077">
        <v>8298541</v>
      </c>
      <c r="BQU236" s="1077">
        <v>8298541</v>
      </c>
      <c r="BQV236" s="1077">
        <v>8298541</v>
      </c>
      <c r="BQW236" s="1077">
        <v>8298541</v>
      </c>
      <c r="BQX236" s="1077">
        <v>8298541</v>
      </c>
      <c r="BQY236" s="1077">
        <v>8298541</v>
      </c>
      <c r="BQZ236" s="1077">
        <v>8298541</v>
      </c>
      <c r="BRA236" s="1077">
        <v>8298541</v>
      </c>
      <c r="BRB236" s="1077">
        <v>8298541</v>
      </c>
      <c r="BRC236" s="1077">
        <v>8298541</v>
      </c>
      <c r="BRD236" s="1077">
        <v>8298541</v>
      </c>
      <c r="BRE236" s="1077">
        <v>8298541</v>
      </c>
      <c r="BRF236" s="1077">
        <v>8298541</v>
      </c>
      <c r="BRG236" s="1077">
        <v>8298541</v>
      </c>
      <c r="BRH236" s="1077">
        <v>8298541</v>
      </c>
      <c r="BRI236" s="1077">
        <v>8298541</v>
      </c>
      <c r="BRJ236" s="1077">
        <v>8298541</v>
      </c>
      <c r="BRK236" s="1077">
        <v>8298541</v>
      </c>
      <c r="BRL236" s="1077">
        <v>8298541</v>
      </c>
      <c r="BRM236" s="1077">
        <v>8298541</v>
      </c>
      <c r="BRN236" s="1077">
        <v>8298541</v>
      </c>
      <c r="BRO236" s="1077">
        <v>8298541</v>
      </c>
      <c r="BRP236" s="1077">
        <v>8298541</v>
      </c>
      <c r="BRQ236" s="1077">
        <v>8298541</v>
      </c>
      <c r="BRR236" s="1077">
        <v>8298541</v>
      </c>
      <c r="BRS236" s="1077">
        <v>8298541</v>
      </c>
      <c r="BRT236" s="1077">
        <v>8298541</v>
      </c>
      <c r="BRU236" s="1077">
        <v>8298541</v>
      </c>
      <c r="BRV236" s="1077">
        <v>8298541</v>
      </c>
      <c r="BRW236" s="1077">
        <v>8298541</v>
      </c>
      <c r="BRX236" s="1077">
        <v>8298541</v>
      </c>
      <c r="BRY236" s="1077">
        <v>8298541</v>
      </c>
      <c r="BRZ236" s="1077">
        <v>8298541</v>
      </c>
      <c r="BSA236" s="1077">
        <v>8298541</v>
      </c>
      <c r="BSB236" s="1077">
        <v>8298541</v>
      </c>
      <c r="BSC236" s="1077">
        <v>8298541</v>
      </c>
      <c r="BSD236" s="1077">
        <v>8298541</v>
      </c>
      <c r="BSE236" s="1077">
        <v>8298541</v>
      </c>
      <c r="BSF236" s="1077">
        <v>8298541</v>
      </c>
      <c r="BSG236" s="1077">
        <v>8298541</v>
      </c>
      <c r="BSH236" s="1077">
        <v>8298541</v>
      </c>
      <c r="BSI236" s="1077">
        <v>8298541</v>
      </c>
      <c r="BSJ236" s="1077">
        <v>8298541</v>
      </c>
      <c r="BSK236" s="1077">
        <v>8298541</v>
      </c>
      <c r="BSL236" s="1077">
        <v>8298541</v>
      </c>
      <c r="BSM236" s="1077">
        <v>8298541</v>
      </c>
      <c r="BSN236" s="1077">
        <v>8298541</v>
      </c>
      <c r="BSO236" s="1077">
        <v>8298541</v>
      </c>
      <c r="BSP236" s="1077">
        <v>8298541</v>
      </c>
      <c r="BSQ236" s="1077">
        <v>8298541</v>
      </c>
      <c r="BSR236" s="1077">
        <v>8298541</v>
      </c>
      <c r="BSS236" s="1077">
        <v>8298541</v>
      </c>
      <c r="BST236" s="1077">
        <v>8298541</v>
      </c>
      <c r="BSU236" s="1077">
        <v>8298541</v>
      </c>
      <c r="BSV236" s="1077">
        <v>8298541</v>
      </c>
      <c r="BSW236" s="1077">
        <v>8298541</v>
      </c>
      <c r="BSX236" s="1077">
        <v>8298541</v>
      </c>
      <c r="BSY236" s="1077">
        <v>8298541</v>
      </c>
      <c r="BSZ236" s="1077">
        <v>8298541</v>
      </c>
      <c r="BTA236" s="1077">
        <v>8298541</v>
      </c>
      <c r="BTB236" s="1077">
        <v>8298541</v>
      </c>
      <c r="BTC236" s="1077">
        <v>8298541</v>
      </c>
      <c r="BTD236" s="1077">
        <v>8298541</v>
      </c>
      <c r="BTE236" s="1077">
        <v>8298541</v>
      </c>
      <c r="BTF236" s="1077">
        <v>8298541</v>
      </c>
      <c r="BTG236" s="1077">
        <v>8298541</v>
      </c>
      <c r="BTH236" s="1077">
        <v>8298541</v>
      </c>
      <c r="BTI236" s="1077">
        <v>8298541</v>
      </c>
      <c r="BTJ236" s="1077">
        <v>8298541</v>
      </c>
      <c r="BTK236" s="1077">
        <v>8298541</v>
      </c>
      <c r="BTL236" s="1077">
        <v>8298541</v>
      </c>
      <c r="BTM236" s="1077">
        <v>8298541</v>
      </c>
      <c r="BTN236" s="1077">
        <v>8298541</v>
      </c>
      <c r="BTO236" s="1077">
        <v>8298541</v>
      </c>
      <c r="BTP236" s="1077">
        <v>8298541</v>
      </c>
      <c r="BTQ236" s="1077">
        <v>8298541</v>
      </c>
      <c r="BTR236" s="1077">
        <v>8298541</v>
      </c>
      <c r="BTS236" s="1077">
        <v>8298541</v>
      </c>
      <c r="BTT236" s="1077">
        <v>8298541</v>
      </c>
      <c r="BTU236" s="1077">
        <v>8298541</v>
      </c>
      <c r="BTV236" s="1077">
        <v>8298541</v>
      </c>
      <c r="BTW236" s="1077">
        <v>8298541</v>
      </c>
      <c r="BTX236" s="1077">
        <v>8298541</v>
      </c>
      <c r="BTY236" s="1077">
        <v>8298541</v>
      </c>
      <c r="BTZ236" s="1077">
        <v>8298541</v>
      </c>
      <c r="BUA236" s="1077">
        <v>8298541</v>
      </c>
      <c r="BUB236" s="1077">
        <v>8298541</v>
      </c>
      <c r="BUC236" s="1077">
        <v>8298541</v>
      </c>
      <c r="BUD236" s="1077">
        <v>8298541</v>
      </c>
      <c r="BUE236" s="1077">
        <v>8298541</v>
      </c>
      <c r="BUF236" s="1077">
        <v>8298541</v>
      </c>
      <c r="BUG236" s="1077">
        <v>8298541</v>
      </c>
      <c r="BUH236" s="1077">
        <v>8298541</v>
      </c>
      <c r="BUI236" s="1077">
        <v>8298541</v>
      </c>
      <c r="BUJ236" s="1077">
        <v>8298541</v>
      </c>
      <c r="BUK236" s="1077">
        <v>8298541</v>
      </c>
      <c r="BUL236" s="1077">
        <v>8298541</v>
      </c>
      <c r="BUM236" s="1077">
        <v>8298541</v>
      </c>
      <c r="BUN236" s="1077">
        <v>8298541</v>
      </c>
      <c r="BUO236" s="1077">
        <v>8298541</v>
      </c>
      <c r="BUP236" s="1077">
        <v>8298541</v>
      </c>
      <c r="BUQ236" s="1077">
        <v>8298541</v>
      </c>
      <c r="BUR236" s="1077">
        <v>8298541</v>
      </c>
      <c r="BUS236" s="1077">
        <v>8298541</v>
      </c>
      <c r="BUT236" s="1077">
        <v>8298541</v>
      </c>
      <c r="BUU236" s="1077">
        <v>8298541</v>
      </c>
      <c r="BUV236" s="1077">
        <v>8298541</v>
      </c>
      <c r="BUW236" s="1077">
        <v>8298541</v>
      </c>
      <c r="BUX236" s="1077">
        <v>8298541</v>
      </c>
      <c r="BUY236" s="1077">
        <v>8298541</v>
      </c>
      <c r="BUZ236" s="1077">
        <v>8298541</v>
      </c>
      <c r="BVA236" s="1077">
        <v>8298541</v>
      </c>
      <c r="BVB236" s="1077">
        <v>8298541</v>
      </c>
      <c r="BVC236" s="1077">
        <v>8298541</v>
      </c>
      <c r="BVD236" s="1077">
        <v>8298541</v>
      </c>
      <c r="BVE236" s="1077">
        <v>8298541</v>
      </c>
      <c r="BVF236" s="1077">
        <v>8298541</v>
      </c>
      <c r="BVG236" s="1077">
        <v>8298541</v>
      </c>
      <c r="BVH236" s="1077">
        <v>8298541</v>
      </c>
      <c r="BVI236" s="1077">
        <v>8298541</v>
      </c>
      <c r="BVJ236" s="1077">
        <v>8298541</v>
      </c>
      <c r="BVK236" s="1077">
        <v>8298541</v>
      </c>
      <c r="BVL236" s="1077">
        <v>8298541</v>
      </c>
      <c r="BVM236" s="1077">
        <v>8298541</v>
      </c>
      <c r="BVN236" s="1077">
        <v>8298541</v>
      </c>
      <c r="BVO236" s="1077">
        <v>8298541</v>
      </c>
      <c r="BVP236" s="1077">
        <v>8298541</v>
      </c>
      <c r="BVQ236" s="1077">
        <v>8298541</v>
      </c>
      <c r="BVR236" s="1077">
        <v>8298541</v>
      </c>
      <c r="BVS236" s="1077">
        <v>8298541</v>
      </c>
      <c r="BVT236" s="1077">
        <v>8298541</v>
      </c>
      <c r="BVU236" s="1077">
        <v>8298541</v>
      </c>
      <c r="BVV236" s="1077">
        <v>8298541</v>
      </c>
      <c r="BVW236" s="1077">
        <v>8298541</v>
      </c>
      <c r="BVX236" s="1077">
        <v>8298541</v>
      </c>
      <c r="BVY236" s="1077">
        <v>8298541</v>
      </c>
      <c r="BVZ236" s="1077">
        <v>8298541</v>
      </c>
      <c r="BWA236" s="1077">
        <v>8298541</v>
      </c>
      <c r="BWB236" s="1077">
        <v>8298541</v>
      </c>
      <c r="BWC236" s="1077">
        <v>8298541</v>
      </c>
      <c r="BWD236" s="1077">
        <v>8298541</v>
      </c>
      <c r="BWE236" s="1077">
        <v>8298541</v>
      </c>
      <c r="BWF236" s="1077">
        <v>8298541</v>
      </c>
      <c r="BWG236" s="1077">
        <v>8298541</v>
      </c>
      <c r="BWH236" s="1077">
        <v>8298541</v>
      </c>
      <c r="BWI236" s="1077">
        <v>8298541</v>
      </c>
      <c r="BWJ236" s="1077">
        <v>8298541</v>
      </c>
      <c r="BWK236" s="1077">
        <v>8298541</v>
      </c>
      <c r="BWL236" s="1077">
        <v>8298541</v>
      </c>
      <c r="BWM236" s="1077">
        <v>8298541</v>
      </c>
      <c r="BWN236" s="1077">
        <v>8298541</v>
      </c>
      <c r="BWO236" s="1077">
        <v>8298541</v>
      </c>
      <c r="BWP236" s="1077">
        <v>8298541</v>
      </c>
      <c r="BWQ236" s="1077">
        <v>8298541</v>
      </c>
      <c r="BWR236" s="1077">
        <v>8298541</v>
      </c>
      <c r="BWS236" s="1077">
        <v>8298541</v>
      </c>
      <c r="BWT236" s="1077">
        <v>8298541</v>
      </c>
      <c r="BWU236" s="1077">
        <v>8298541</v>
      </c>
      <c r="BWV236" s="1077">
        <v>8298541</v>
      </c>
      <c r="BWW236" s="1077">
        <v>8298541</v>
      </c>
      <c r="BWX236" s="1077">
        <v>8298541</v>
      </c>
      <c r="BWY236" s="1077">
        <v>8298541</v>
      </c>
      <c r="BWZ236" s="1077">
        <v>8298541</v>
      </c>
      <c r="BXA236" s="1077">
        <v>8298541</v>
      </c>
      <c r="BXB236" s="1077">
        <v>8298541</v>
      </c>
      <c r="BXC236" s="1077">
        <v>8298541</v>
      </c>
      <c r="BXD236" s="1077">
        <v>8298541</v>
      </c>
      <c r="BXE236" s="1077">
        <v>8298541</v>
      </c>
      <c r="BXF236" s="1077">
        <v>8298541</v>
      </c>
      <c r="BXG236" s="1077">
        <v>8298541</v>
      </c>
      <c r="BXH236" s="1077">
        <v>8298541</v>
      </c>
      <c r="BXI236" s="1077">
        <v>8298541</v>
      </c>
      <c r="BXJ236" s="1077">
        <v>8298541</v>
      </c>
      <c r="BXK236" s="1077">
        <v>8298541</v>
      </c>
      <c r="BXL236" s="1077">
        <v>8298541</v>
      </c>
      <c r="BXM236" s="1077">
        <v>8298541</v>
      </c>
      <c r="BXN236" s="1077">
        <v>8298541</v>
      </c>
      <c r="BXO236" s="1077">
        <v>8298541</v>
      </c>
      <c r="BXP236" s="1077">
        <v>8298541</v>
      </c>
      <c r="BXQ236" s="1077">
        <v>8298541</v>
      </c>
      <c r="BXR236" s="1077">
        <v>8298541</v>
      </c>
      <c r="BXS236" s="1077">
        <v>8298541</v>
      </c>
      <c r="BXT236" s="1077">
        <v>8298541</v>
      </c>
      <c r="BXU236" s="1077">
        <v>8298541</v>
      </c>
      <c r="BXV236" s="1077">
        <v>8298541</v>
      </c>
      <c r="BXW236" s="1077">
        <v>8298541</v>
      </c>
      <c r="BXX236" s="1077">
        <v>8298541</v>
      </c>
      <c r="BXY236" s="1077">
        <v>8298541</v>
      </c>
      <c r="BXZ236" s="1077">
        <v>8298541</v>
      </c>
      <c r="BYA236" s="1077">
        <v>8298541</v>
      </c>
      <c r="BYB236" s="1077">
        <v>8298541</v>
      </c>
      <c r="BYC236" s="1077">
        <v>8298541</v>
      </c>
      <c r="BYD236" s="1077">
        <v>8298541</v>
      </c>
      <c r="BYE236" s="1077">
        <v>8298541</v>
      </c>
      <c r="BYF236" s="1077">
        <v>8298541</v>
      </c>
      <c r="BYG236" s="1077">
        <v>8298541</v>
      </c>
      <c r="BYH236" s="1077">
        <v>8298541</v>
      </c>
      <c r="BYI236" s="1077">
        <v>8298541</v>
      </c>
      <c r="BYJ236" s="1077">
        <v>8298541</v>
      </c>
      <c r="BYK236" s="1077">
        <v>8298541</v>
      </c>
      <c r="BYL236" s="1077">
        <v>8298541</v>
      </c>
      <c r="BYM236" s="1077">
        <v>8298541</v>
      </c>
      <c r="BYN236" s="1077">
        <v>8298541</v>
      </c>
      <c r="BYO236" s="1077">
        <v>8298541</v>
      </c>
      <c r="BYP236" s="1077">
        <v>8298541</v>
      </c>
      <c r="BYQ236" s="1077">
        <v>8298541</v>
      </c>
      <c r="BYR236" s="1077">
        <v>8298541</v>
      </c>
      <c r="BYS236" s="1077">
        <v>8298541</v>
      </c>
      <c r="BYT236" s="1077">
        <v>8298541</v>
      </c>
      <c r="BYU236" s="1077">
        <v>8298541</v>
      </c>
      <c r="BYV236" s="1077">
        <v>8298541</v>
      </c>
      <c r="BYW236" s="1077">
        <v>8298541</v>
      </c>
      <c r="BYX236" s="1077">
        <v>8298541</v>
      </c>
      <c r="BYY236" s="1077">
        <v>8298541</v>
      </c>
      <c r="BYZ236" s="1077">
        <v>8298541</v>
      </c>
      <c r="BZA236" s="1077">
        <v>8298541</v>
      </c>
      <c r="BZB236" s="1077">
        <v>8298541</v>
      </c>
      <c r="BZC236" s="1077">
        <v>8298541</v>
      </c>
      <c r="BZD236" s="1077">
        <v>8298541</v>
      </c>
      <c r="BZE236" s="1077">
        <v>8298541</v>
      </c>
      <c r="BZF236" s="1077">
        <v>8298541</v>
      </c>
      <c r="BZG236" s="1077">
        <v>8298541</v>
      </c>
      <c r="BZH236" s="1077">
        <v>8298541</v>
      </c>
      <c r="BZI236" s="1077">
        <v>8298541</v>
      </c>
      <c r="BZJ236" s="1077">
        <v>8298541</v>
      </c>
      <c r="BZK236" s="1077">
        <v>8298541</v>
      </c>
      <c r="BZL236" s="1077">
        <v>8298541</v>
      </c>
      <c r="BZM236" s="1077">
        <v>8298541</v>
      </c>
      <c r="BZN236" s="1077">
        <v>8298541</v>
      </c>
      <c r="BZO236" s="1077">
        <v>8298541</v>
      </c>
      <c r="BZP236" s="1077">
        <v>8298541</v>
      </c>
      <c r="BZQ236" s="1077">
        <v>8298541</v>
      </c>
      <c r="BZR236" s="1077">
        <v>8298541</v>
      </c>
      <c r="BZS236" s="1077">
        <v>8298541</v>
      </c>
      <c r="BZT236" s="1077">
        <v>8298541</v>
      </c>
      <c r="BZU236" s="1077">
        <v>8298541</v>
      </c>
      <c r="BZV236" s="1077">
        <v>8298541</v>
      </c>
      <c r="BZW236" s="1077">
        <v>8298541</v>
      </c>
      <c r="BZX236" s="1077">
        <v>8298541</v>
      </c>
      <c r="BZY236" s="1077">
        <v>8298541</v>
      </c>
      <c r="BZZ236" s="1077">
        <v>8298541</v>
      </c>
      <c r="CAA236" s="1077">
        <v>8298541</v>
      </c>
      <c r="CAB236" s="1077">
        <v>8298541</v>
      </c>
      <c r="CAC236" s="1077">
        <v>8298541</v>
      </c>
      <c r="CAD236" s="1077">
        <v>8298541</v>
      </c>
      <c r="CAE236" s="1077">
        <v>8298541</v>
      </c>
      <c r="CAF236" s="1077">
        <v>8298541</v>
      </c>
      <c r="CAG236" s="1077">
        <v>8298541</v>
      </c>
      <c r="CAH236" s="1077">
        <v>8298541</v>
      </c>
      <c r="CAI236" s="1077">
        <v>8298541</v>
      </c>
      <c r="CAJ236" s="1077">
        <v>8298541</v>
      </c>
      <c r="CAK236" s="1077">
        <v>8298541</v>
      </c>
      <c r="CAL236" s="1077">
        <v>8298541</v>
      </c>
      <c r="CAM236" s="1077">
        <v>8298541</v>
      </c>
      <c r="CAN236" s="1077">
        <v>8298541</v>
      </c>
      <c r="CAO236" s="1077">
        <v>8298541</v>
      </c>
      <c r="CAP236" s="1077">
        <v>8298541</v>
      </c>
      <c r="CAQ236" s="1077">
        <v>8298541</v>
      </c>
      <c r="CAR236" s="1077">
        <v>8298541</v>
      </c>
      <c r="CAS236" s="1077">
        <v>8298541</v>
      </c>
      <c r="CAT236" s="1077">
        <v>8298541</v>
      </c>
      <c r="CAU236" s="1077">
        <v>8298541</v>
      </c>
      <c r="CAV236" s="1077">
        <v>8298541</v>
      </c>
      <c r="CAW236" s="1077">
        <v>8298541</v>
      </c>
      <c r="CAX236" s="1077">
        <v>8298541</v>
      </c>
      <c r="CAY236" s="1077">
        <v>8298541</v>
      </c>
      <c r="CAZ236" s="1077">
        <v>8298541</v>
      </c>
      <c r="CBA236" s="1077">
        <v>8298541</v>
      </c>
      <c r="CBB236" s="1077">
        <v>8298541</v>
      </c>
      <c r="CBC236" s="1077">
        <v>8298541</v>
      </c>
      <c r="CBD236" s="1077">
        <v>8298541</v>
      </c>
      <c r="CBE236" s="1077">
        <v>8298541</v>
      </c>
      <c r="CBF236" s="1077">
        <v>8298541</v>
      </c>
      <c r="CBG236" s="1077">
        <v>8298541</v>
      </c>
      <c r="CBH236" s="1077">
        <v>8298541</v>
      </c>
      <c r="CBI236" s="1077">
        <v>8298541</v>
      </c>
      <c r="CBJ236" s="1077">
        <v>8298541</v>
      </c>
      <c r="CBK236" s="1077">
        <v>8298541</v>
      </c>
      <c r="CBL236" s="1077">
        <v>8298541</v>
      </c>
      <c r="CBM236" s="1077">
        <v>8298541</v>
      </c>
      <c r="CBN236" s="1077">
        <v>8298541</v>
      </c>
      <c r="CBO236" s="1077">
        <v>8298541</v>
      </c>
      <c r="CBP236" s="1077">
        <v>8298541</v>
      </c>
      <c r="CBQ236" s="1077">
        <v>8298541</v>
      </c>
      <c r="CBR236" s="1077">
        <v>8298541</v>
      </c>
      <c r="CBS236" s="1077">
        <v>8298541</v>
      </c>
      <c r="CBT236" s="1077">
        <v>8298541</v>
      </c>
      <c r="CBU236" s="1077">
        <v>8298541</v>
      </c>
      <c r="CBV236" s="1077">
        <v>8298541</v>
      </c>
      <c r="CBW236" s="1077">
        <v>8298541</v>
      </c>
      <c r="CBX236" s="1077">
        <v>8298541</v>
      </c>
      <c r="CBY236" s="1077">
        <v>8298541</v>
      </c>
      <c r="CBZ236" s="1077">
        <v>8298541</v>
      </c>
      <c r="CCA236" s="1077">
        <v>8298541</v>
      </c>
      <c r="CCB236" s="1077">
        <v>8298541</v>
      </c>
      <c r="CCC236" s="1077">
        <v>8298541</v>
      </c>
      <c r="CCD236" s="1077">
        <v>8298541</v>
      </c>
      <c r="CCE236" s="1077">
        <v>8298541</v>
      </c>
      <c r="CCF236" s="1077">
        <v>8298541</v>
      </c>
      <c r="CCG236" s="1077">
        <v>8298541</v>
      </c>
      <c r="CCH236" s="1077">
        <v>8298541</v>
      </c>
      <c r="CCI236" s="1077">
        <v>8298541</v>
      </c>
      <c r="CCJ236" s="1077">
        <v>8298541</v>
      </c>
      <c r="CCK236" s="1077">
        <v>8298541</v>
      </c>
      <c r="CCL236" s="1077">
        <v>8298541</v>
      </c>
      <c r="CCM236" s="1077">
        <v>8298541</v>
      </c>
      <c r="CCN236" s="1077">
        <v>8298541</v>
      </c>
      <c r="CCO236" s="1077">
        <v>8298541</v>
      </c>
      <c r="CCP236" s="1077">
        <v>8298541</v>
      </c>
      <c r="CCQ236" s="1077">
        <v>8298541</v>
      </c>
      <c r="CCR236" s="1077">
        <v>8298541</v>
      </c>
      <c r="CCS236" s="1077">
        <v>8298541</v>
      </c>
      <c r="CCT236" s="1077">
        <v>8298541</v>
      </c>
      <c r="CCU236" s="1077">
        <v>8298541</v>
      </c>
      <c r="CCV236" s="1077">
        <v>8298541</v>
      </c>
      <c r="CCW236" s="1077">
        <v>8298541</v>
      </c>
      <c r="CCX236" s="1077">
        <v>8298541</v>
      </c>
      <c r="CCY236" s="1077">
        <v>8298541</v>
      </c>
      <c r="CCZ236" s="1077">
        <v>8298541</v>
      </c>
      <c r="CDA236" s="1077">
        <v>8298541</v>
      </c>
      <c r="CDB236" s="1077">
        <v>8298541</v>
      </c>
      <c r="CDC236" s="1077">
        <v>8298541</v>
      </c>
      <c r="CDD236" s="1077">
        <v>8298541</v>
      </c>
      <c r="CDE236" s="1077">
        <v>8298541</v>
      </c>
      <c r="CDF236" s="1077">
        <v>8298541</v>
      </c>
      <c r="CDG236" s="1077">
        <v>8298541</v>
      </c>
      <c r="CDH236" s="1077">
        <v>8298541</v>
      </c>
      <c r="CDI236" s="1077">
        <v>8298541</v>
      </c>
      <c r="CDJ236" s="1077">
        <v>8298541</v>
      </c>
      <c r="CDK236" s="1077">
        <v>8298541</v>
      </c>
      <c r="CDL236" s="1077">
        <v>8298541</v>
      </c>
      <c r="CDM236" s="1077">
        <v>8298541</v>
      </c>
      <c r="CDN236" s="1077">
        <v>8298541</v>
      </c>
      <c r="CDO236" s="1077">
        <v>8298541</v>
      </c>
      <c r="CDP236" s="1077">
        <v>8298541</v>
      </c>
      <c r="CDQ236" s="1077">
        <v>8298541</v>
      </c>
      <c r="CDR236" s="1077">
        <v>8298541</v>
      </c>
      <c r="CDS236" s="1077">
        <v>8298541</v>
      </c>
      <c r="CDT236" s="1077">
        <v>8298541</v>
      </c>
      <c r="CDU236" s="1077">
        <v>8298541</v>
      </c>
      <c r="CDV236" s="1077">
        <v>8298541</v>
      </c>
      <c r="CDW236" s="1077">
        <v>8298541</v>
      </c>
      <c r="CDX236" s="1077">
        <v>8298541</v>
      </c>
      <c r="CDY236" s="1077">
        <v>8298541</v>
      </c>
      <c r="CDZ236" s="1077">
        <v>8298541</v>
      </c>
      <c r="CEA236" s="1077">
        <v>8298541</v>
      </c>
      <c r="CEB236" s="1077">
        <v>8298541</v>
      </c>
      <c r="CEC236" s="1077">
        <v>8298541</v>
      </c>
      <c r="CED236" s="1077">
        <v>8298541</v>
      </c>
      <c r="CEE236" s="1077">
        <v>8298541</v>
      </c>
      <c r="CEF236" s="1077">
        <v>8298541</v>
      </c>
      <c r="CEG236" s="1077">
        <v>8298541</v>
      </c>
      <c r="CEH236" s="1077">
        <v>8298541</v>
      </c>
      <c r="CEI236" s="1077">
        <v>8298541</v>
      </c>
      <c r="CEJ236" s="1077">
        <v>8298541</v>
      </c>
      <c r="CEK236" s="1077">
        <v>8298541</v>
      </c>
      <c r="CEL236" s="1077">
        <v>8298541</v>
      </c>
      <c r="CEM236" s="1077">
        <v>8298541</v>
      </c>
      <c r="CEN236" s="1077">
        <v>8298541</v>
      </c>
      <c r="CEO236" s="1077">
        <v>8298541</v>
      </c>
      <c r="CEP236" s="1077">
        <v>8298541</v>
      </c>
      <c r="CEQ236" s="1077">
        <v>8298541</v>
      </c>
      <c r="CER236" s="1077">
        <v>8298541</v>
      </c>
      <c r="CES236" s="1077">
        <v>8298541</v>
      </c>
      <c r="CET236" s="1077">
        <v>8298541</v>
      </c>
      <c r="CEU236" s="1077">
        <v>8298541</v>
      </c>
      <c r="CEV236" s="1077">
        <v>8298541</v>
      </c>
      <c r="CEW236" s="1077">
        <v>8298541</v>
      </c>
      <c r="CEX236" s="1077">
        <v>8298541</v>
      </c>
      <c r="CEY236" s="1077">
        <v>8298541</v>
      </c>
      <c r="CEZ236" s="1077">
        <v>8298541</v>
      </c>
      <c r="CFA236" s="1077">
        <v>8298541</v>
      </c>
      <c r="CFB236" s="1077">
        <v>8298541</v>
      </c>
      <c r="CFC236" s="1077">
        <v>8298541</v>
      </c>
      <c r="CFD236" s="1077">
        <v>8298541</v>
      </c>
      <c r="CFE236" s="1077">
        <v>8298541</v>
      </c>
      <c r="CFF236" s="1077">
        <v>8298541</v>
      </c>
      <c r="CFG236" s="1077">
        <v>8298541</v>
      </c>
      <c r="CFH236" s="1077">
        <v>8298541</v>
      </c>
      <c r="CFI236" s="1077">
        <v>8298541</v>
      </c>
      <c r="CFJ236" s="1077">
        <v>8298541</v>
      </c>
      <c r="CFK236" s="1077">
        <v>8298541</v>
      </c>
      <c r="CFL236" s="1077">
        <v>8298541</v>
      </c>
      <c r="CFM236" s="1077">
        <v>8298541</v>
      </c>
      <c r="CFN236" s="1077">
        <v>8298541</v>
      </c>
      <c r="CFO236" s="1077">
        <v>8298541</v>
      </c>
      <c r="CFP236" s="1077">
        <v>8298541</v>
      </c>
      <c r="CFQ236" s="1077">
        <v>8298541</v>
      </c>
      <c r="CFR236" s="1077">
        <v>8298541</v>
      </c>
      <c r="CFS236" s="1077">
        <v>8298541</v>
      </c>
      <c r="CFT236" s="1077">
        <v>8298541</v>
      </c>
      <c r="CFU236" s="1077">
        <v>8298541</v>
      </c>
      <c r="CFV236" s="1077">
        <v>8298541</v>
      </c>
      <c r="CFW236" s="1077">
        <v>8298541</v>
      </c>
      <c r="CFX236" s="1077">
        <v>8298541</v>
      </c>
      <c r="CFY236" s="1077">
        <v>8298541</v>
      </c>
      <c r="CFZ236" s="1077">
        <v>8298541</v>
      </c>
      <c r="CGA236" s="1077">
        <v>8298541</v>
      </c>
      <c r="CGB236" s="1077">
        <v>8298541</v>
      </c>
      <c r="CGC236" s="1077">
        <v>8298541</v>
      </c>
      <c r="CGD236" s="1077">
        <v>8298541</v>
      </c>
      <c r="CGE236" s="1077">
        <v>8298541</v>
      </c>
      <c r="CGF236" s="1077">
        <v>8298541</v>
      </c>
      <c r="CGG236" s="1077">
        <v>8298541</v>
      </c>
      <c r="CGH236" s="1077">
        <v>8298541</v>
      </c>
      <c r="CGI236" s="1077">
        <v>8298541</v>
      </c>
      <c r="CGJ236" s="1077">
        <v>8298541</v>
      </c>
      <c r="CGK236" s="1077">
        <v>8298541</v>
      </c>
      <c r="CGL236" s="1077">
        <v>8298541</v>
      </c>
      <c r="CGM236" s="1077">
        <v>8298541</v>
      </c>
      <c r="CGN236" s="1077">
        <v>8298541</v>
      </c>
      <c r="CGO236" s="1077">
        <v>8298541</v>
      </c>
      <c r="CGP236" s="1077">
        <v>8298541</v>
      </c>
      <c r="CGQ236" s="1077">
        <v>8298541</v>
      </c>
      <c r="CGR236" s="1077">
        <v>8298541</v>
      </c>
      <c r="CGS236" s="1077">
        <v>8298541</v>
      </c>
      <c r="CGT236" s="1077">
        <v>8298541</v>
      </c>
      <c r="CGU236" s="1077">
        <v>8298541</v>
      </c>
      <c r="CGV236" s="1077">
        <v>8298541</v>
      </c>
      <c r="CGW236" s="1077">
        <v>8298541</v>
      </c>
      <c r="CGX236" s="1077">
        <v>8298541</v>
      </c>
      <c r="CGY236" s="1077">
        <v>8298541</v>
      </c>
      <c r="CGZ236" s="1077">
        <v>8298541</v>
      </c>
      <c r="CHA236" s="1077">
        <v>8298541</v>
      </c>
      <c r="CHB236" s="1077">
        <v>8298541</v>
      </c>
      <c r="CHC236" s="1077">
        <v>8298541</v>
      </c>
      <c r="CHD236" s="1077">
        <v>8298541</v>
      </c>
      <c r="CHE236" s="1077">
        <v>8298541</v>
      </c>
      <c r="CHF236" s="1077">
        <v>8298541</v>
      </c>
      <c r="CHG236" s="1077">
        <v>8298541</v>
      </c>
      <c r="CHH236" s="1077">
        <v>8298541</v>
      </c>
      <c r="CHI236" s="1077">
        <v>8298541</v>
      </c>
      <c r="CHJ236" s="1077">
        <v>8298541</v>
      </c>
      <c r="CHK236" s="1077">
        <v>8298541</v>
      </c>
      <c r="CHL236" s="1077">
        <v>8298541</v>
      </c>
      <c r="CHM236" s="1077">
        <v>8298541</v>
      </c>
      <c r="CHN236" s="1077">
        <v>8298541</v>
      </c>
      <c r="CHO236" s="1077">
        <v>8298541</v>
      </c>
      <c r="CHP236" s="1077">
        <v>8298541</v>
      </c>
      <c r="CHQ236" s="1077">
        <v>8298541</v>
      </c>
      <c r="CHR236" s="1077">
        <v>8298541</v>
      </c>
      <c r="CHS236" s="1077">
        <v>8298541</v>
      </c>
      <c r="CHT236" s="1077">
        <v>8298541</v>
      </c>
      <c r="CHU236" s="1077">
        <v>8298541</v>
      </c>
      <c r="CHV236" s="1077">
        <v>8298541</v>
      </c>
      <c r="CHW236" s="1077">
        <v>8298541</v>
      </c>
      <c r="CHX236" s="1077">
        <v>8298541</v>
      </c>
      <c r="CHY236" s="1077">
        <v>8298541</v>
      </c>
      <c r="CHZ236" s="1077">
        <v>8298541</v>
      </c>
      <c r="CIA236" s="1077">
        <v>8298541</v>
      </c>
      <c r="CIB236" s="1077">
        <v>8298541</v>
      </c>
      <c r="CIC236" s="1077">
        <v>8298541</v>
      </c>
      <c r="CID236" s="1077">
        <v>8298541</v>
      </c>
      <c r="CIE236" s="1077">
        <v>8298541</v>
      </c>
      <c r="CIF236" s="1077">
        <v>8298541</v>
      </c>
      <c r="CIG236" s="1077">
        <v>8298541</v>
      </c>
      <c r="CIH236" s="1077">
        <v>8298541</v>
      </c>
      <c r="CII236" s="1077">
        <v>8298541</v>
      </c>
      <c r="CIJ236" s="1077">
        <v>8298541</v>
      </c>
      <c r="CIK236" s="1077">
        <v>8298541</v>
      </c>
      <c r="CIL236" s="1077">
        <v>8298541</v>
      </c>
      <c r="CIM236" s="1077">
        <v>8298541</v>
      </c>
      <c r="CIN236" s="1077">
        <v>8298541</v>
      </c>
      <c r="CIO236" s="1077">
        <v>8298541</v>
      </c>
      <c r="CIP236" s="1077">
        <v>8298541</v>
      </c>
      <c r="CIQ236" s="1077">
        <v>8298541</v>
      </c>
      <c r="CIR236" s="1077">
        <v>8298541</v>
      </c>
      <c r="CIS236" s="1077">
        <v>8298541</v>
      </c>
      <c r="CIT236" s="1077">
        <v>8298541</v>
      </c>
      <c r="CIU236" s="1077">
        <v>8298541</v>
      </c>
      <c r="CIV236" s="1077">
        <v>8298541</v>
      </c>
      <c r="CIW236" s="1077">
        <v>8298541</v>
      </c>
      <c r="CIX236" s="1077">
        <v>8298541</v>
      </c>
      <c r="CIY236" s="1077">
        <v>8298541</v>
      </c>
      <c r="CIZ236" s="1077">
        <v>8298541</v>
      </c>
      <c r="CJA236" s="1077">
        <v>8298541</v>
      </c>
      <c r="CJB236" s="1077">
        <v>8298541</v>
      </c>
      <c r="CJC236" s="1077">
        <v>8298541</v>
      </c>
      <c r="CJD236" s="1077">
        <v>8298541</v>
      </c>
      <c r="CJE236" s="1077">
        <v>8298541</v>
      </c>
      <c r="CJF236" s="1077">
        <v>8298541</v>
      </c>
      <c r="CJG236" s="1077">
        <v>8298541</v>
      </c>
      <c r="CJH236" s="1077">
        <v>8298541</v>
      </c>
      <c r="CJI236" s="1077">
        <v>8298541</v>
      </c>
      <c r="CJJ236" s="1077">
        <v>8298541</v>
      </c>
      <c r="CJK236" s="1077">
        <v>8298541</v>
      </c>
      <c r="CJL236" s="1077">
        <v>8298541</v>
      </c>
      <c r="CJM236" s="1077">
        <v>8298541</v>
      </c>
      <c r="CJN236" s="1077">
        <v>8298541</v>
      </c>
      <c r="CJO236" s="1077">
        <v>8298541</v>
      </c>
      <c r="CJP236" s="1077">
        <v>8298541</v>
      </c>
      <c r="CJQ236" s="1077">
        <v>8298541</v>
      </c>
      <c r="CJR236" s="1077">
        <v>8298541</v>
      </c>
      <c r="CJS236" s="1077">
        <v>8298541</v>
      </c>
      <c r="CJT236" s="1077">
        <v>8298541</v>
      </c>
      <c r="CJU236" s="1077">
        <v>8298541</v>
      </c>
      <c r="CJV236" s="1077">
        <v>8298541</v>
      </c>
      <c r="CJW236" s="1077">
        <v>8298541</v>
      </c>
      <c r="CJX236" s="1077">
        <v>8298541</v>
      </c>
      <c r="CJY236" s="1077">
        <v>8298541</v>
      </c>
      <c r="CJZ236" s="1077">
        <v>8298541</v>
      </c>
      <c r="CKA236" s="1077">
        <v>8298541</v>
      </c>
      <c r="CKB236" s="1077">
        <v>8298541</v>
      </c>
      <c r="CKC236" s="1077">
        <v>8298541</v>
      </c>
      <c r="CKD236" s="1077">
        <v>8298541</v>
      </c>
      <c r="CKE236" s="1077">
        <v>8298541</v>
      </c>
      <c r="CKF236" s="1077">
        <v>8298541</v>
      </c>
      <c r="CKG236" s="1077">
        <v>8298541</v>
      </c>
      <c r="CKH236" s="1077">
        <v>8298541</v>
      </c>
      <c r="CKI236" s="1077">
        <v>8298541</v>
      </c>
      <c r="CKJ236" s="1077">
        <v>8298541</v>
      </c>
      <c r="CKK236" s="1077">
        <v>8298541</v>
      </c>
      <c r="CKL236" s="1077">
        <v>8298541</v>
      </c>
      <c r="CKM236" s="1077">
        <v>8298541</v>
      </c>
      <c r="CKN236" s="1077">
        <v>8298541</v>
      </c>
      <c r="CKO236" s="1077">
        <v>8298541</v>
      </c>
      <c r="CKP236" s="1077">
        <v>8298541</v>
      </c>
      <c r="CKQ236" s="1077">
        <v>8298541</v>
      </c>
      <c r="CKR236" s="1077">
        <v>8298541</v>
      </c>
      <c r="CKS236" s="1077">
        <v>8298541</v>
      </c>
      <c r="CKT236" s="1077">
        <v>8298541</v>
      </c>
      <c r="CKU236" s="1077">
        <v>8298541</v>
      </c>
      <c r="CKV236" s="1077">
        <v>8298541</v>
      </c>
      <c r="CKW236" s="1077">
        <v>8298541</v>
      </c>
      <c r="CKX236" s="1077">
        <v>8298541</v>
      </c>
      <c r="CKY236" s="1077">
        <v>8298541</v>
      </c>
      <c r="CKZ236" s="1077">
        <v>8298541</v>
      </c>
      <c r="CLA236" s="1077">
        <v>8298541</v>
      </c>
      <c r="CLB236" s="1077">
        <v>8298541</v>
      </c>
      <c r="CLC236" s="1077">
        <v>8298541</v>
      </c>
      <c r="CLD236" s="1077">
        <v>8298541</v>
      </c>
      <c r="CLE236" s="1077">
        <v>8298541</v>
      </c>
      <c r="CLF236" s="1077">
        <v>8298541</v>
      </c>
      <c r="CLG236" s="1077">
        <v>8298541</v>
      </c>
      <c r="CLH236" s="1077">
        <v>8298541</v>
      </c>
      <c r="CLI236" s="1077">
        <v>8298541</v>
      </c>
      <c r="CLJ236" s="1077">
        <v>8298541</v>
      </c>
      <c r="CLK236" s="1077">
        <v>8298541</v>
      </c>
      <c r="CLL236" s="1077">
        <v>8298541</v>
      </c>
      <c r="CLM236" s="1077">
        <v>8298541</v>
      </c>
      <c r="CLN236" s="1077">
        <v>8298541</v>
      </c>
      <c r="CLO236" s="1077">
        <v>8298541</v>
      </c>
      <c r="CLP236" s="1077">
        <v>8298541</v>
      </c>
      <c r="CLQ236" s="1077">
        <v>8298541</v>
      </c>
      <c r="CLR236" s="1077">
        <v>8298541</v>
      </c>
      <c r="CLS236" s="1077">
        <v>8298541</v>
      </c>
      <c r="CLT236" s="1077">
        <v>8298541</v>
      </c>
      <c r="CLU236" s="1077">
        <v>8298541</v>
      </c>
      <c r="CLV236" s="1077">
        <v>8298541</v>
      </c>
      <c r="CLW236" s="1077">
        <v>8298541</v>
      </c>
      <c r="CLX236" s="1077">
        <v>8298541</v>
      </c>
      <c r="CLY236" s="1077">
        <v>8298541</v>
      </c>
      <c r="CLZ236" s="1077">
        <v>8298541</v>
      </c>
      <c r="CMA236" s="1077">
        <v>8298541</v>
      </c>
      <c r="CMB236" s="1077">
        <v>8298541</v>
      </c>
      <c r="CMC236" s="1077">
        <v>8298541</v>
      </c>
      <c r="CMD236" s="1077">
        <v>8298541</v>
      </c>
      <c r="CME236" s="1077">
        <v>8298541</v>
      </c>
      <c r="CMF236" s="1077">
        <v>8298541</v>
      </c>
      <c r="CMG236" s="1077">
        <v>8298541</v>
      </c>
      <c r="CMH236" s="1077">
        <v>8298541</v>
      </c>
      <c r="CMI236" s="1077">
        <v>8298541</v>
      </c>
      <c r="CMJ236" s="1077">
        <v>8298541</v>
      </c>
      <c r="CMK236" s="1077">
        <v>8298541</v>
      </c>
      <c r="CML236" s="1077">
        <v>8298541</v>
      </c>
      <c r="CMM236" s="1077">
        <v>8298541</v>
      </c>
      <c r="CMN236" s="1077">
        <v>8298541</v>
      </c>
      <c r="CMO236" s="1077">
        <v>8298541</v>
      </c>
      <c r="CMP236" s="1077">
        <v>8298541</v>
      </c>
      <c r="CMQ236" s="1077">
        <v>8298541</v>
      </c>
      <c r="CMR236" s="1077">
        <v>8298541</v>
      </c>
      <c r="CMS236" s="1077">
        <v>8298541</v>
      </c>
      <c r="CMT236" s="1077">
        <v>8298541</v>
      </c>
      <c r="CMU236" s="1077">
        <v>8298541</v>
      </c>
      <c r="CMV236" s="1077">
        <v>8298541</v>
      </c>
      <c r="CMW236" s="1077">
        <v>8298541</v>
      </c>
      <c r="CMX236" s="1077">
        <v>8298541</v>
      </c>
      <c r="CMY236" s="1077">
        <v>8298541</v>
      </c>
      <c r="CMZ236" s="1077">
        <v>8298541</v>
      </c>
      <c r="CNA236" s="1077">
        <v>8298541</v>
      </c>
      <c r="CNB236" s="1077">
        <v>8298541</v>
      </c>
      <c r="CNC236" s="1077">
        <v>8298541</v>
      </c>
      <c r="CND236" s="1077">
        <v>8298541</v>
      </c>
      <c r="CNE236" s="1077">
        <v>8298541</v>
      </c>
      <c r="CNF236" s="1077">
        <v>8298541</v>
      </c>
      <c r="CNG236" s="1077">
        <v>8298541</v>
      </c>
      <c r="CNH236" s="1077">
        <v>8298541</v>
      </c>
      <c r="CNI236" s="1077">
        <v>8298541</v>
      </c>
      <c r="CNJ236" s="1077">
        <v>8298541</v>
      </c>
      <c r="CNK236" s="1077">
        <v>8298541</v>
      </c>
      <c r="CNL236" s="1077">
        <v>8298541</v>
      </c>
      <c r="CNM236" s="1077">
        <v>8298541</v>
      </c>
      <c r="CNN236" s="1077">
        <v>8298541</v>
      </c>
      <c r="CNO236" s="1077">
        <v>8298541</v>
      </c>
      <c r="CNP236" s="1077">
        <v>8298541</v>
      </c>
      <c r="CNQ236" s="1077">
        <v>8298541</v>
      </c>
      <c r="CNR236" s="1077">
        <v>8298541</v>
      </c>
      <c r="CNS236" s="1077">
        <v>8298541</v>
      </c>
      <c r="CNT236" s="1077">
        <v>8298541</v>
      </c>
      <c r="CNU236" s="1077">
        <v>8298541</v>
      </c>
      <c r="CNV236" s="1077">
        <v>8298541</v>
      </c>
      <c r="CNW236" s="1077">
        <v>8298541</v>
      </c>
      <c r="CNX236" s="1077">
        <v>8298541</v>
      </c>
      <c r="CNY236" s="1077">
        <v>8298541</v>
      </c>
      <c r="CNZ236" s="1077">
        <v>8298541</v>
      </c>
      <c r="COA236" s="1077">
        <v>8298541</v>
      </c>
      <c r="COB236" s="1077">
        <v>8298541</v>
      </c>
      <c r="COC236" s="1077">
        <v>8298541</v>
      </c>
      <c r="COD236" s="1077">
        <v>8298541</v>
      </c>
      <c r="COE236" s="1077">
        <v>8298541</v>
      </c>
      <c r="COF236" s="1077">
        <v>8298541</v>
      </c>
      <c r="COG236" s="1077">
        <v>8298541</v>
      </c>
      <c r="COH236" s="1077">
        <v>8298541</v>
      </c>
      <c r="COI236" s="1077">
        <v>8298541</v>
      </c>
      <c r="COJ236" s="1077">
        <v>8298541</v>
      </c>
      <c r="COK236" s="1077">
        <v>8298541</v>
      </c>
      <c r="COL236" s="1077">
        <v>8298541</v>
      </c>
      <c r="COM236" s="1077">
        <v>8298541</v>
      </c>
      <c r="CON236" s="1077">
        <v>8298541</v>
      </c>
      <c r="COO236" s="1077">
        <v>8298541</v>
      </c>
      <c r="COP236" s="1077">
        <v>8298541</v>
      </c>
      <c r="COQ236" s="1077">
        <v>8298541</v>
      </c>
      <c r="COR236" s="1077">
        <v>8298541</v>
      </c>
      <c r="COS236" s="1077">
        <v>8298541</v>
      </c>
      <c r="COT236" s="1077">
        <v>8298541</v>
      </c>
      <c r="COU236" s="1077">
        <v>8298541</v>
      </c>
      <c r="COV236" s="1077">
        <v>8298541</v>
      </c>
      <c r="COW236" s="1077">
        <v>8298541</v>
      </c>
      <c r="COX236" s="1077">
        <v>8298541</v>
      </c>
      <c r="COY236" s="1077">
        <v>8298541</v>
      </c>
      <c r="COZ236" s="1077">
        <v>8298541</v>
      </c>
      <c r="CPA236" s="1077">
        <v>8298541</v>
      </c>
      <c r="CPB236" s="1077">
        <v>8298541</v>
      </c>
      <c r="CPC236" s="1077">
        <v>8298541</v>
      </c>
      <c r="CPD236" s="1077">
        <v>8298541</v>
      </c>
      <c r="CPE236" s="1077">
        <v>8298541</v>
      </c>
      <c r="CPF236" s="1077">
        <v>8298541</v>
      </c>
      <c r="CPG236" s="1077">
        <v>8298541</v>
      </c>
      <c r="CPH236" s="1077">
        <v>8298541</v>
      </c>
      <c r="CPI236" s="1077">
        <v>8298541</v>
      </c>
      <c r="CPJ236" s="1077">
        <v>8298541</v>
      </c>
      <c r="CPK236" s="1077">
        <v>8298541</v>
      </c>
      <c r="CPL236" s="1077">
        <v>8298541</v>
      </c>
      <c r="CPM236" s="1077">
        <v>8298541</v>
      </c>
      <c r="CPN236" s="1077">
        <v>8298541</v>
      </c>
      <c r="CPO236" s="1077">
        <v>8298541</v>
      </c>
      <c r="CPP236" s="1077">
        <v>8298541</v>
      </c>
      <c r="CPQ236" s="1077">
        <v>8298541</v>
      </c>
      <c r="CPR236" s="1077">
        <v>8298541</v>
      </c>
      <c r="CPS236" s="1077">
        <v>8298541</v>
      </c>
      <c r="CPT236" s="1077">
        <v>8298541</v>
      </c>
      <c r="CPU236" s="1077">
        <v>8298541</v>
      </c>
      <c r="CPV236" s="1077">
        <v>8298541</v>
      </c>
      <c r="CPW236" s="1077">
        <v>8298541</v>
      </c>
      <c r="CPX236" s="1077">
        <v>8298541</v>
      </c>
      <c r="CPY236" s="1077">
        <v>8298541</v>
      </c>
      <c r="CPZ236" s="1077">
        <v>8298541</v>
      </c>
      <c r="CQA236" s="1077">
        <v>8298541</v>
      </c>
      <c r="CQB236" s="1077">
        <v>8298541</v>
      </c>
      <c r="CQC236" s="1077">
        <v>8298541</v>
      </c>
      <c r="CQD236" s="1077">
        <v>8298541</v>
      </c>
      <c r="CQE236" s="1077">
        <v>8298541</v>
      </c>
      <c r="CQF236" s="1077">
        <v>8298541</v>
      </c>
      <c r="CQG236" s="1077">
        <v>8298541</v>
      </c>
      <c r="CQH236" s="1077">
        <v>8298541</v>
      </c>
      <c r="CQI236" s="1077">
        <v>8298541</v>
      </c>
      <c r="CQJ236" s="1077">
        <v>8298541</v>
      </c>
      <c r="CQK236" s="1077">
        <v>8298541</v>
      </c>
      <c r="CQL236" s="1077">
        <v>8298541</v>
      </c>
      <c r="CQM236" s="1077">
        <v>8298541</v>
      </c>
      <c r="CQN236" s="1077">
        <v>8298541</v>
      </c>
      <c r="CQO236" s="1077">
        <v>8298541</v>
      </c>
      <c r="CQP236" s="1077">
        <v>8298541</v>
      </c>
      <c r="CQQ236" s="1077">
        <v>8298541</v>
      </c>
      <c r="CQR236" s="1077">
        <v>8298541</v>
      </c>
      <c r="CQS236" s="1077">
        <v>8298541</v>
      </c>
      <c r="CQT236" s="1077">
        <v>8298541</v>
      </c>
      <c r="CQU236" s="1077">
        <v>8298541</v>
      </c>
      <c r="CQV236" s="1077">
        <v>8298541</v>
      </c>
      <c r="CQW236" s="1077">
        <v>8298541</v>
      </c>
      <c r="CQX236" s="1077">
        <v>8298541</v>
      </c>
      <c r="CQY236" s="1077">
        <v>8298541</v>
      </c>
      <c r="CQZ236" s="1077">
        <v>8298541</v>
      </c>
      <c r="CRA236" s="1077">
        <v>8298541</v>
      </c>
      <c r="CRB236" s="1077">
        <v>8298541</v>
      </c>
      <c r="CRC236" s="1077">
        <v>8298541</v>
      </c>
      <c r="CRD236" s="1077">
        <v>8298541</v>
      </c>
      <c r="CRE236" s="1077">
        <v>8298541</v>
      </c>
      <c r="CRF236" s="1077">
        <v>8298541</v>
      </c>
      <c r="CRG236" s="1077">
        <v>8298541</v>
      </c>
      <c r="CRH236" s="1077">
        <v>8298541</v>
      </c>
      <c r="CRI236" s="1077">
        <v>8298541</v>
      </c>
      <c r="CRJ236" s="1077">
        <v>8298541</v>
      </c>
      <c r="CRK236" s="1077">
        <v>8298541</v>
      </c>
      <c r="CRL236" s="1077">
        <v>8298541</v>
      </c>
      <c r="CRM236" s="1077">
        <v>8298541</v>
      </c>
      <c r="CRN236" s="1077">
        <v>8298541</v>
      </c>
      <c r="CRO236" s="1077">
        <v>8298541</v>
      </c>
      <c r="CRP236" s="1077">
        <v>8298541</v>
      </c>
      <c r="CRQ236" s="1077">
        <v>8298541</v>
      </c>
      <c r="CRR236" s="1077">
        <v>8298541</v>
      </c>
      <c r="CRS236" s="1077">
        <v>8298541</v>
      </c>
      <c r="CRT236" s="1077">
        <v>8298541</v>
      </c>
      <c r="CRU236" s="1077">
        <v>8298541</v>
      </c>
      <c r="CRV236" s="1077">
        <v>8298541</v>
      </c>
      <c r="CRW236" s="1077">
        <v>8298541</v>
      </c>
      <c r="CRX236" s="1077">
        <v>8298541</v>
      </c>
      <c r="CRY236" s="1077">
        <v>8298541</v>
      </c>
      <c r="CRZ236" s="1077">
        <v>8298541</v>
      </c>
      <c r="CSA236" s="1077">
        <v>8298541</v>
      </c>
      <c r="CSB236" s="1077">
        <v>8298541</v>
      </c>
      <c r="CSC236" s="1077">
        <v>8298541</v>
      </c>
      <c r="CSD236" s="1077">
        <v>8298541</v>
      </c>
      <c r="CSE236" s="1077">
        <v>8298541</v>
      </c>
      <c r="CSF236" s="1077">
        <v>8298541</v>
      </c>
      <c r="CSG236" s="1077">
        <v>8298541</v>
      </c>
      <c r="CSH236" s="1077">
        <v>8298541</v>
      </c>
      <c r="CSI236" s="1077">
        <v>8298541</v>
      </c>
      <c r="CSJ236" s="1077">
        <v>8298541</v>
      </c>
      <c r="CSK236" s="1077">
        <v>8298541</v>
      </c>
      <c r="CSL236" s="1077">
        <v>8298541</v>
      </c>
      <c r="CSM236" s="1077">
        <v>8298541</v>
      </c>
      <c r="CSN236" s="1077">
        <v>8298541</v>
      </c>
      <c r="CSO236" s="1077">
        <v>8298541</v>
      </c>
      <c r="CSP236" s="1077">
        <v>8298541</v>
      </c>
      <c r="CSQ236" s="1077">
        <v>8298541</v>
      </c>
      <c r="CSR236" s="1077">
        <v>8298541</v>
      </c>
      <c r="CSS236" s="1077">
        <v>8298541</v>
      </c>
      <c r="CST236" s="1077">
        <v>8298541</v>
      </c>
      <c r="CSU236" s="1077">
        <v>8298541</v>
      </c>
      <c r="CSV236" s="1077">
        <v>8298541</v>
      </c>
      <c r="CSW236" s="1077">
        <v>8298541</v>
      </c>
      <c r="CSX236" s="1077">
        <v>8298541</v>
      </c>
      <c r="CSY236" s="1077">
        <v>8298541</v>
      </c>
      <c r="CSZ236" s="1077">
        <v>8298541</v>
      </c>
      <c r="CTA236" s="1077">
        <v>8298541</v>
      </c>
      <c r="CTB236" s="1077">
        <v>8298541</v>
      </c>
      <c r="CTC236" s="1077">
        <v>8298541</v>
      </c>
      <c r="CTD236" s="1077">
        <v>8298541</v>
      </c>
      <c r="CTE236" s="1077">
        <v>8298541</v>
      </c>
      <c r="CTF236" s="1077">
        <v>8298541</v>
      </c>
      <c r="CTG236" s="1077">
        <v>8298541</v>
      </c>
      <c r="CTH236" s="1077">
        <v>8298541</v>
      </c>
      <c r="CTI236" s="1077">
        <v>8298541</v>
      </c>
      <c r="CTJ236" s="1077">
        <v>8298541</v>
      </c>
      <c r="CTK236" s="1077">
        <v>8298541</v>
      </c>
      <c r="CTL236" s="1077">
        <v>8298541</v>
      </c>
      <c r="CTM236" s="1077">
        <v>8298541</v>
      </c>
      <c r="CTN236" s="1077">
        <v>8298541</v>
      </c>
      <c r="CTO236" s="1077">
        <v>8298541</v>
      </c>
      <c r="CTP236" s="1077">
        <v>8298541</v>
      </c>
      <c r="CTQ236" s="1077">
        <v>8298541</v>
      </c>
      <c r="CTR236" s="1077">
        <v>8298541</v>
      </c>
      <c r="CTS236" s="1077">
        <v>8298541</v>
      </c>
      <c r="CTT236" s="1077">
        <v>8298541</v>
      </c>
      <c r="CTU236" s="1077">
        <v>8298541</v>
      </c>
      <c r="CTV236" s="1077">
        <v>8298541</v>
      </c>
      <c r="CTW236" s="1077">
        <v>8298541</v>
      </c>
      <c r="CTX236" s="1077">
        <v>8298541</v>
      </c>
      <c r="CTY236" s="1077">
        <v>8298541</v>
      </c>
      <c r="CTZ236" s="1077">
        <v>8298541</v>
      </c>
      <c r="CUA236" s="1077">
        <v>8298541</v>
      </c>
      <c r="CUB236" s="1077">
        <v>8298541</v>
      </c>
      <c r="CUC236" s="1077">
        <v>8298541</v>
      </c>
      <c r="CUD236" s="1077">
        <v>8298541</v>
      </c>
      <c r="CUE236" s="1077">
        <v>8298541</v>
      </c>
      <c r="CUF236" s="1077">
        <v>8298541</v>
      </c>
      <c r="CUG236" s="1077">
        <v>8298541</v>
      </c>
      <c r="CUH236" s="1077">
        <v>8298541</v>
      </c>
      <c r="CUI236" s="1077">
        <v>8298541</v>
      </c>
      <c r="CUJ236" s="1077">
        <v>8298541</v>
      </c>
      <c r="CUK236" s="1077">
        <v>8298541</v>
      </c>
      <c r="CUL236" s="1077">
        <v>8298541</v>
      </c>
      <c r="CUM236" s="1077">
        <v>8298541</v>
      </c>
      <c r="CUN236" s="1077">
        <v>8298541</v>
      </c>
      <c r="CUO236" s="1077">
        <v>8298541</v>
      </c>
      <c r="CUP236" s="1077">
        <v>8298541</v>
      </c>
      <c r="CUQ236" s="1077">
        <v>8298541</v>
      </c>
      <c r="CUR236" s="1077">
        <v>8298541</v>
      </c>
      <c r="CUS236" s="1077">
        <v>8298541</v>
      </c>
      <c r="CUT236" s="1077">
        <v>8298541</v>
      </c>
      <c r="CUU236" s="1077">
        <v>8298541</v>
      </c>
      <c r="CUV236" s="1077">
        <v>8298541</v>
      </c>
      <c r="CUW236" s="1077">
        <v>8298541</v>
      </c>
      <c r="CUX236" s="1077">
        <v>8298541</v>
      </c>
      <c r="CUY236" s="1077">
        <v>8298541</v>
      </c>
      <c r="CUZ236" s="1077">
        <v>8298541</v>
      </c>
      <c r="CVA236" s="1077">
        <v>8298541</v>
      </c>
      <c r="CVB236" s="1077">
        <v>8298541</v>
      </c>
      <c r="CVC236" s="1077">
        <v>8298541</v>
      </c>
      <c r="CVD236" s="1077">
        <v>8298541</v>
      </c>
      <c r="CVE236" s="1077">
        <v>8298541</v>
      </c>
      <c r="CVF236" s="1077">
        <v>8298541</v>
      </c>
      <c r="CVG236" s="1077">
        <v>8298541</v>
      </c>
      <c r="CVH236" s="1077">
        <v>8298541</v>
      </c>
      <c r="CVI236" s="1077">
        <v>8298541</v>
      </c>
      <c r="CVJ236" s="1077">
        <v>8298541</v>
      </c>
      <c r="CVK236" s="1077">
        <v>8298541</v>
      </c>
      <c r="CVL236" s="1077">
        <v>8298541</v>
      </c>
      <c r="CVM236" s="1077">
        <v>8298541</v>
      </c>
      <c r="CVN236" s="1077">
        <v>8298541</v>
      </c>
      <c r="CVO236" s="1077">
        <v>8298541</v>
      </c>
      <c r="CVP236" s="1077">
        <v>8298541</v>
      </c>
      <c r="CVQ236" s="1077">
        <v>8298541</v>
      </c>
      <c r="CVR236" s="1077">
        <v>8298541</v>
      </c>
      <c r="CVS236" s="1077">
        <v>8298541</v>
      </c>
      <c r="CVT236" s="1077">
        <v>8298541</v>
      </c>
      <c r="CVU236" s="1077">
        <v>8298541</v>
      </c>
      <c r="CVV236" s="1077">
        <v>8298541</v>
      </c>
      <c r="CVW236" s="1077">
        <v>8298541</v>
      </c>
      <c r="CVX236" s="1077">
        <v>8298541</v>
      </c>
      <c r="CVY236" s="1077">
        <v>8298541</v>
      </c>
      <c r="CVZ236" s="1077">
        <v>8298541</v>
      </c>
      <c r="CWA236" s="1077">
        <v>8298541</v>
      </c>
      <c r="CWB236" s="1077">
        <v>8298541</v>
      </c>
      <c r="CWC236" s="1077">
        <v>8298541</v>
      </c>
      <c r="CWD236" s="1077">
        <v>8298541</v>
      </c>
      <c r="CWE236" s="1077">
        <v>8298541</v>
      </c>
      <c r="CWF236" s="1077">
        <v>8298541</v>
      </c>
      <c r="CWG236" s="1077">
        <v>8298541</v>
      </c>
      <c r="CWH236" s="1077">
        <v>8298541</v>
      </c>
      <c r="CWI236" s="1077">
        <v>8298541</v>
      </c>
      <c r="CWJ236" s="1077">
        <v>8298541</v>
      </c>
      <c r="CWK236" s="1077">
        <v>8298541</v>
      </c>
      <c r="CWL236" s="1077">
        <v>8298541</v>
      </c>
      <c r="CWM236" s="1077">
        <v>8298541</v>
      </c>
      <c r="CWN236" s="1077">
        <v>8298541</v>
      </c>
      <c r="CWO236" s="1077">
        <v>8298541</v>
      </c>
      <c r="CWP236" s="1077">
        <v>8298541</v>
      </c>
      <c r="CWQ236" s="1077">
        <v>8298541</v>
      </c>
      <c r="CWR236" s="1077">
        <v>8298541</v>
      </c>
      <c r="CWS236" s="1077">
        <v>8298541</v>
      </c>
      <c r="CWT236" s="1077">
        <v>8298541</v>
      </c>
      <c r="CWU236" s="1077">
        <v>8298541</v>
      </c>
      <c r="CWV236" s="1077">
        <v>8298541</v>
      </c>
      <c r="CWW236" s="1077">
        <v>8298541</v>
      </c>
      <c r="CWX236" s="1077">
        <v>8298541</v>
      </c>
      <c r="CWY236" s="1077">
        <v>8298541</v>
      </c>
      <c r="CWZ236" s="1077">
        <v>8298541</v>
      </c>
      <c r="CXA236" s="1077">
        <v>8298541</v>
      </c>
      <c r="CXB236" s="1077">
        <v>8298541</v>
      </c>
      <c r="CXC236" s="1077">
        <v>8298541</v>
      </c>
      <c r="CXD236" s="1077">
        <v>8298541</v>
      </c>
      <c r="CXE236" s="1077">
        <v>8298541</v>
      </c>
      <c r="CXF236" s="1077">
        <v>8298541</v>
      </c>
      <c r="CXG236" s="1077">
        <v>8298541</v>
      </c>
      <c r="CXH236" s="1077">
        <v>8298541</v>
      </c>
      <c r="CXI236" s="1077">
        <v>8298541</v>
      </c>
      <c r="CXJ236" s="1077">
        <v>8298541</v>
      </c>
      <c r="CXK236" s="1077">
        <v>8298541</v>
      </c>
      <c r="CXL236" s="1077">
        <v>8298541</v>
      </c>
      <c r="CXM236" s="1077">
        <v>8298541</v>
      </c>
      <c r="CXN236" s="1077">
        <v>8298541</v>
      </c>
      <c r="CXO236" s="1077">
        <v>8298541</v>
      </c>
      <c r="CXP236" s="1077">
        <v>8298541</v>
      </c>
      <c r="CXQ236" s="1077">
        <v>8298541</v>
      </c>
      <c r="CXR236" s="1077">
        <v>8298541</v>
      </c>
      <c r="CXS236" s="1077">
        <v>8298541</v>
      </c>
      <c r="CXT236" s="1077">
        <v>8298541</v>
      </c>
      <c r="CXU236" s="1077">
        <v>8298541</v>
      </c>
      <c r="CXV236" s="1077">
        <v>8298541</v>
      </c>
      <c r="CXW236" s="1077">
        <v>8298541</v>
      </c>
      <c r="CXX236" s="1077">
        <v>8298541</v>
      </c>
      <c r="CXY236" s="1077">
        <v>8298541</v>
      </c>
      <c r="CXZ236" s="1077">
        <v>8298541</v>
      </c>
      <c r="CYA236" s="1077">
        <v>8298541</v>
      </c>
      <c r="CYB236" s="1077">
        <v>8298541</v>
      </c>
      <c r="CYC236" s="1077">
        <v>8298541</v>
      </c>
      <c r="CYD236" s="1077">
        <v>8298541</v>
      </c>
      <c r="CYE236" s="1077">
        <v>8298541</v>
      </c>
      <c r="CYF236" s="1077">
        <v>8298541</v>
      </c>
      <c r="CYG236" s="1077">
        <v>8298541</v>
      </c>
      <c r="CYH236" s="1077">
        <v>8298541</v>
      </c>
      <c r="CYI236" s="1077">
        <v>8298541</v>
      </c>
      <c r="CYJ236" s="1077">
        <v>8298541</v>
      </c>
      <c r="CYK236" s="1077">
        <v>8298541</v>
      </c>
      <c r="CYL236" s="1077">
        <v>8298541</v>
      </c>
      <c r="CYM236" s="1077">
        <v>8298541</v>
      </c>
      <c r="CYN236" s="1077">
        <v>8298541</v>
      </c>
      <c r="CYO236" s="1077">
        <v>8298541</v>
      </c>
      <c r="CYP236" s="1077">
        <v>8298541</v>
      </c>
      <c r="CYQ236" s="1077">
        <v>8298541</v>
      </c>
      <c r="CYR236" s="1077">
        <v>8298541</v>
      </c>
      <c r="CYS236" s="1077">
        <v>8298541</v>
      </c>
      <c r="CYT236" s="1077">
        <v>8298541</v>
      </c>
      <c r="CYU236" s="1077">
        <v>8298541</v>
      </c>
      <c r="CYV236" s="1077">
        <v>8298541</v>
      </c>
      <c r="CYW236" s="1077">
        <v>8298541</v>
      </c>
      <c r="CYX236" s="1077">
        <v>8298541</v>
      </c>
      <c r="CYY236" s="1077">
        <v>8298541</v>
      </c>
      <c r="CYZ236" s="1077">
        <v>8298541</v>
      </c>
      <c r="CZA236" s="1077">
        <v>8298541</v>
      </c>
      <c r="CZB236" s="1077">
        <v>8298541</v>
      </c>
      <c r="CZC236" s="1077">
        <v>8298541</v>
      </c>
      <c r="CZD236" s="1077">
        <v>8298541</v>
      </c>
      <c r="CZE236" s="1077">
        <v>8298541</v>
      </c>
      <c r="CZF236" s="1077">
        <v>8298541</v>
      </c>
      <c r="CZG236" s="1077">
        <v>8298541</v>
      </c>
      <c r="CZH236" s="1077">
        <v>8298541</v>
      </c>
      <c r="CZI236" s="1077">
        <v>8298541</v>
      </c>
      <c r="CZJ236" s="1077">
        <v>8298541</v>
      </c>
      <c r="CZK236" s="1077">
        <v>8298541</v>
      </c>
      <c r="CZL236" s="1077">
        <v>8298541</v>
      </c>
      <c r="CZM236" s="1077">
        <v>8298541</v>
      </c>
      <c r="CZN236" s="1077">
        <v>8298541</v>
      </c>
      <c r="CZO236" s="1077">
        <v>8298541</v>
      </c>
      <c r="CZP236" s="1077">
        <v>8298541</v>
      </c>
      <c r="CZQ236" s="1077">
        <v>8298541</v>
      </c>
      <c r="CZR236" s="1077">
        <v>8298541</v>
      </c>
      <c r="CZS236" s="1077">
        <v>8298541</v>
      </c>
      <c r="CZT236" s="1077">
        <v>8298541</v>
      </c>
      <c r="CZU236" s="1077">
        <v>8298541</v>
      </c>
      <c r="CZV236" s="1077">
        <v>8298541</v>
      </c>
      <c r="CZW236" s="1077">
        <v>8298541</v>
      </c>
      <c r="CZX236" s="1077">
        <v>8298541</v>
      </c>
      <c r="CZY236" s="1077">
        <v>8298541</v>
      </c>
      <c r="CZZ236" s="1077">
        <v>8298541</v>
      </c>
      <c r="DAA236" s="1077">
        <v>8298541</v>
      </c>
      <c r="DAB236" s="1077">
        <v>8298541</v>
      </c>
      <c r="DAC236" s="1077">
        <v>8298541</v>
      </c>
      <c r="DAD236" s="1077">
        <v>8298541</v>
      </c>
      <c r="DAE236" s="1077">
        <v>8298541</v>
      </c>
      <c r="DAF236" s="1077">
        <v>8298541</v>
      </c>
      <c r="DAG236" s="1077">
        <v>8298541</v>
      </c>
      <c r="DAH236" s="1077">
        <v>8298541</v>
      </c>
      <c r="DAI236" s="1077">
        <v>8298541</v>
      </c>
      <c r="DAJ236" s="1077">
        <v>8298541</v>
      </c>
      <c r="DAK236" s="1077">
        <v>8298541</v>
      </c>
      <c r="DAL236" s="1077">
        <v>8298541</v>
      </c>
      <c r="DAM236" s="1077">
        <v>8298541</v>
      </c>
      <c r="DAN236" s="1077">
        <v>8298541</v>
      </c>
      <c r="DAO236" s="1077">
        <v>8298541</v>
      </c>
      <c r="DAP236" s="1077">
        <v>8298541</v>
      </c>
      <c r="DAQ236" s="1077">
        <v>8298541</v>
      </c>
      <c r="DAR236" s="1077">
        <v>8298541</v>
      </c>
      <c r="DAS236" s="1077">
        <v>8298541</v>
      </c>
      <c r="DAT236" s="1077">
        <v>8298541</v>
      </c>
      <c r="DAU236" s="1077">
        <v>8298541</v>
      </c>
      <c r="DAV236" s="1077">
        <v>8298541</v>
      </c>
      <c r="DAW236" s="1077">
        <v>8298541</v>
      </c>
      <c r="DAX236" s="1077">
        <v>8298541</v>
      </c>
      <c r="DAY236" s="1077">
        <v>8298541</v>
      </c>
      <c r="DAZ236" s="1077">
        <v>8298541</v>
      </c>
      <c r="DBA236" s="1077">
        <v>8298541</v>
      </c>
      <c r="DBB236" s="1077">
        <v>8298541</v>
      </c>
      <c r="DBC236" s="1077">
        <v>8298541</v>
      </c>
      <c r="DBD236" s="1077">
        <v>8298541</v>
      </c>
      <c r="DBE236" s="1077">
        <v>8298541</v>
      </c>
      <c r="DBF236" s="1077">
        <v>8298541</v>
      </c>
      <c r="DBG236" s="1077">
        <v>8298541</v>
      </c>
      <c r="DBH236" s="1077">
        <v>8298541</v>
      </c>
      <c r="DBI236" s="1077">
        <v>8298541</v>
      </c>
      <c r="DBJ236" s="1077">
        <v>8298541</v>
      </c>
      <c r="DBK236" s="1077">
        <v>8298541</v>
      </c>
      <c r="DBL236" s="1077">
        <v>8298541</v>
      </c>
      <c r="DBM236" s="1077">
        <v>8298541</v>
      </c>
      <c r="DBN236" s="1077">
        <v>8298541</v>
      </c>
      <c r="DBO236" s="1077">
        <v>8298541</v>
      </c>
      <c r="DBP236" s="1077">
        <v>8298541</v>
      </c>
      <c r="DBQ236" s="1077">
        <v>8298541</v>
      </c>
      <c r="DBR236" s="1077">
        <v>8298541</v>
      </c>
      <c r="DBS236" s="1077">
        <v>8298541</v>
      </c>
      <c r="DBT236" s="1077">
        <v>8298541</v>
      </c>
      <c r="DBU236" s="1077">
        <v>8298541</v>
      </c>
      <c r="DBV236" s="1077">
        <v>8298541</v>
      </c>
      <c r="DBW236" s="1077">
        <v>8298541</v>
      </c>
      <c r="DBX236" s="1077">
        <v>8298541</v>
      </c>
      <c r="DBY236" s="1077">
        <v>8298541</v>
      </c>
      <c r="DBZ236" s="1077">
        <v>8298541</v>
      </c>
      <c r="DCA236" s="1077">
        <v>8298541</v>
      </c>
      <c r="DCB236" s="1077">
        <v>8298541</v>
      </c>
      <c r="DCC236" s="1077">
        <v>8298541</v>
      </c>
      <c r="DCD236" s="1077">
        <v>8298541</v>
      </c>
      <c r="DCE236" s="1077">
        <v>8298541</v>
      </c>
      <c r="DCF236" s="1077">
        <v>8298541</v>
      </c>
      <c r="DCG236" s="1077">
        <v>8298541</v>
      </c>
      <c r="DCH236" s="1077">
        <v>8298541</v>
      </c>
      <c r="DCI236" s="1077">
        <v>8298541</v>
      </c>
      <c r="DCJ236" s="1077">
        <v>8298541</v>
      </c>
      <c r="DCK236" s="1077">
        <v>8298541</v>
      </c>
      <c r="DCL236" s="1077">
        <v>8298541</v>
      </c>
      <c r="DCM236" s="1077">
        <v>8298541</v>
      </c>
      <c r="DCN236" s="1077">
        <v>8298541</v>
      </c>
      <c r="DCO236" s="1077">
        <v>8298541</v>
      </c>
      <c r="DCP236" s="1077">
        <v>8298541</v>
      </c>
      <c r="DCQ236" s="1077">
        <v>8298541</v>
      </c>
      <c r="DCR236" s="1077">
        <v>8298541</v>
      </c>
      <c r="DCS236" s="1077">
        <v>8298541</v>
      </c>
      <c r="DCT236" s="1077">
        <v>8298541</v>
      </c>
      <c r="DCU236" s="1077">
        <v>8298541</v>
      </c>
      <c r="DCV236" s="1077">
        <v>8298541</v>
      </c>
      <c r="DCW236" s="1077">
        <v>8298541</v>
      </c>
      <c r="DCX236" s="1077">
        <v>8298541</v>
      </c>
      <c r="DCY236" s="1077">
        <v>8298541</v>
      </c>
      <c r="DCZ236" s="1077">
        <v>8298541</v>
      </c>
      <c r="DDA236" s="1077">
        <v>8298541</v>
      </c>
      <c r="DDB236" s="1077">
        <v>8298541</v>
      </c>
      <c r="DDC236" s="1077">
        <v>8298541</v>
      </c>
      <c r="DDD236" s="1077">
        <v>8298541</v>
      </c>
      <c r="DDE236" s="1077">
        <v>8298541</v>
      </c>
      <c r="DDF236" s="1077">
        <v>8298541</v>
      </c>
      <c r="DDG236" s="1077">
        <v>8298541</v>
      </c>
      <c r="DDH236" s="1077">
        <v>8298541</v>
      </c>
      <c r="DDI236" s="1077">
        <v>8298541</v>
      </c>
      <c r="DDJ236" s="1077">
        <v>8298541</v>
      </c>
      <c r="DDK236" s="1077">
        <v>8298541</v>
      </c>
      <c r="DDL236" s="1077">
        <v>8298541</v>
      </c>
      <c r="DDM236" s="1077">
        <v>8298541</v>
      </c>
      <c r="DDN236" s="1077">
        <v>8298541</v>
      </c>
      <c r="DDO236" s="1077">
        <v>8298541</v>
      </c>
      <c r="DDP236" s="1077">
        <v>8298541</v>
      </c>
      <c r="DDQ236" s="1077">
        <v>8298541</v>
      </c>
      <c r="DDR236" s="1077">
        <v>8298541</v>
      </c>
      <c r="DDS236" s="1077">
        <v>8298541</v>
      </c>
      <c r="DDT236" s="1077">
        <v>8298541</v>
      </c>
      <c r="DDU236" s="1077">
        <v>8298541</v>
      </c>
      <c r="DDV236" s="1077">
        <v>8298541</v>
      </c>
      <c r="DDW236" s="1077">
        <v>8298541</v>
      </c>
      <c r="DDX236" s="1077">
        <v>8298541</v>
      </c>
      <c r="DDY236" s="1077">
        <v>8298541</v>
      </c>
      <c r="DDZ236" s="1077">
        <v>8298541</v>
      </c>
      <c r="DEA236" s="1077">
        <v>8298541</v>
      </c>
      <c r="DEB236" s="1077">
        <v>8298541</v>
      </c>
      <c r="DEC236" s="1077">
        <v>8298541</v>
      </c>
      <c r="DED236" s="1077">
        <v>8298541</v>
      </c>
      <c r="DEE236" s="1077">
        <v>8298541</v>
      </c>
      <c r="DEF236" s="1077">
        <v>8298541</v>
      </c>
      <c r="DEG236" s="1077">
        <v>8298541</v>
      </c>
      <c r="DEH236" s="1077">
        <v>8298541</v>
      </c>
      <c r="DEI236" s="1077">
        <v>8298541</v>
      </c>
      <c r="DEJ236" s="1077">
        <v>8298541</v>
      </c>
      <c r="DEK236" s="1077">
        <v>8298541</v>
      </c>
      <c r="DEL236" s="1077">
        <v>8298541</v>
      </c>
      <c r="DEM236" s="1077">
        <v>8298541</v>
      </c>
      <c r="DEN236" s="1077">
        <v>8298541</v>
      </c>
      <c r="DEO236" s="1077">
        <v>8298541</v>
      </c>
      <c r="DEP236" s="1077">
        <v>8298541</v>
      </c>
      <c r="DEQ236" s="1077">
        <v>8298541</v>
      </c>
      <c r="DER236" s="1077">
        <v>8298541</v>
      </c>
      <c r="DES236" s="1077">
        <v>8298541</v>
      </c>
      <c r="DET236" s="1077">
        <v>8298541</v>
      </c>
      <c r="DEU236" s="1077">
        <v>8298541</v>
      </c>
      <c r="DEV236" s="1077">
        <v>8298541</v>
      </c>
      <c r="DEW236" s="1077">
        <v>8298541</v>
      </c>
      <c r="DEX236" s="1077">
        <v>8298541</v>
      </c>
      <c r="DEY236" s="1077">
        <v>8298541</v>
      </c>
      <c r="DEZ236" s="1077">
        <v>8298541</v>
      </c>
      <c r="DFA236" s="1077">
        <v>8298541</v>
      </c>
      <c r="DFB236" s="1077">
        <v>8298541</v>
      </c>
      <c r="DFC236" s="1077">
        <v>8298541</v>
      </c>
      <c r="DFD236" s="1077">
        <v>8298541</v>
      </c>
      <c r="DFE236" s="1077">
        <v>8298541</v>
      </c>
      <c r="DFF236" s="1077">
        <v>8298541</v>
      </c>
      <c r="DFG236" s="1077">
        <v>8298541</v>
      </c>
      <c r="DFH236" s="1077">
        <v>8298541</v>
      </c>
      <c r="DFI236" s="1077">
        <v>8298541</v>
      </c>
      <c r="DFJ236" s="1077">
        <v>8298541</v>
      </c>
      <c r="DFK236" s="1077">
        <v>8298541</v>
      </c>
      <c r="DFL236" s="1077">
        <v>8298541</v>
      </c>
      <c r="DFM236" s="1077">
        <v>8298541</v>
      </c>
      <c r="DFN236" s="1077">
        <v>8298541</v>
      </c>
      <c r="DFO236" s="1077">
        <v>8298541</v>
      </c>
      <c r="DFP236" s="1077">
        <v>8298541</v>
      </c>
      <c r="DFQ236" s="1077">
        <v>8298541</v>
      </c>
      <c r="DFR236" s="1077">
        <v>8298541</v>
      </c>
      <c r="DFS236" s="1077">
        <v>8298541</v>
      </c>
      <c r="DFT236" s="1077">
        <v>8298541</v>
      </c>
      <c r="DFU236" s="1077">
        <v>8298541</v>
      </c>
      <c r="DFV236" s="1077">
        <v>8298541</v>
      </c>
      <c r="DFW236" s="1077">
        <v>8298541</v>
      </c>
      <c r="DFX236" s="1077">
        <v>8298541</v>
      </c>
      <c r="DFY236" s="1077">
        <v>8298541</v>
      </c>
      <c r="DFZ236" s="1077">
        <v>8298541</v>
      </c>
      <c r="DGA236" s="1077">
        <v>8298541</v>
      </c>
      <c r="DGB236" s="1077">
        <v>8298541</v>
      </c>
      <c r="DGC236" s="1077">
        <v>8298541</v>
      </c>
      <c r="DGD236" s="1077">
        <v>8298541</v>
      </c>
      <c r="DGE236" s="1077">
        <v>8298541</v>
      </c>
      <c r="DGF236" s="1077">
        <v>8298541</v>
      </c>
      <c r="DGG236" s="1077">
        <v>8298541</v>
      </c>
      <c r="DGH236" s="1077">
        <v>8298541</v>
      </c>
      <c r="DGI236" s="1077">
        <v>8298541</v>
      </c>
      <c r="DGJ236" s="1077">
        <v>8298541</v>
      </c>
      <c r="DGK236" s="1077">
        <v>8298541</v>
      </c>
      <c r="DGL236" s="1077">
        <v>8298541</v>
      </c>
      <c r="DGM236" s="1077">
        <v>8298541</v>
      </c>
      <c r="DGN236" s="1077">
        <v>8298541</v>
      </c>
      <c r="DGO236" s="1077">
        <v>8298541</v>
      </c>
      <c r="DGP236" s="1077">
        <v>8298541</v>
      </c>
      <c r="DGQ236" s="1077">
        <v>8298541</v>
      </c>
      <c r="DGR236" s="1077">
        <v>8298541</v>
      </c>
      <c r="DGS236" s="1077">
        <v>8298541</v>
      </c>
      <c r="DGT236" s="1077">
        <v>8298541</v>
      </c>
      <c r="DGU236" s="1077">
        <v>8298541</v>
      </c>
      <c r="DGV236" s="1077">
        <v>8298541</v>
      </c>
      <c r="DGW236" s="1077">
        <v>8298541</v>
      </c>
      <c r="DGX236" s="1077">
        <v>8298541</v>
      </c>
      <c r="DGY236" s="1077">
        <v>8298541</v>
      </c>
      <c r="DGZ236" s="1077">
        <v>8298541</v>
      </c>
      <c r="DHA236" s="1077">
        <v>8298541</v>
      </c>
      <c r="DHB236" s="1077">
        <v>8298541</v>
      </c>
      <c r="DHC236" s="1077">
        <v>8298541</v>
      </c>
      <c r="DHD236" s="1077">
        <v>8298541</v>
      </c>
      <c r="DHE236" s="1077">
        <v>8298541</v>
      </c>
      <c r="DHF236" s="1077">
        <v>8298541</v>
      </c>
      <c r="DHG236" s="1077">
        <v>8298541</v>
      </c>
      <c r="DHH236" s="1077">
        <v>8298541</v>
      </c>
      <c r="DHI236" s="1077">
        <v>8298541</v>
      </c>
      <c r="DHJ236" s="1077">
        <v>8298541</v>
      </c>
      <c r="DHK236" s="1077">
        <v>8298541</v>
      </c>
      <c r="DHL236" s="1077">
        <v>8298541</v>
      </c>
      <c r="DHM236" s="1077">
        <v>8298541</v>
      </c>
      <c r="DHN236" s="1077">
        <v>8298541</v>
      </c>
      <c r="DHO236" s="1077">
        <v>8298541</v>
      </c>
      <c r="DHP236" s="1077">
        <v>8298541</v>
      </c>
      <c r="DHQ236" s="1077">
        <v>8298541</v>
      </c>
      <c r="DHR236" s="1077">
        <v>8298541</v>
      </c>
      <c r="DHS236" s="1077">
        <v>8298541</v>
      </c>
      <c r="DHT236" s="1077">
        <v>8298541</v>
      </c>
      <c r="DHU236" s="1077">
        <v>8298541</v>
      </c>
      <c r="DHV236" s="1077">
        <v>8298541</v>
      </c>
      <c r="DHW236" s="1077">
        <v>8298541</v>
      </c>
      <c r="DHX236" s="1077">
        <v>8298541</v>
      </c>
      <c r="DHY236" s="1077">
        <v>8298541</v>
      </c>
      <c r="DHZ236" s="1077">
        <v>8298541</v>
      </c>
      <c r="DIA236" s="1077">
        <v>8298541</v>
      </c>
      <c r="DIB236" s="1077">
        <v>8298541</v>
      </c>
      <c r="DIC236" s="1077">
        <v>8298541</v>
      </c>
      <c r="DID236" s="1077">
        <v>8298541</v>
      </c>
      <c r="DIE236" s="1077">
        <v>8298541</v>
      </c>
      <c r="DIF236" s="1077">
        <v>8298541</v>
      </c>
      <c r="DIG236" s="1077">
        <v>8298541</v>
      </c>
      <c r="DIH236" s="1077">
        <v>8298541</v>
      </c>
      <c r="DII236" s="1077">
        <v>8298541</v>
      </c>
      <c r="DIJ236" s="1077">
        <v>8298541</v>
      </c>
      <c r="DIK236" s="1077">
        <v>8298541</v>
      </c>
      <c r="DIL236" s="1077">
        <v>8298541</v>
      </c>
      <c r="DIM236" s="1077">
        <v>8298541</v>
      </c>
      <c r="DIN236" s="1077">
        <v>8298541</v>
      </c>
      <c r="DIO236" s="1077">
        <v>8298541</v>
      </c>
      <c r="DIP236" s="1077">
        <v>8298541</v>
      </c>
      <c r="DIQ236" s="1077">
        <v>8298541</v>
      </c>
      <c r="DIR236" s="1077">
        <v>8298541</v>
      </c>
      <c r="DIS236" s="1077">
        <v>8298541</v>
      </c>
      <c r="DIT236" s="1077">
        <v>8298541</v>
      </c>
      <c r="DIU236" s="1077">
        <v>8298541</v>
      </c>
      <c r="DIV236" s="1077">
        <v>8298541</v>
      </c>
      <c r="DIW236" s="1077">
        <v>8298541</v>
      </c>
      <c r="DIX236" s="1077">
        <v>8298541</v>
      </c>
      <c r="DIY236" s="1077">
        <v>8298541</v>
      </c>
      <c r="DIZ236" s="1077">
        <v>8298541</v>
      </c>
      <c r="DJA236" s="1077">
        <v>8298541</v>
      </c>
      <c r="DJB236" s="1077">
        <v>8298541</v>
      </c>
      <c r="DJC236" s="1077">
        <v>8298541</v>
      </c>
      <c r="DJD236" s="1077">
        <v>8298541</v>
      </c>
      <c r="DJE236" s="1077">
        <v>8298541</v>
      </c>
      <c r="DJF236" s="1077">
        <v>8298541</v>
      </c>
      <c r="DJG236" s="1077">
        <v>8298541</v>
      </c>
      <c r="DJH236" s="1077">
        <v>8298541</v>
      </c>
      <c r="DJI236" s="1077">
        <v>8298541</v>
      </c>
      <c r="DJJ236" s="1077">
        <v>8298541</v>
      </c>
      <c r="DJK236" s="1077">
        <v>8298541</v>
      </c>
      <c r="DJL236" s="1077">
        <v>8298541</v>
      </c>
      <c r="DJM236" s="1077">
        <v>8298541</v>
      </c>
      <c r="DJN236" s="1077">
        <v>8298541</v>
      </c>
      <c r="DJO236" s="1077">
        <v>8298541</v>
      </c>
      <c r="DJP236" s="1077">
        <v>8298541</v>
      </c>
      <c r="DJQ236" s="1077">
        <v>8298541</v>
      </c>
      <c r="DJR236" s="1077">
        <v>8298541</v>
      </c>
      <c r="DJS236" s="1077">
        <v>8298541</v>
      </c>
      <c r="DJT236" s="1077">
        <v>8298541</v>
      </c>
      <c r="DJU236" s="1077">
        <v>8298541</v>
      </c>
      <c r="DJV236" s="1077">
        <v>8298541</v>
      </c>
      <c r="DJW236" s="1077">
        <v>8298541</v>
      </c>
      <c r="DJX236" s="1077">
        <v>8298541</v>
      </c>
      <c r="DJY236" s="1077">
        <v>8298541</v>
      </c>
      <c r="DJZ236" s="1077">
        <v>8298541</v>
      </c>
      <c r="DKA236" s="1077">
        <v>8298541</v>
      </c>
      <c r="DKB236" s="1077">
        <v>8298541</v>
      </c>
      <c r="DKC236" s="1077">
        <v>8298541</v>
      </c>
      <c r="DKD236" s="1077">
        <v>8298541</v>
      </c>
      <c r="DKE236" s="1077">
        <v>8298541</v>
      </c>
      <c r="DKF236" s="1077">
        <v>8298541</v>
      </c>
      <c r="DKG236" s="1077">
        <v>8298541</v>
      </c>
      <c r="DKH236" s="1077">
        <v>8298541</v>
      </c>
      <c r="DKI236" s="1077">
        <v>8298541</v>
      </c>
      <c r="DKJ236" s="1077">
        <v>8298541</v>
      </c>
      <c r="DKK236" s="1077">
        <v>8298541</v>
      </c>
      <c r="DKL236" s="1077">
        <v>8298541</v>
      </c>
      <c r="DKM236" s="1077">
        <v>8298541</v>
      </c>
      <c r="DKN236" s="1077">
        <v>8298541</v>
      </c>
      <c r="DKO236" s="1077">
        <v>8298541</v>
      </c>
      <c r="DKP236" s="1077">
        <v>8298541</v>
      </c>
      <c r="DKQ236" s="1077">
        <v>8298541</v>
      </c>
      <c r="DKR236" s="1077">
        <v>8298541</v>
      </c>
      <c r="DKS236" s="1077">
        <v>8298541</v>
      </c>
      <c r="DKT236" s="1077">
        <v>8298541</v>
      </c>
      <c r="DKU236" s="1077">
        <v>8298541</v>
      </c>
      <c r="DKV236" s="1077">
        <v>8298541</v>
      </c>
      <c r="DKW236" s="1077">
        <v>8298541</v>
      </c>
      <c r="DKX236" s="1077">
        <v>8298541</v>
      </c>
      <c r="DKY236" s="1077">
        <v>8298541</v>
      </c>
      <c r="DKZ236" s="1077">
        <v>8298541</v>
      </c>
      <c r="DLA236" s="1077">
        <v>8298541</v>
      </c>
      <c r="DLB236" s="1077">
        <v>8298541</v>
      </c>
      <c r="DLC236" s="1077">
        <v>8298541</v>
      </c>
      <c r="DLD236" s="1077">
        <v>8298541</v>
      </c>
      <c r="DLE236" s="1077">
        <v>8298541</v>
      </c>
      <c r="DLF236" s="1077">
        <v>8298541</v>
      </c>
      <c r="DLG236" s="1077">
        <v>8298541</v>
      </c>
      <c r="DLH236" s="1077">
        <v>8298541</v>
      </c>
      <c r="DLI236" s="1077">
        <v>8298541</v>
      </c>
      <c r="DLJ236" s="1077">
        <v>8298541</v>
      </c>
      <c r="DLK236" s="1077">
        <v>8298541</v>
      </c>
      <c r="DLL236" s="1077">
        <v>8298541</v>
      </c>
      <c r="DLM236" s="1077">
        <v>8298541</v>
      </c>
      <c r="DLN236" s="1077">
        <v>8298541</v>
      </c>
      <c r="DLO236" s="1077">
        <v>8298541</v>
      </c>
      <c r="DLP236" s="1077">
        <v>8298541</v>
      </c>
      <c r="DLQ236" s="1077">
        <v>8298541</v>
      </c>
      <c r="DLR236" s="1077">
        <v>8298541</v>
      </c>
      <c r="DLS236" s="1077">
        <v>8298541</v>
      </c>
      <c r="DLT236" s="1077">
        <v>8298541</v>
      </c>
      <c r="DLU236" s="1077">
        <v>8298541</v>
      </c>
      <c r="DLV236" s="1077">
        <v>8298541</v>
      </c>
      <c r="DLW236" s="1077">
        <v>8298541</v>
      </c>
      <c r="DLX236" s="1077">
        <v>8298541</v>
      </c>
      <c r="DLY236" s="1077">
        <v>8298541</v>
      </c>
      <c r="DLZ236" s="1077">
        <v>8298541</v>
      </c>
      <c r="DMA236" s="1077">
        <v>8298541</v>
      </c>
      <c r="DMB236" s="1077">
        <v>8298541</v>
      </c>
      <c r="DMC236" s="1077">
        <v>8298541</v>
      </c>
      <c r="DMD236" s="1077">
        <v>8298541</v>
      </c>
      <c r="DME236" s="1077">
        <v>8298541</v>
      </c>
      <c r="DMF236" s="1077">
        <v>8298541</v>
      </c>
      <c r="DMG236" s="1077">
        <v>8298541</v>
      </c>
      <c r="DMH236" s="1077">
        <v>8298541</v>
      </c>
      <c r="DMI236" s="1077">
        <v>8298541</v>
      </c>
      <c r="DMJ236" s="1077">
        <v>8298541</v>
      </c>
      <c r="DMK236" s="1077">
        <v>8298541</v>
      </c>
      <c r="DML236" s="1077">
        <v>8298541</v>
      </c>
      <c r="DMM236" s="1077">
        <v>8298541</v>
      </c>
      <c r="DMN236" s="1077">
        <v>8298541</v>
      </c>
      <c r="DMO236" s="1077">
        <v>8298541</v>
      </c>
      <c r="DMP236" s="1077">
        <v>8298541</v>
      </c>
      <c r="DMQ236" s="1077">
        <v>8298541</v>
      </c>
      <c r="DMR236" s="1077">
        <v>8298541</v>
      </c>
      <c r="DMS236" s="1077">
        <v>8298541</v>
      </c>
      <c r="DMT236" s="1077">
        <v>8298541</v>
      </c>
      <c r="DMU236" s="1077">
        <v>8298541</v>
      </c>
      <c r="DMV236" s="1077">
        <v>8298541</v>
      </c>
      <c r="DMW236" s="1077">
        <v>8298541</v>
      </c>
      <c r="DMX236" s="1077">
        <v>8298541</v>
      </c>
      <c r="DMY236" s="1077">
        <v>8298541</v>
      </c>
      <c r="DMZ236" s="1077">
        <v>8298541</v>
      </c>
      <c r="DNA236" s="1077">
        <v>8298541</v>
      </c>
      <c r="DNB236" s="1077">
        <v>8298541</v>
      </c>
      <c r="DNC236" s="1077">
        <v>8298541</v>
      </c>
      <c r="DND236" s="1077">
        <v>8298541</v>
      </c>
      <c r="DNE236" s="1077">
        <v>8298541</v>
      </c>
      <c r="DNF236" s="1077">
        <v>8298541</v>
      </c>
      <c r="DNG236" s="1077">
        <v>8298541</v>
      </c>
      <c r="DNH236" s="1077">
        <v>8298541</v>
      </c>
      <c r="DNI236" s="1077">
        <v>8298541</v>
      </c>
      <c r="DNJ236" s="1077">
        <v>8298541</v>
      </c>
      <c r="DNK236" s="1077">
        <v>8298541</v>
      </c>
      <c r="DNL236" s="1077">
        <v>8298541</v>
      </c>
      <c r="DNM236" s="1077">
        <v>8298541</v>
      </c>
      <c r="DNN236" s="1077">
        <v>8298541</v>
      </c>
      <c r="DNO236" s="1077">
        <v>8298541</v>
      </c>
      <c r="DNP236" s="1077">
        <v>8298541</v>
      </c>
      <c r="DNQ236" s="1077">
        <v>8298541</v>
      </c>
      <c r="DNR236" s="1077">
        <v>8298541</v>
      </c>
      <c r="DNS236" s="1077">
        <v>8298541</v>
      </c>
      <c r="DNT236" s="1077">
        <v>8298541</v>
      </c>
      <c r="DNU236" s="1077">
        <v>8298541</v>
      </c>
      <c r="DNV236" s="1077">
        <v>8298541</v>
      </c>
      <c r="DNW236" s="1077">
        <v>8298541</v>
      </c>
      <c r="DNX236" s="1077">
        <v>8298541</v>
      </c>
      <c r="DNY236" s="1077">
        <v>8298541</v>
      </c>
      <c r="DNZ236" s="1077">
        <v>8298541</v>
      </c>
      <c r="DOA236" s="1077">
        <v>8298541</v>
      </c>
      <c r="DOB236" s="1077">
        <v>8298541</v>
      </c>
      <c r="DOC236" s="1077">
        <v>8298541</v>
      </c>
      <c r="DOD236" s="1077">
        <v>8298541</v>
      </c>
      <c r="DOE236" s="1077">
        <v>8298541</v>
      </c>
      <c r="DOF236" s="1077">
        <v>8298541</v>
      </c>
      <c r="DOG236" s="1077">
        <v>8298541</v>
      </c>
      <c r="DOH236" s="1077">
        <v>8298541</v>
      </c>
      <c r="DOI236" s="1077">
        <v>8298541</v>
      </c>
      <c r="DOJ236" s="1077">
        <v>8298541</v>
      </c>
      <c r="DOK236" s="1077">
        <v>8298541</v>
      </c>
      <c r="DOL236" s="1077">
        <v>8298541</v>
      </c>
      <c r="DOM236" s="1077">
        <v>8298541</v>
      </c>
      <c r="DON236" s="1077">
        <v>8298541</v>
      </c>
      <c r="DOO236" s="1077">
        <v>8298541</v>
      </c>
      <c r="DOP236" s="1077">
        <v>8298541</v>
      </c>
      <c r="DOQ236" s="1077">
        <v>8298541</v>
      </c>
      <c r="DOR236" s="1077">
        <v>8298541</v>
      </c>
      <c r="DOS236" s="1077">
        <v>8298541</v>
      </c>
      <c r="DOT236" s="1077">
        <v>8298541</v>
      </c>
      <c r="DOU236" s="1077">
        <v>8298541</v>
      </c>
      <c r="DOV236" s="1077">
        <v>8298541</v>
      </c>
      <c r="DOW236" s="1077">
        <v>8298541</v>
      </c>
      <c r="DOX236" s="1077">
        <v>8298541</v>
      </c>
      <c r="DOY236" s="1077">
        <v>8298541</v>
      </c>
      <c r="DOZ236" s="1077">
        <v>8298541</v>
      </c>
      <c r="DPA236" s="1077">
        <v>8298541</v>
      </c>
      <c r="DPB236" s="1077">
        <v>8298541</v>
      </c>
      <c r="DPC236" s="1077">
        <v>8298541</v>
      </c>
      <c r="DPD236" s="1077">
        <v>8298541</v>
      </c>
      <c r="DPE236" s="1077">
        <v>8298541</v>
      </c>
      <c r="DPF236" s="1077">
        <v>8298541</v>
      </c>
      <c r="DPG236" s="1077">
        <v>8298541</v>
      </c>
      <c r="DPH236" s="1077">
        <v>8298541</v>
      </c>
      <c r="DPI236" s="1077">
        <v>8298541</v>
      </c>
      <c r="DPJ236" s="1077">
        <v>8298541</v>
      </c>
      <c r="DPK236" s="1077">
        <v>8298541</v>
      </c>
      <c r="DPL236" s="1077">
        <v>8298541</v>
      </c>
      <c r="DPM236" s="1077">
        <v>8298541</v>
      </c>
      <c r="DPN236" s="1077">
        <v>8298541</v>
      </c>
      <c r="DPO236" s="1077">
        <v>8298541</v>
      </c>
      <c r="DPP236" s="1077">
        <v>8298541</v>
      </c>
      <c r="DPQ236" s="1077">
        <v>8298541</v>
      </c>
      <c r="DPR236" s="1077">
        <v>8298541</v>
      </c>
      <c r="DPS236" s="1077">
        <v>8298541</v>
      </c>
      <c r="DPT236" s="1077">
        <v>8298541</v>
      </c>
      <c r="DPU236" s="1077">
        <v>8298541</v>
      </c>
      <c r="DPV236" s="1077">
        <v>8298541</v>
      </c>
      <c r="DPW236" s="1077">
        <v>8298541</v>
      </c>
      <c r="DPX236" s="1077">
        <v>8298541</v>
      </c>
      <c r="DPY236" s="1077">
        <v>8298541</v>
      </c>
      <c r="DPZ236" s="1077">
        <v>8298541</v>
      </c>
      <c r="DQA236" s="1077">
        <v>8298541</v>
      </c>
      <c r="DQB236" s="1077">
        <v>8298541</v>
      </c>
      <c r="DQC236" s="1077">
        <v>8298541</v>
      </c>
      <c r="DQD236" s="1077">
        <v>8298541</v>
      </c>
      <c r="DQE236" s="1077">
        <v>8298541</v>
      </c>
      <c r="DQF236" s="1077">
        <v>8298541</v>
      </c>
      <c r="DQG236" s="1077">
        <v>8298541</v>
      </c>
      <c r="DQH236" s="1077">
        <v>8298541</v>
      </c>
      <c r="DQI236" s="1077">
        <v>8298541</v>
      </c>
      <c r="DQJ236" s="1077">
        <v>8298541</v>
      </c>
      <c r="DQK236" s="1077">
        <v>8298541</v>
      </c>
      <c r="DQL236" s="1077">
        <v>8298541</v>
      </c>
      <c r="DQM236" s="1077">
        <v>8298541</v>
      </c>
      <c r="DQN236" s="1077">
        <v>8298541</v>
      </c>
      <c r="DQO236" s="1077">
        <v>8298541</v>
      </c>
      <c r="DQP236" s="1077">
        <v>8298541</v>
      </c>
      <c r="DQQ236" s="1077">
        <v>8298541</v>
      </c>
      <c r="DQR236" s="1077">
        <v>8298541</v>
      </c>
      <c r="DQS236" s="1077">
        <v>8298541</v>
      </c>
      <c r="DQT236" s="1077">
        <v>8298541</v>
      </c>
      <c r="DQU236" s="1077">
        <v>8298541</v>
      </c>
      <c r="DQV236" s="1077">
        <v>8298541</v>
      </c>
      <c r="DQW236" s="1077">
        <v>8298541</v>
      </c>
      <c r="DQX236" s="1077">
        <v>8298541</v>
      </c>
      <c r="DQY236" s="1077">
        <v>8298541</v>
      </c>
      <c r="DQZ236" s="1077">
        <v>8298541</v>
      </c>
      <c r="DRA236" s="1077">
        <v>8298541</v>
      </c>
      <c r="DRB236" s="1077">
        <v>8298541</v>
      </c>
      <c r="DRC236" s="1077">
        <v>8298541</v>
      </c>
      <c r="DRD236" s="1077">
        <v>8298541</v>
      </c>
      <c r="DRE236" s="1077">
        <v>8298541</v>
      </c>
      <c r="DRF236" s="1077">
        <v>8298541</v>
      </c>
      <c r="DRG236" s="1077">
        <v>8298541</v>
      </c>
      <c r="DRH236" s="1077">
        <v>8298541</v>
      </c>
      <c r="DRI236" s="1077">
        <v>8298541</v>
      </c>
      <c r="DRJ236" s="1077">
        <v>8298541</v>
      </c>
      <c r="DRK236" s="1077">
        <v>8298541</v>
      </c>
      <c r="DRL236" s="1077">
        <v>8298541</v>
      </c>
      <c r="DRM236" s="1077">
        <v>8298541</v>
      </c>
      <c r="DRN236" s="1077">
        <v>8298541</v>
      </c>
      <c r="DRO236" s="1077">
        <v>8298541</v>
      </c>
      <c r="DRP236" s="1077">
        <v>8298541</v>
      </c>
      <c r="DRQ236" s="1077">
        <v>8298541</v>
      </c>
      <c r="DRR236" s="1077">
        <v>8298541</v>
      </c>
      <c r="DRS236" s="1077">
        <v>8298541</v>
      </c>
      <c r="DRT236" s="1077">
        <v>8298541</v>
      </c>
      <c r="DRU236" s="1077">
        <v>8298541</v>
      </c>
      <c r="DRV236" s="1077">
        <v>8298541</v>
      </c>
      <c r="DRW236" s="1077">
        <v>8298541</v>
      </c>
      <c r="DRX236" s="1077">
        <v>8298541</v>
      </c>
      <c r="DRY236" s="1077">
        <v>8298541</v>
      </c>
      <c r="DRZ236" s="1077">
        <v>8298541</v>
      </c>
      <c r="DSA236" s="1077">
        <v>8298541</v>
      </c>
      <c r="DSB236" s="1077">
        <v>8298541</v>
      </c>
      <c r="DSC236" s="1077">
        <v>8298541</v>
      </c>
      <c r="DSD236" s="1077">
        <v>8298541</v>
      </c>
      <c r="DSE236" s="1077">
        <v>8298541</v>
      </c>
      <c r="DSF236" s="1077">
        <v>8298541</v>
      </c>
      <c r="DSG236" s="1077">
        <v>8298541</v>
      </c>
      <c r="DSH236" s="1077">
        <v>8298541</v>
      </c>
      <c r="DSI236" s="1077">
        <v>8298541</v>
      </c>
      <c r="DSJ236" s="1077">
        <v>8298541</v>
      </c>
      <c r="DSK236" s="1077">
        <v>8298541</v>
      </c>
      <c r="DSL236" s="1077">
        <v>8298541</v>
      </c>
      <c r="DSM236" s="1077">
        <v>8298541</v>
      </c>
      <c r="DSN236" s="1077">
        <v>8298541</v>
      </c>
      <c r="DSO236" s="1077">
        <v>8298541</v>
      </c>
      <c r="DSP236" s="1077">
        <v>8298541</v>
      </c>
      <c r="DSQ236" s="1077">
        <v>8298541</v>
      </c>
      <c r="DSR236" s="1077">
        <v>8298541</v>
      </c>
      <c r="DSS236" s="1077">
        <v>8298541</v>
      </c>
      <c r="DST236" s="1077">
        <v>8298541</v>
      </c>
      <c r="DSU236" s="1077">
        <v>8298541</v>
      </c>
      <c r="DSV236" s="1077">
        <v>8298541</v>
      </c>
      <c r="DSW236" s="1077">
        <v>8298541</v>
      </c>
      <c r="DSX236" s="1077">
        <v>8298541</v>
      </c>
      <c r="DSY236" s="1077">
        <v>8298541</v>
      </c>
      <c r="DSZ236" s="1077">
        <v>8298541</v>
      </c>
      <c r="DTA236" s="1077">
        <v>8298541</v>
      </c>
      <c r="DTB236" s="1077">
        <v>8298541</v>
      </c>
      <c r="DTC236" s="1077">
        <v>8298541</v>
      </c>
      <c r="DTD236" s="1077">
        <v>8298541</v>
      </c>
      <c r="DTE236" s="1077">
        <v>8298541</v>
      </c>
      <c r="DTF236" s="1077">
        <v>8298541</v>
      </c>
      <c r="DTG236" s="1077">
        <v>8298541</v>
      </c>
      <c r="DTH236" s="1077">
        <v>8298541</v>
      </c>
      <c r="DTI236" s="1077">
        <v>8298541</v>
      </c>
      <c r="DTJ236" s="1077">
        <v>8298541</v>
      </c>
      <c r="DTK236" s="1077">
        <v>8298541</v>
      </c>
      <c r="DTL236" s="1077">
        <v>8298541</v>
      </c>
      <c r="DTM236" s="1077">
        <v>8298541</v>
      </c>
      <c r="DTN236" s="1077">
        <v>8298541</v>
      </c>
      <c r="DTO236" s="1077">
        <v>8298541</v>
      </c>
      <c r="DTP236" s="1077">
        <v>8298541</v>
      </c>
      <c r="DTQ236" s="1077">
        <v>8298541</v>
      </c>
      <c r="DTR236" s="1077">
        <v>8298541</v>
      </c>
      <c r="DTS236" s="1077">
        <v>8298541</v>
      </c>
      <c r="DTT236" s="1077">
        <v>8298541</v>
      </c>
      <c r="DTU236" s="1077">
        <v>8298541</v>
      </c>
      <c r="DTV236" s="1077">
        <v>8298541</v>
      </c>
      <c r="DTW236" s="1077">
        <v>8298541</v>
      </c>
      <c r="DTX236" s="1077">
        <v>8298541</v>
      </c>
      <c r="DTY236" s="1077">
        <v>8298541</v>
      </c>
      <c r="DTZ236" s="1077">
        <v>8298541</v>
      </c>
      <c r="DUA236" s="1077">
        <v>8298541</v>
      </c>
      <c r="DUB236" s="1077">
        <v>8298541</v>
      </c>
      <c r="DUC236" s="1077">
        <v>8298541</v>
      </c>
      <c r="DUD236" s="1077">
        <v>8298541</v>
      </c>
      <c r="DUE236" s="1077">
        <v>8298541</v>
      </c>
      <c r="DUF236" s="1077">
        <v>8298541</v>
      </c>
      <c r="DUG236" s="1077">
        <v>8298541</v>
      </c>
      <c r="DUH236" s="1077">
        <v>8298541</v>
      </c>
      <c r="DUI236" s="1077">
        <v>8298541</v>
      </c>
      <c r="DUJ236" s="1077">
        <v>8298541</v>
      </c>
      <c r="DUK236" s="1077">
        <v>8298541</v>
      </c>
      <c r="DUL236" s="1077">
        <v>8298541</v>
      </c>
      <c r="DUM236" s="1077">
        <v>8298541</v>
      </c>
      <c r="DUN236" s="1077">
        <v>8298541</v>
      </c>
      <c r="DUO236" s="1077">
        <v>8298541</v>
      </c>
      <c r="DUP236" s="1077">
        <v>8298541</v>
      </c>
      <c r="DUQ236" s="1077">
        <v>8298541</v>
      </c>
      <c r="DUR236" s="1077">
        <v>8298541</v>
      </c>
      <c r="DUS236" s="1077">
        <v>8298541</v>
      </c>
      <c r="DUT236" s="1077">
        <v>8298541</v>
      </c>
      <c r="DUU236" s="1077">
        <v>8298541</v>
      </c>
      <c r="DUV236" s="1077">
        <v>8298541</v>
      </c>
      <c r="DUW236" s="1077">
        <v>8298541</v>
      </c>
      <c r="DUX236" s="1077">
        <v>8298541</v>
      </c>
      <c r="DUY236" s="1077">
        <v>8298541</v>
      </c>
      <c r="DUZ236" s="1077">
        <v>8298541</v>
      </c>
      <c r="DVA236" s="1077">
        <v>8298541</v>
      </c>
      <c r="DVB236" s="1077">
        <v>8298541</v>
      </c>
      <c r="DVC236" s="1077">
        <v>8298541</v>
      </c>
      <c r="DVD236" s="1077">
        <v>8298541</v>
      </c>
      <c r="DVE236" s="1077">
        <v>8298541</v>
      </c>
      <c r="DVF236" s="1077">
        <v>8298541</v>
      </c>
      <c r="DVG236" s="1077">
        <v>8298541</v>
      </c>
      <c r="DVH236" s="1077">
        <v>8298541</v>
      </c>
      <c r="DVI236" s="1077">
        <v>8298541</v>
      </c>
      <c r="DVJ236" s="1077">
        <v>8298541</v>
      </c>
      <c r="DVK236" s="1077">
        <v>8298541</v>
      </c>
      <c r="DVL236" s="1077">
        <v>8298541</v>
      </c>
      <c r="DVM236" s="1077">
        <v>8298541</v>
      </c>
      <c r="DVN236" s="1077">
        <v>8298541</v>
      </c>
      <c r="DVO236" s="1077">
        <v>8298541</v>
      </c>
      <c r="DVP236" s="1077">
        <v>8298541</v>
      </c>
      <c r="DVQ236" s="1077">
        <v>8298541</v>
      </c>
      <c r="DVR236" s="1077">
        <v>8298541</v>
      </c>
      <c r="DVS236" s="1077">
        <v>8298541</v>
      </c>
      <c r="DVT236" s="1077">
        <v>8298541</v>
      </c>
      <c r="DVU236" s="1077">
        <v>8298541</v>
      </c>
      <c r="DVV236" s="1077">
        <v>8298541</v>
      </c>
      <c r="DVW236" s="1077">
        <v>8298541</v>
      </c>
      <c r="DVX236" s="1077">
        <v>8298541</v>
      </c>
      <c r="DVY236" s="1077">
        <v>8298541</v>
      </c>
      <c r="DVZ236" s="1077">
        <v>8298541</v>
      </c>
      <c r="DWA236" s="1077">
        <v>8298541</v>
      </c>
      <c r="DWB236" s="1077">
        <v>8298541</v>
      </c>
      <c r="DWC236" s="1077">
        <v>8298541</v>
      </c>
      <c r="DWD236" s="1077">
        <v>8298541</v>
      </c>
      <c r="DWE236" s="1077">
        <v>8298541</v>
      </c>
      <c r="DWF236" s="1077">
        <v>8298541</v>
      </c>
      <c r="DWG236" s="1077">
        <v>8298541</v>
      </c>
      <c r="DWH236" s="1077">
        <v>8298541</v>
      </c>
      <c r="DWI236" s="1077">
        <v>8298541</v>
      </c>
      <c r="DWJ236" s="1077">
        <v>8298541</v>
      </c>
      <c r="DWK236" s="1077">
        <v>8298541</v>
      </c>
      <c r="DWL236" s="1077">
        <v>8298541</v>
      </c>
      <c r="DWM236" s="1077">
        <v>8298541</v>
      </c>
      <c r="DWN236" s="1077">
        <v>8298541</v>
      </c>
      <c r="DWO236" s="1077">
        <v>8298541</v>
      </c>
      <c r="DWP236" s="1077">
        <v>8298541</v>
      </c>
      <c r="DWQ236" s="1077">
        <v>8298541</v>
      </c>
      <c r="DWR236" s="1077">
        <v>8298541</v>
      </c>
      <c r="DWS236" s="1077">
        <v>8298541</v>
      </c>
      <c r="DWT236" s="1077">
        <v>8298541</v>
      </c>
      <c r="DWU236" s="1077">
        <v>8298541</v>
      </c>
      <c r="DWV236" s="1077">
        <v>8298541</v>
      </c>
      <c r="DWW236" s="1077">
        <v>8298541</v>
      </c>
      <c r="DWX236" s="1077">
        <v>8298541</v>
      </c>
      <c r="DWY236" s="1077">
        <v>8298541</v>
      </c>
      <c r="DWZ236" s="1077">
        <v>8298541</v>
      </c>
      <c r="DXA236" s="1077">
        <v>8298541</v>
      </c>
      <c r="DXB236" s="1077">
        <v>8298541</v>
      </c>
      <c r="DXC236" s="1077">
        <v>8298541</v>
      </c>
      <c r="DXD236" s="1077">
        <v>8298541</v>
      </c>
      <c r="DXE236" s="1077">
        <v>8298541</v>
      </c>
      <c r="DXF236" s="1077">
        <v>8298541</v>
      </c>
      <c r="DXG236" s="1077">
        <v>8298541</v>
      </c>
      <c r="DXH236" s="1077">
        <v>8298541</v>
      </c>
      <c r="DXI236" s="1077">
        <v>8298541</v>
      </c>
      <c r="DXJ236" s="1077">
        <v>8298541</v>
      </c>
      <c r="DXK236" s="1077">
        <v>8298541</v>
      </c>
      <c r="DXL236" s="1077">
        <v>8298541</v>
      </c>
      <c r="DXM236" s="1077">
        <v>8298541</v>
      </c>
      <c r="DXN236" s="1077">
        <v>8298541</v>
      </c>
      <c r="DXO236" s="1077">
        <v>8298541</v>
      </c>
      <c r="DXP236" s="1077">
        <v>8298541</v>
      </c>
      <c r="DXQ236" s="1077">
        <v>8298541</v>
      </c>
      <c r="DXR236" s="1077">
        <v>8298541</v>
      </c>
      <c r="DXS236" s="1077">
        <v>8298541</v>
      </c>
      <c r="DXT236" s="1077">
        <v>8298541</v>
      </c>
      <c r="DXU236" s="1077">
        <v>8298541</v>
      </c>
      <c r="DXV236" s="1077">
        <v>8298541</v>
      </c>
      <c r="DXW236" s="1077">
        <v>8298541</v>
      </c>
      <c r="DXX236" s="1077">
        <v>8298541</v>
      </c>
      <c r="DXY236" s="1077">
        <v>8298541</v>
      </c>
      <c r="DXZ236" s="1077">
        <v>8298541</v>
      </c>
      <c r="DYA236" s="1077">
        <v>8298541</v>
      </c>
      <c r="DYB236" s="1077">
        <v>8298541</v>
      </c>
      <c r="DYC236" s="1077">
        <v>8298541</v>
      </c>
      <c r="DYD236" s="1077">
        <v>8298541</v>
      </c>
      <c r="DYE236" s="1077">
        <v>8298541</v>
      </c>
      <c r="DYF236" s="1077">
        <v>8298541</v>
      </c>
      <c r="DYG236" s="1077">
        <v>8298541</v>
      </c>
      <c r="DYH236" s="1077">
        <v>8298541</v>
      </c>
      <c r="DYI236" s="1077">
        <v>8298541</v>
      </c>
      <c r="DYJ236" s="1077">
        <v>8298541</v>
      </c>
      <c r="DYK236" s="1077">
        <v>8298541</v>
      </c>
      <c r="DYL236" s="1077">
        <v>8298541</v>
      </c>
      <c r="DYM236" s="1077">
        <v>8298541</v>
      </c>
      <c r="DYN236" s="1077">
        <v>8298541</v>
      </c>
      <c r="DYO236" s="1077">
        <v>8298541</v>
      </c>
      <c r="DYP236" s="1077">
        <v>8298541</v>
      </c>
      <c r="DYQ236" s="1077">
        <v>8298541</v>
      </c>
      <c r="DYR236" s="1077">
        <v>8298541</v>
      </c>
      <c r="DYS236" s="1077">
        <v>8298541</v>
      </c>
      <c r="DYT236" s="1077">
        <v>8298541</v>
      </c>
      <c r="DYU236" s="1077">
        <v>8298541</v>
      </c>
      <c r="DYV236" s="1077">
        <v>8298541</v>
      </c>
      <c r="DYW236" s="1077">
        <v>8298541</v>
      </c>
      <c r="DYX236" s="1077">
        <v>8298541</v>
      </c>
      <c r="DYY236" s="1077">
        <v>8298541</v>
      </c>
      <c r="DYZ236" s="1077">
        <v>8298541</v>
      </c>
      <c r="DZA236" s="1077">
        <v>8298541</v>
      </c>
      <c r="DZB236" s="1077">
        <v>8298541</v>
      </c>
      <c r="DZC236" s="1077">
        <v>8298541</v>
      </c>
      <c r="DZD236" s="1077">
        <v>8298541</v>
      </c>
      <c r="DZE236" s="1077">
        <v>8298541</v>
      </c>
      <c r="DZF236" s="1077">
        <v>8298541</v>
      </c>
      <c r="DZG236" s="1077">
        <v>8298541</v>
      </c>
      <c r="DZH236" s="1077">
        <v>8298541</v>
      </c>
      <c r="DZI236" s="1077">
        <v>8298541</v>
      </c>
      <c r="DZJ236" s="1077">
        <v>8298541</v>
      </c>
      <c r="DZK236" s="1077">
        <v>8298541</v>
      </c>
      <c r="DZL236" s="1077">
        <v>8298541</v>
      </c>
      <c r="DZM236" s="1077">
        <v>8298541</v>
      </c>
      <c r="DZN236" s="1077">
        <v>8298541</v>
      </c>
      <c r="DZO236" s="1077">
        <v>8298541</v>
      </c>
      <c r="DZP236" s="1077">
        <v>8298541</v>
      </c>
      <c r="DZQ236" s="1077">
        <v>8298541</v>
      </c>
      <c r="DZR236" s="1077">
        <v>8298541</v>
      </c>
      <c r="DZS236" s="1077">
        <v>8298541</v>
      </c>
      <c r="DZT236" s="1077">
        <v>8298541</v>
      </c>
      <c r="DZU236" s="1077">
        <v>8298541</v>
      </c>
      <c r="DZV236" s="1077">
        <v>8298541</v>
      </c>
      <c r="DZW236" s="1077">
        <v>8298541</v>
      </c>
      <c r="DZX236" s="1077">
        <v>8298541</v>
      </c>
      <c r="DZY236" s="1077">
        <v>8298541</v>
      </c>
      <c r="DZZ236" s="1077">
        <v>8298541</v>
      </c>
      <c r="EAA236" s="1077">
        <v>8298541</v>
      </c>
      <c r="EAB236" s="1077">
        <v>8298541</v>
      </c>
      <c r="EAC236" s="1077">
        <v>8298541</v>
      </c>
      <c r="EAD236" s="1077">
        <v>8298541</v>
      </c>
      <c r="EAE236" s="1077">
        <v>8298541</v>
      </c>
      <c r="EAF236" s="1077">
        <v>8298541</v>
      </c>
      <c r="EAG236" s="1077">
        <v>8298541</v>
      </c>
      <c r="EAH236" s="1077">
        <v>8298541</v>
      </c>
      <c r="EAI236" s="1077">
        <v>8298541</v>
      </c>
      <c r="EAJ236" s="1077">
        <v>8298541</v>
      </c>
      <c r="EAK236" s="1077">
        <v>8298541</v>
      </c>
      <c r="EAL236" s="1077">
        <v>8298541</v>
      </c>
      <c r="EAM236" s="1077">
        <v>8298541</v>
      </c>
      <c r="EAN236" s="1077">
        <v>8298541</v>
      </c>
      <c r="EAO236" s="1077">
        <v>8298541</v>
      </c>
      <c r="EAP236" s="1077">
        <v>8298541</v>
      </c>
      <c r="EAQ236" s="1077">
        <v>8298541</v>
      </c>
      <c r="EAR236" s="1077">
        <v>8298541</v>
      </c>
      <c r="EAS236" s="1077">
        <v>8298541</v>
      </c>
      <c r="EAT236" s="1077">
        <v>8298541</v>
      </c>
      <c r="EAU236" s="1077">
        <v>8298541</v>
      </c>
      <c r="EAV236" s="1077">
        <v>8298541</v>
      </c>
      <c r="EAW236" s="1077">
        <v>8298541</v>
      </c>
      <c r="EAX236" s="1077">
        <v>8298541</v>
      </c>
      <c r="EAY236" s="1077">
        <v>8298541</v>
      </c>
      <c r="EAZ236" s="1077">
        <v>8298541</v>
      </c>
      <c r="EBA236" s="1077">
        <v>8298541</v>
      </c>
      <c r="EBB236" s="1077">
        <v>8298541</v>
      </c>
      <c r="EBC236" s="1077">
        <v>8298541</v>
      </c>
      <c r="EBD236" s="1077">
        <v>8298541</v>
      </c>
      <c r="EBE236" s="1077">
        <v>8298541</v>
      </c>
      <c r="EBF236" s="1077">
        <v>8298541</v>
      </c>
      <c r="EBG236" s="1077">
        <v>8298541</v>
      </c>
      <c r="EBH236" s="1077">
        <v>8298541</v>
      </c>
      <c r="EBI236" s="1077">
        <v>8298541</v>
      </c>
      <c r="EBJ236" s="1077">
        <v>8298541</v>
      </c>
      <c r="EBK236" s="1077">
        <v>8298541</v>
      </c>
      <c r="EBL236" s="1077">
        <v>8298541</v>
      </c>
      <c r="EBM236" s="1077">
        <v>8298541</v>
      </c>
      <c r="EBN236" s="1077">
        <v>8298541</v>
      </c>
      <c r="EBO236" s="1077">
        <v>8298541</v>
      </c>
      <c r="EBP236" s="1077">
        <v>8298541</v>
      </c>
      <c r="EBQ236" s="1077">
        <v>8298541</v>
      </c>
      <c r="EBR236" s="1077">
        <v>8298541</v>
      </c>
      <c r="EBS236" s="1077">
        <v>8298541</v>
      </c>
      <c r="EBT236" s="1077">
        <v>8298541</v>
      </c>
      <c r="EBU236" s="1077">
        <v>8298541</v>
      </c>
      <c r="EBV236" s="1077">
        <v>8298541</v>
      </c>
      <c r="EBW236" s="1077">
        <v>8298541</v>
      </c>
      <c r="EBX236" s="1077">
        <v>8298541</v>
      </c>
      <c r="EBY236" s="1077">
        <v>8298541</v>
      </c>
      <c r="EBZ236" s="1077">
        <v>8298541</v>
      </c>
      <c r="ECA236" s="1077">
        <v>8298541</v>
      </c>
      <c r="ECB236" s="1077">
        <v>8298541</v>
      </c>
      <c r="ECC236" s="1077">
        <v>8298541</v>
      </c>
      <c r="ECD236" s="1077">
        <v>8298541</v>
      </c>
      <c r="ECE236" s="1077">
        <v>8298541</v>
      </c>
      <c r="ECF236" s="1077">
        <v>8298541</v>
      </c>
      <c r="ECG236" s="1077">
        <v>8298541</v>
      </c>
      <c r="ECH236" s="1077">
        <v>8298541</v>
      </c>
      <c r="ECI236" s="1077">
        <v>8298541</v>
      </c>
      <c r="ECJ236" s="1077">
        <v>8298541</v>
      </c>
      <c r="ECK236" s="1077">
        <v>8298541</v>
      </c>
      <c r="ECL236" s="1077">
        <v>8298541</v>
      </c>
      <c r="ECM236" s="1077">
        <v>8298541</v>
      </c>
      <c r="ECN236" s="1077">
        <v>8298541</v>
      </c>
      <c r="ECO236" s="1077">
        <v>8298541</v>
      </c>
      <c r="ECP236" s="1077">
        <v>8298541</v>
      </c>
      <c r="ECQ236" s="1077">
        <v>8298541</v>
      </c>
      <c r="ECR236" s="1077">
        <v>8298541</v>
      </c>
      <c r="ECS236" s="1077">
        <v>8298541</v>
      </c>
      <c r="ECT236" s="1077">
        <v>8298541</v>
      </c>
      <c r="ECU236" s="1077">
        <v>8298541</v>
      </c>
      <c r="ECV236" s="1077">
        <v>8298541</v>
      </c>
      <c r="ECW236" s="1077">
        <v>8298541</v>
      </c>
      <c r="ECX236" s="1077">
        <v>8298541</v>
      </c>
      <c r="ECY236" s="1077">
        <v>8298541</v>
      </c>
      <c r="ECZ236" s="1077">
        <v>8298541</v>
      </c>
      <c r="EDA236" s="1077">
        <v>8298541</v>
      </c>
      <c r="EDB236" s="1077">
        <v>8298541</v>
      </c>
      <c r="EDC236" s="1077">
        <v>8298541</v>
      </c>
      <c r="EDD236" s="1077">
        <v>8298541</v>
      </c>
      <c r="EDE236" s="1077">
        <v>8298541</v>
      </c>
      <c r="EDF236" s="1077">
        <v>8298541</v>
      </c>
      <c r="EDG236" s="1077">
        <v>8298541</v>
      </c>
      <c r="EDH236" s="1077">
        <v>8298541</v>
      </c>
      <c r="EDI236" s="1077">
        <v>8298541</v>
      </c>
      <c r="EDJ236" s="1077">
        <v>8298541</v>
      </c>
      <c r="EDK236" s="1077">
        <v>8298541</v>
      </c>
      <c r="EDL236" s="1077">
        <v>8298541</v>
      </c>
      <c r="EDM236" s="1077">
        <v>8298541</v>
      </c>
      <c r="EDN236" s="1077">
        <v>8298541</v>
      </c>
      <c r="EDO236" s="1077">
        <v>8298541</v>
      </c>
      <c r="EDP236" s="1077">
        <v>8298541</v>
      </c>
      <c r="EDQ236" s="1077">
        <v>8298541</v>
      </c>
      <c r="EDR236" s="1077">
        <v>8298541</v>
      </c>
      <c r="EDS236" s="1077">
        <v>8298541</v>
      </c>
      <c r="EDT236" s="1077">
        <v>8298541</v>
      </c>
      <c r="EDU236" s="1077">
        <v>8298541</v>
      </c>
      <c r="EDV236" s="1077">
        <v>8298541</v>
      </c>
      <c r="EDW236" s="1077">
        <v>8298541</v>
      </c>
      <c r="EDX236" s="1077">
        <v>8298541</v>
      </c>
      <c r="EDY236" s="1077">
        <v>8298541</v>
      </c>
      <c r="EDZ236" s="1077">
        <v>8298541</v>
      </c>
      <c r="EEA236" s="1077">
        <v>8298541</v>
      </c>
      <c r="EEB236" s="1077">
        <v>8298541</v>
      </c>
      <c r="EEC236" s="1077">
        <v>8298541</v>
      </c>
      <c r="EED236" s="1077">
        <v>8298541</v>
      </c>
      <c r="EEE236" s="1077">
        <v>8298541</v>
      </c>
      <c r="EEF236" s="1077">
        <v>8298541</v>
      </c>
      <c r="EEG236" s="1077">
        <v>8298541</v>
      </c>
      <c r="EEH236" s="1077">
        <v>8298541</v>
      </c>
      <c r="EEI236" s="1077">
        <v>8298541</v>
      </c>
      <c r="EEJ236" s="1077">
        <v>8298541</v>
      </c>
      <c r="EEK236" s="1077">
        <v>8298541</v>
      </c>
      <c r="EEL236" s="1077">
        <v>8298541</v>
      </c>
      <c r="EEM236" s="1077">
        <v>8298541</v>
      </c>
      <c r="EEN236" s="1077">
        <v>8298541</v>
      </c>
      <c r="EEO236" s="1077">
        <v>8298541</v>
      </c>
      <c r="EEP236" s="1077">
        <v>8298541</v>
      </c>
      <c r="EEQ236" s="1077">
        <v>8298541</v>
      </c>
      <c r="EER236" s="1077">
        <v>8298541</v>
      </c>
      <c r="EES236" s="1077">
        <v>8298541</v>
      </c>
      <c r="EET236" s="1077">
        <v>8298541</v>
      </c>
      <c r="EEU236" s="1077">
        <v>8298541</v>
      </c>
      <c r="EEV236" s="1077">
        <v>8298541</v>
      </c>
      <c r="EEW236" s="1077">
        <v>8298541</v>
      </c>
      <c r="EEX236" s="1077">
        <v>8298541</v>
      </c>
      <c r="EEY236" s="1077">
        <v>8298541</v>
      </c>
      <c r="EEZ236" s="1077">
        <v>8298541</v>
      </c>
      <c r="EFA236" s="1077">
        <v>8298541</v>
      </c>
      <c r="EFB236" s="1077">
        <v>8298541</v>
      </c>
      <c r="EFC236" s="1077">
        <v>8298541</v>
      </c>
      <c r="EFD236" s="1077">
        <v>8298541</v>
      </c>
      <c r="EFE236" s="1077">
        <v>8298541</v>
      </c>
      <c r="EFF236" s="1077">
        <v>8298541</v>
      </c>
      <c r="EFG236" s="1077">
        <v>8298541</v>
      </c>
      <c r="EFH236" s="1077">
        <v>8298541</v>
      </c>
      <c r="EFI236" s="1077">
        <v>8298541</v>
      </c>
      <c r="EFJ236" s="1077">
        <v>8298541</v>
      </c>
      <c r="EFK236" s="1077">
        <v>8298541</v>
      </c>
      <c r="EFL236" s="1077">
        <v>8298541</v>
      </c>
      <c r="EFM236" s="1077">
        <v>8298541</v>
      </c>
      <c r="EFN236" s="1077">
        <v>8298541</v>
      </c>
      <c r="EFO236" s="1077">
        <v>8298541</v>
      </c>
      <c r="EFP236" s="1077">
        <v>8298541</v>
      </c>
      <c r="EFQ236" s="1077">
        <v>8298541</v>
      </c>
      <c r="EFR236" s="1077">
        <v>8298541</v>
      </c>
      <c r="EFS236" s="1077">
        <v>8298541</v>
      </c>
      <c r="EFT236" s="1077">
        <v>8298541</v>
      </c>
      <c r="EFU236" s="1077">
        <v>8298541</v>
      </c>
      <c r="EFV236" s="1077">
        <v>8298541</v>
      </c>
      <c r="EFW236" s="1077">
        <v>8298541</v>
      </c>
      <c r="EFX236" s="1077">
        <v>8298541</v>
      </c>
      <c r="EFY236" s="1077">
        <v>8298541</v>
      </c>
      <c r="EFZ236" s="1077">
        <v>8298541</v>
      </c>
      <c r="EGA236" s="1077">
        <v>8298541</v>
      </c>
      <c r="EGB236" s="1077">
        <v>8298541</v>
      </c>
      <c r="EGC236" s="1077">
        <v>8298541</v>
      </c>
      <c r="EGD236" s="1077">
        <v>8298541</v>
      </c>
      <c r="EGE236" s="1077">
        <v>8298541</v>
      </c>
      <c r="EGF236" s="1077">
        <v>8298541</v>
      </c>
      <c r="EGG236" s="1077">
        <v>8298541</v>
      </c>
      <c r="EGH236" s="1077">
        <v>8298541</v>
      </c>
      <c r="EGI236" s="1077">
        <v>8298541</v>
      </c>
      <c r="EGJ236" s="1077">
        <v>8298541</v>
      </c>
      <c r="EGK236" s="1077">
        <v>8298541</v>
      </c>
      <c r="EGL236" s="1077">
        <v>8298541</v>
      </c>
      <c r="EGM236" s="1077">
        <v>8298541</v>
      </c>
      <c r="EGN236" s="1077">
        <v>8298541</v>
      </c>
      <c r="EGO236" s="1077">
        <v>8298541</v>
      </c>
      <c r="EGP236" s="1077">
        <v>8298541</v>
      </c>
      <c r="EGQ236" s="1077">
        <v>8298541</v>
      </c>
      <c r="EGR236" s="1077">
        <v>8298541</v>
      </c>
      <c r="EGS236" s="1077">
        <v>8298541</v>
      </c>
      <c r="EGT236" s="1077">
        <v>8298541</v>
      </c>
      <c r="EGU236" s="1077">
        <v>8298541</v>
      </c>
      <c r="EGV236" s="1077">
        <v>8298541</v>
      </c>
      <c r="EGW236" s="1077">
        <v>8298541</v>
      </c>
      <c r="EGX236" s="1077">
        <v>8298541</v>
      </c>
      <c r="EGY236" s="1077">
        <v>8298541</v>
      </c>
      <c r="EGZ236" s="1077">
        <v>8298541</v>
      </c>
      <c r="EHA236" s="1077">
        <v>8298541</v>
      </c>
      <c r="EHB236" s="1077">
        <v>8298541</v>
      </c>
      <c r="EHC236" s="1077">
        <v>8298541</v>
      </c>
      <c r="EHD236" s="1077">
        <v>8298541</v>
      </c>
      <c r="EHE236" s="1077">
        <v>8298541</v>
      </c>
      <c r="EHF236" s="1077">
        <v>8298541</v>
      </c>
      <c r="EHG236" s="1077">
        <v>8298541</v>
      </c>
      <c r="EHH236" s="1077">
        <v>8298541</v>
      </c>
      <c r="EHI236" s="1077">
        <v>8298541</v>
      </c>
      <c r="EHJ236" s="1077">
        <v>8298541</v>
      </c>
      <c r="EHK236" s="1077">
        <v>8298541</v>
      </c>
      <c r="EHL236" s="1077">
        <v>8298541</v>
      </c>
      <c r="EHM236" s="1077">
        <v>8298541</v>
      </c>
      <c r="EHN236" s="1077">
        <v>8298541</v>
      </c>
      <c r="EHO236" s="1077">
        <v>8298541</v>
      </c>
      <c r="EHP236" s="1077">
        <v>8298541</v>
      </c>
      <c r="EHQ236" s="1077">
        <v>8298541</v>
      </c>
      <c r="EHR236" s="1077">
        <v>8298541</v>
      </c>
      <c r="EHS236" s="1077">
        <v>8298541</v>
      </c>
      <c r="EHT236" s="1077">
        <v>8298541</v>
      </c>
      <c r="EHU236" s="1077">
        <v>8298541</v>
      </c>
      <c r="EHV236" s="1077">
        <v>8298541</v>
      </c>
      <c r="EHW236" s="1077">
        <v>8298541</v>
      </c>
      <c r="EHX236" s="1077">
        <v>8298541</v>
      </c>
      <c r="EHY236" s="1077">
        <v>8298541</v>
      </c>
      <c r="EHZ236" s="1077">
        <v>8298541</v>
      </c>
      <c r="EIA236" s="1077">
        <v>8298541</v>
      </c>
      <c r="EIB236" s="1077">
        <v>8298541</v>
      </c>
      <c r="EIC236" s="1077">
        <v>8298541</v>
      </c>
      <c r="EID236" s="1077">
        <v>8298541</v>
      </c>
      <c r="EIE236" s="1077">
        <v>8298541</v>
      </c>
      <c r="EIF236" s="1077">
        <v>8298541</v>
      </c>
      <c r="EIG236" s="1077">
        <v>8298541</v>
      </c>
      <c r="EIH236" s="1077">
        <v>8298541</v>
      </c>
      <c r="EII236" s="1077">
        <v>8298541</v>
      </c>
      <c r="EIJ236" s="1077">
        <v>8298541</v>
      </c>
      <c r="EIK236" s="1077">
        <v>8298541</v>
      </c>
      <c r="EIL236" s="1077">
        <v>8298541</v>
      </c>
      <c r="EIM236" s="1077">
        <v>8298541</v>
      </c>
      <c r="EIN236" s="1077">
        <v>8298541</v>
      </c>
      <c r="EIO236" s="1077">
        <v>8298541</v>
      </c>
      <c r="EIP236" s="1077">
        <v>8298541</v>
      </c>
      <c r="EIQ236" s="1077">
        <v>8298541</v>
      </c>
      <c r="EIR236" s="1077">
        <v>8298541</v>
      </c>
      <c r="EIS236" s="1077">
        <v>8298541</v>
      </c>
      <c r="EIT236" s="1077">
        <v>8298541</v>
      </c>
      <c r="EIU236" s="1077">
        <v>8298541</v>
      </c>
      <c r="EIV236" s="1077">
        <v>8298541</v>
      </c>
      <c r="EIW236" s="1077">
        <v>8298541</v>
      </c>
      <c r="EIX236" s="1077">
        <v>8298541</v>
      </c>
      <c r="EIY236" s="1077">
        <v>8298541</v>
      </c>
      <c r="EIZ236" s="1077">
        <v>8298541</v>
      </c>
      <c r="EJA236" s="1077">
        <v>8298541</v>
      </c>
      <c r="EJB236" s="1077">
        <v>8298541</v>
      </c>
      <c r="EJC236" s="1077">
        <v>8298541</v>
      </c>
      <c r="EJD236" s="1077">
        <v>8298541</v>
      </c>
      <c r="EJE236" s="1077">
        <v>8298541</v>
      </c>
      <c r="EJF236" s="1077">
        <v>8298541</v>
      </c>
      <c r="EJG236" s="1077">
        <v>8298541</v>
      </c>
      <c r="EJH236" s="1077">
        <v>8298541</v>
      </c>
      <c r="EJI236" s="1077">
        <v>8298541</v>
      </c>
      <c r="EJJ236" s="1077">
        <v>8298541</v>
      </c>
      <c r="EJK236" s="1077">
        <v>8298541</v>
      </c>
      <c r="EJL236" s="1077">
        <v>8298541</v>
      </c>
      <c r="EJM236" s="1077">
        <v>8298541</v>
      </c>
      <c r="EJN236" s="1077">
        <v>8298541</v>
      </c>
      <c r="EJO236" s="1077">
        <v>8298541</v>
      </c>
      <c r="EJP236" s="1077">
        <v>8298541</v>
      </c>
      <c r="EJQ236" s="1077">
        <v>8298541</v>
      </c>
      <c r="EJR236" s="1077">
        <v>8298541</v>
      </c>
      <c r="EJS236" s="1077">
        <v>8298541</v>
      </c>
      <c r="EJT236" s="1077">
        <v>8298541</v>
      </c>
      <c r="EJU236" s="1077">
        <v>8298541</v>
      </c>
      <c r="EJV236" s="1077">
        <v>8298541</v>
      </c>
      <c r="EJW236" s="1077">
        <v>8298541</v>
      </c>
      <c r="EJX236" s="1077">
        <v>8298541</v>
      </c>
      <c r="EJY236" s="1077">
        <v>8298541</v>
      </c>
      <c r="EJZ236" s="1077">
        <v>8298541</v>
      </c>
      <c r="EKA236" s="1077">
        <v>8298541</v>
      </c>
      <c r="EKB236" s="1077">
        <v>8298541</v>
      </c>
      <c r="EKC236" s="1077">
        <v>8298541</v>
      </c>
      <c r="EKD236" s="1077">
        <v>8298541</v>
      </c>
      <c r="EKE236" s="1077">
        <v>8298541</v>
      </c>
      <c r="EKF236" s="1077">
        <v>8298541</v>
      </c>
      <c r="EKG236" s="1077">
        <v>8298541</v>
      </c>
      <c r="EKH236" s="1077">
        <v>8298541</v>
      </c>
      <c r="EKI236" s="1077">
        <v>8298541</v>
      </c>
      <c r="EKJ236" s="1077">
        <v>8298541</v>
      </c>
      <c r="EKK236" s="1077">
        <v>8298541</v>
      </c>
      <c r="EKL236" s="1077">
        <v>8298541</v>
      </c>
      <c r="EKM236" s="1077">
        <v>8298541</v>
      </c>
      <c r="EKN236" s="1077">
        <v>8298541</v>
      </c>
      <c r="EKO236" s="1077">
        <v>8298541</v>
      </c>
      <c r="EKP236" s="1077">
        <v>8298541</v>
      </c>
      <c r="EKQ236" s="1077">
        <v>8298541</v>
      </c>
      <c r="EKR236" s="1077">
        <v>8298541</v>
      </c>
      <c r="EKS236" s="1077">
        <v>8298541</v>
      </c>
      <c r="EKT236" s="1077">
        <v>8298541</v>
      </c>
      <c r="EKU236" s="1077">
        <v>8298541</v>
      </c>
      <c r="EKV236" s="1077">
        <v>8298541</v>
      </c>
      <c r="EKW236" s="1077">
        <v>8298541</v>
      </c>
      <c r="EKX236" s="1077">
        <v>8298541</v>
      </c>
      <c r="EKY236" s="1077">
        <v>8298541</v>
      </c>
      <c r="EKZ236" s="1077">
        <v>8298541</v>
      </c>
      <c r="ELA236" s="1077">
        <v>8298541</v>
      </c>
      <c r="ELB236" s="1077">
        <v>8298541</v>
      </c>
      <c r="ELC236" s="1077">
        <v>8298541</v>
      </c>
      <c r="ELD236" s="1077">
        <v>8298541</v>
      </c>
      <c r="ELE236" s="1077">
        <v>8298541</v>
      </c>
      <c r="ELF236" s="1077">
        <v>8298541</v>
      </c>
      <c r="ELG236" s="1077">
        <v>8298541</v>
      </c>
      <c r="ELH236" s="1077">
        <v>8298541</v>
      </c>
      <c r="ELI236" s="1077">
        <v>8298541</v>
      </c>
      <c r="ELJ236" s="1077">
        <v>8298541</v>
      </c>
      <c r="ELK236" s="1077">
        <v>8298541</v>
      </c>
      <c r="ELL236" s="1077">
        <v>8298541</v>
      </c>
      <c r="ELM236" s="1077">
        <v>8298541</v>
      </c>
      <c r="ELN236" s="1077">
        <v>8298541</v>
      </c>
      <c r="ELO236" s="1077">
        <v>8298541</v>
      </c>
      <c r="ELP236" s="1077">
        <v>8298541</v>
      </c>
      <c r="ELQ236" s="1077">
        <v>8298541</v>
      </c>
      <c r="ELR236" s="1077">
        <v>8298541</v>
      </c>
      <c r="ELS236" s="1077">
        <v>8298541</v>
      </c>
      <c r="ELT236" s="1077">
        <v>8298541</v>
      </c>
      <c r="ELU236" s="1077">
        <v>8298541</v>
      </c>
      <c r="ELV236" s="1077">
        <v>8298541</v>
      </c>
      <c r="ELW236" s="1077">
        <v>8298541</v>
      </c>
      <c r="ELX236" s="1077">
        <v>8298541</v>
      </c>
      <c r="ELY236" s="1077">
        <v>8298541</v>
      </c>
      <c r="ELZ236" s="1077">
        <v>8298541</v>
      </c>
      <c r="EMA236" s="1077">
        <v>8298541</v>
      </c>
      <c r="EMB236" s="1077">
        <v>8298541</v>
      </c>
      <c r="EMC236" s="1077">
        <v>8298541</v>
      </c>
      <c r="EMD236" s="1077">
        <v>8298541</v>
      </c>
      <c r="EME236" s="1077">
        <v>8298541</v>
      </c>
      <c r="EMF236" s="1077">
        <v>8298541</v>
      </c>
      <c r="EMG236" s="1077">
        <v>8298541</v>
      </c>
      <c r="EMH236" s="1077">
        <v>8298541</v>
      </c>
      <c r="EMI236" s="1077">
        <v>8298541</v>
      </c>
      <c r="EMJ236" s="1077">
        <v>8298541</v>
      </c>
      <c r="EMK236" s="1077">
        <v>8298541</v>
      </c>
      <c r="EML236" s="1077">
        <v>8298541</v>
      </c>
      <c r="EMM236" s="1077">
        <v>8298541</v>
      </c>
      <c r="EMN236" s="1077">
        <v>8298541</v>
      </c>
      <c r="EMO236" s="1077">
        <v>8298541</v>
      </c>
      <c r="EMP236" s="1077">
        <v>8298541</v>
      </c>
      <c r="EMQ236" s="1077">
        <v>8298541</v>
      </c>
      <c r="EMR236" s="1077">
        <v>8298541</v>
      </c>
      <c r="EMS236" s="1077">
        <v>8298541</v>
      </c>
      <c r="EMT236" s="1077">
        <v>8298541</v>
      </c>
      <c r="EMU236" s="1077">
        <v>8298541</v>
      </c>
      <c r="EMV236" s="1077">
        <v>8298541</v>
      </c>
      <c r="EMW236" s="1077">
        <v>8298541</v>
      </c>
      <c r="EMX236" s="1077">
        <v>8298541</v>
      </c>
      <c r="EMY236" s="1077">
        <v>8298541</v>
      </c>
      <c r="EMZ236" s="1077">
        <v>8298541</v>
      </c>
      <c r="ENA236" s="1077">
        <v>8298541</v>
      </c>
      <c r="ENB236" s="1077">
        <v>8298541</v>
      </c>
      <c r="ENC236" s="1077">
        <v>8298541</v>
      </c>
      <c r="END236" s="1077">
        <v>8298541</v>
      </c>
      <c r="ENE236" s="1077">
        <v>8298541</v>
      </c>
      <c r="ENF236" s="1077">
        <v>8298541</v>
      </c>
      <c r="ENG236" s="1077">
        <v>8298541</v>
      </c>
      <c r="ENH236" s="1077">
        <v>8298541</v>
      </c>
      <c r="ENI236" s="1077">
        <v>8298541</v>
      </c>
      <c r="ENJ236" s="1077">
        <v>8298541</v>
      </c>
      <c r="ENK236" s="1077">
        <v>8298541</v>
      </c>
      <c r="ENL236" s="1077">
        <v>8298541</v>
      </c>
      <c r="ENM236" s="1077">
        <v>8298541</v>
      </c>
      <c r="ENN236" s="1077">
        <v>8298541</v>
      </c>
      <c r="ENO236" s="1077">
        <v>8298541</v>
      </c>
      <c r="ENP236" s="1077">
        <v>8298541</v>
      </c>
      <c r="ENQ236" s="1077">
        <v>8298541</v>
      </c>
      <c r="ENR236" s="1077">
        <v>8298541</v>
      </c>
      <c r="ENS236" s="1077">
        <v>8298541</v>
      </c>
      <c r="ENT236" s="1077">
        <v>8298541</v>
      </c>
      <c r="ENU236" s="1077">
        <v>8298541</v>
      </c>
      <c r="ENV236" s="1077">
        <v>8298541</v>
      </c>
      <c r="ENW236" s="1077">
        <v>8298541</v>
      </c>
      <c r="ENX236" s="1077">
        <v>8298541</v>
      </c>
      <c r="ENY236" s="1077">
        <v>8298541</v>
      </c>
      <c r="ENZ236" s="1077">
        <v>8298541</v>
      </c>
      <c r="EOA236" s="1077">
        <v>8298541</v>
      </c>
      <c r="EOB236" s="1077">
        <v>8298541</v>
      </c>
      <c r="EOC236" s="1077">
        <v>8298541</v>
      </c>
      <c r="EOD236" s="1077">
        <v>8298541</v>
      </c>
      <c r="EOE236" s="1077">
        <v>8298541</v>
      </c>
      <c r="EOF236" s="1077">
        <v>8298541</v>
      </c>
      <c r="EOG236" s="1077">
        <v>8298541</v>
      </c>
      <c r="EOH236" s="1077">
        <v>8298541</v>
      </c>
      <c r="EOI236" s="1077">
        <v>8298541</v>
      </c>
      <c r="EOJ236" s="1077">
        <v>8298541</v>
      </c>
      <c r="EOK236" s="1077">
        <v>8298541</v>
      </c>
      <c r="EOL236" s="1077">
        <v>8298541</v>
      </c>
      <c r="EOM236" s="1077">
        <v>8298541</v>
      </c>
      <c r="EON236" s="1077">
        <v>8298541</v>
      </c>
      <c r="EOO236" s="1077">
        <v>8298541</v>
      </c>
      <c r="EOP236" s="1077">
        <v>8298541</v>
      </c>
      <c r="EOQ236" s="1077">
        <v>8298541</v>
      </c>
      <c r="EOR236" s="1077">
        <v>8298541</v>
      </c>
      <c r="EOS236" s="1077">
        <v>8298541</v>
      </c>
      <c r="EOT236" s="1077">
        <v>8298541</v>
      </c>
      <c r="EOU236" s="1077">
        <v>8298541</v>
      </c>
      <c r="EOV236" s="1077">
        <v>8298541</v>
      </c>
      <c r="EOW236" s="1077">
        <v>8298541</v>
      </c>
      <c r="EOX236" s="1077">
        <v>8298541</v>
      </c>
      <c r="EOY236" s="1077">
        <v>8298541</v>
      </c>
      <c r="EOZ236" s="1077">
        <v>8298541</v>
      </c>
      <c r="EPA236" s="1077">
        <v>8298541</v>
      </c>
      <c r="EPB236" s="1077">
        <v>8298541</v>
      </c>
      <c r="EPC236" s="1077">
        <v>8298541</v>
      </c>
      <c r="EPD236" s="1077">
        <v>8298541</v>
      </c>
      <c r="EPE236" s="1077">
        <v>8298541</v>
      </c>
      <c r="EPF236" s="1077">
        <v>8298541</v>
      </c>
      <c r="EPG236" s="1077">
        <v>8298541</v>
      </c>
      <c r="EPH236" s="1077">
        <v>8298541</v>
      </c>
      <c r="EPI236" s="1077">
        <v>8298541</v>
      </c>
      <c r="EPJ236" s="1077">
        <v>8298541</v>
      </c>
      <c r="EPK236" s="1077">
        <v>8298541</v>
      </c>
      <c r="EPL236" s="1077">
        <v>8298541</v>
      </c>
      <c r="EPM236" s="1077">
        <v>8298541</v>
      </c>
      <c r="EPN236" s="1077">
        <v>8298541</v>
      </c>
      <c r="EPO236" s="1077">
        <v>8298541</v>
      </c>
      <c r="EPP236" s="1077">
        <v>8298541</v>
      </c>
      <c r="EPQ236" s="1077">
        <v>8298541</v>
      </c>
      <c r="EPR236" s="1077">
        <v>8298541</v>
      </c>
      <c r="EPS236" s="1077">
        <v>8298541</v>
      </c>
      <c r="EPT236" s="1077">
        <v>8298541</v>
      </c>
      <c r="EPU236" s="1077">
        <v>8298541</v>
      </c>
      <c r="EPV236" s="1077">
        <v>8298541</v>
      </c>
      <c r="EPW236" s="1077">
        <v>8298541</v>
      </c>
      <c r="EPX236" s="1077">
        <v>8298541</v>
      </c>
      <c r="EPY236" s="1077">
        <v>8298541</v>
      </c>
      <c r="EPZ236" s="1077">
        <v>8298541</v>
      </c>
      <c r="EQA236" s="1077">
        <v>8298541</v>
      </c>
      <c r="EQB236" s="1077">
        <v>8298541</v>
      </c>
      <c r="EQC236" s="1077">
        <v>8298541</v>
      </c>
      <c r="EQD236" s="1077">
        <v>8298541</v>
      </c>
      <c r="EQE236" s="1077">
        <v>8298541</v>
      </c>
      <c r="EQF236" s="1077">
        <v>8298541</v>
      </c>
      <c r="EQG236" s="1077">
        <v>8298541</v>
      </c>
      <c r="EQH236" s="1077">
        <v>8298541</v>
      </c>
      <c r="EQI236" s="1077">
        <v>8298541</v>
      </c>
      <c r="EQJ236" s="1077">
        <v>8298541</v>
      </c>
      <c r="EQK236" s="1077">
        <v>8298541</v>
      </c>
      <c r="EQL236" s="1077">
        <v>8298541</v>
      </c>
      <c r="EQM236" s="1077">
        <v>8298541</v>
      </c>
      <c r="EQN236" s="1077">
        <v>8298541</v>
      </c>
      <c r="EQO236" s="1077">
        <v>8298541</v>
      </c>
      <c r="EQP236" s="1077">
        <v>8298541</v>
      </c>
      <c r="EQQ236" s="1077">
        <v>8298541</v>
      </c>
      <c r="EQR236" s="1077">
        <v>8298541</v>
      </c>
      <c r="EQS236" s="1077">
        <v>8298541</v>
      </c>
      <c r="EQT236" s="1077">
        <v>8298541</v>
      </c>
      <c r="EQU236" s="1077">
        <v>8298541</v>
      </c>
      <c r="EQV236" s="1077">
        <v>8298541</v>
      </c>
      <c r="EQW236" s="1077">
        <v>8298541</v>
      </c>
      <c r="EQX236" s="1077">
        <v>8298541</v>
      </c>
      <c r="EQY236" s="1077">
        <v>8298541</v>
      </c>
      <c r="EQZ236" s="1077">
        <v>8298541</v>
      </c>
      <c r="ERA236" s="1077">
        <v>8298541</v>
      </c>
      <c r="ERB236" s="1077">
        <v>8298541</v>
      </c>
      <c r="ERC236" s="1077">
        <v>8298541</v>
      </c>
      <c r="ERD236" s="1077">
        <v>8298541</v>
      </c>
      <c r="ERE236" s="1077">
        <v>8298541</v>
      </c>
      <c r="ERF236" s="1077">
        <v>8298541</v>
      </c>
      <c r="ERG236" s="1077">
        <v>8298541</v>
      </c>
      <c r="ERH236" s="1077">
        <v>8298541</v>
      </c>
      <c r="ERI236" s="1077">
        <v>8298541</v>
      </c>
      <c r="ERJ236" s="1077">
        <v>8298541</v>
      </c>
      <c r="ERK236" s="1077">
        <v>8298541</v>
      </c>
      <c r="ERL236" s="1077">
        <v>8298541</v>
      </c>
      <c r="ERM236" s="1077">
        <v>8298541</v>
      </c>
      <c r="ERN236" s="1077">
        <v>8298541</v>
      </c>
      <c r="ERO236" s="1077">
        <v>8298541</v>
      </c>
      <c r="ERP236" s="1077">
        <v>8298541</v>
      </c>
      <c r="ERQ236" s="1077">
        <v>8298541</v>
      </c>
      <c r="ERR236" s="1077">
        <v>8298541</v>
      </c>
      <c r="ERS236" s="1077">
        <v>8298541</v>
      </c>
      <c r="ERT236" s="1077">
        <v>8298541</v>
      </c>
      <c r="ERU236" s="1077">
        <v>8298541</v>
      </c>
      <c r="ERV236" s="1077">
        <v>8298541</v>
      </c>
      <c r="ERW236" s="1077">
        <v>8298541</v>
      </c>
      <c r="ERX236" s="1077">
        <v>8298541</v>
      </c>
      <c r="ERY236" s="1077">
        <v>8298541</v>
      </c>
      <c r="ERZ236" s="1077">
        <v>8298541</v>
      </c>
      <c r="ESA236" s="1077">
        <v>8298541</v>
      </c>
      <c r="ESB236" s="1077">
        <v>8298541</v>
      </c>
      <c r="ESC236" s="1077">
        <v>8298541</v>
      </c>
      <c r="ESD236" s="1077">
        <v>8298541</v>
      </c>
      <c r="ESE236" s="1077">
        <v>8298541</v>
      </c>
      <c r="ESF236" s="1077">
        <v>8298541</v>
      </c>
      <c r="ESG236" s="1077">
        <v>8298541</v>
      </c>
      <c r="ESH236" s="1077">
        <v>8298541</v>
      </c>
      <c r="ESI236" s="1077">
        <v>8298541</v>
      </c>
      <c r="ESJ236" s="1077">
        <v>8298541</v>
      </c>
      <c r="ESK236" s="1077">
        <v>8298541</v>
      </c>
      <c r="ESL236" s="1077">
        <v>8298541</v>
      </c>
      <c r="ESM236" s="1077">
        <v>8298541</v>
      </c>
      <c r="ESN236" s="1077">
        <v>8298541</v>
      </c>
      <c r="ESO236" s="1077">
        <v>8298541</v>
      </c>
      <c r="ESP236" s="1077">
        <v>8298541</v>
      </c>
      <c r="ESQ236" s="1077">
        <v>8298541</v>
      </c>
      <c r="ESR236" s="1077">
        <v>8298541</v>
      </c>
      <c r="ESS236" s="1077">
        <v>8298541</v>
      </c>
      <c r="EST236" s="1077">
        <v>8298541</v>
      </c>
      <c r="ESU236" s="1077">
        <v>8298541</v>
      </c>
      <c r="ESV236" s="1077">
        <v>8298541</v>
      </c>
      <c r="ESW236" s="1077">
        <v>8298541</v>
      </c>
      <c r="ESX236" s="1077">
        <v>8298541</v>
      </c>
      <c r="ESY236" s="1077">
        <v>8298541</v>
      </c>
      <c r="ESZ236" s="1077">
        <v>8298541</v>
      </c>
      <c r="ETA236" s="1077">
        <v>8298541</v>
      </c>
      <c r="ETB236" s="1077">
        <v>8298541</v>
      </c>
      <c r="ETC236" s="1077">
        <v>8298541</v>
      </c>
      <c r="ETD236" s="1077">
        <v>8298541</v>
      </c>
      <c r="ETE236" s="1077">
        <v>8298541</v>
      </c>
      <c r="ETF236" s="1077">
        <v>8298541</v>
      </c>
      <c r="ETG236" s="1077">
        <v>8298541</v>
      </c>
      <c r="ETH236" s="1077">
        <v>8298541</v>
      </c>
      <c r="ETI236" s="1077">
        <v>8298541</v>
      </c>
      <c r="ETJ236" s="1077">
        <v>8298541</v>
      </c>
      <c r="ETK236" s="1077">
        <v>8298541</v>
      </c>
      <c r="ETL236" s="1077">
        <v>8298541</v>
      </c>
      <c r="ETM236" s="1077">
        <v>8298541</v>
      </c>
      <c r="ETN236" s="1077">
        <v>8298541</v>
      </c>
      <c r="ETO236" s="1077">
        <v>8298541</v>
      </c>
      <c r="ETP236" s="1077">
        <v>8298541</v>
      </c>
      <c r="ETQ236" s="1077">
        <v>8298541</v>
      </c>
      <c r="ETR236" s="1077">
        <v>8298541</v>
      </c>
      <c r="ETS236" s="1077">
        <v>8298541</v>
      </c>
      <c r="ETT236" s="1077">
        <v>8298541</v>
      </c>
      <c r="ETU236" s="1077">
        <v>8298541</v>
      </c>
      <c r="ETV236" s="1077">
        <v>8298541</v>
      </c>
      <c r="ETW236" s="1077">
        <v>8298541</v>
      </c>
      <c r="ETX236" s="1077">
        <v>8298541</v>
      </c>
      <c r="ETY236" s="1077">
        <v>8298541</v>
      </c>
      <c r="ETZ236" s="1077">
        <v>8298541</v>
      </c>
      <c r="EUA236" s="1077">
        <v>8298541</v>
      </c>
      <c r="EUB236" s="1077">
        <v>8298541</v>
      </c>
      <c r="EUC236" s="1077">
        <v>8298541</v>
      </c>
      <c r="EUD236" s="1077">
        <v>8298541</v>
      </c>
      <c r="EUE236" s="1077">
        <v>8298541</v>
      </c>
      <c r="EUF236" s="1077">
        <v>8298541</v>
      </c>
      <c r="EUG236" s="1077">
        <v>8298541</v>
      </c>
      <c r="EUH236" s="1077">
        <v>8298541</v>
      </c>
      <c r="EUI236" s="1077">
        <v>8298541</v>
      </c>
      <c r="EUJ236" s="1077">
        <v>8298541</v>
      </c>
      <c r="EUK236" s="1077">
        <v>8298541</v>
      </c>
      <c r="EUL236" s="1077">
        <v>8298541</v>
      </c>
      <c r="EUM236" s="1077">
        <v>8298541</v>
      </c>
      <c r="EUN236" s="1077">
        <v>8298541</v>
      </c>
      <c r="EUO236" s="1077">
        <v>8298541</v>
      </c>
      <c r="EUP236" s="1077">
        <v>8298541</v>
      </c>
      <c r="EUQ236" s="1077">
        <v>8298541</v>
      </c>
      <c r="EUR236" s="1077">
        <v>8298541</v>
      </c>
      <c r="EUS236" s="1077">
        <v>8298541</v>
      </c>
      <c r="EUT236" s="1077">
        <v>8298541</v>
      </c>
      <c r="EUU236" s="1077">
        <v>8298541</v>
      </c>
      <c r="EUV236" s="1077">
        <v>8298541</v>
      </c>
      <c r="EUW236" s="1077">
        <v>8298541</v>
      </c>
      <c r="EUX236" s="1077">
        <v>8298541</v>
      </c>
      <c r="EUY236" s="1077">
        <v>8298541</v>
      </c>
      <c r="EUZ236" s="1077">
        <v>8298541</v>
      </c>
      <c r="EVA236" s="1077">
        <v>8298541</v>
      </c>
      <c r="EVB236" s="1077">
        <v>8298541</v>
      </c>
      <c r="EVC236" s="1077">
        <v>8298541</v>
      </c>
      <c r="EVD236" s="1077">
        <v>8298541</v>
      </c>
      <c r="EVE236" s="1077">
        <v>8298541</v>
      </c>
      <c r="EVF236" s="1077">
        <v>8298541</v>
      </c>
      <c r="EVG236" s="1077">
        <v>8298541</v>
      </c>
      <c r="EVH236" s="1077">
        <v>8298541</v>
      </c>
      <c r="EVI236" s="1077">
        <v>8298541</v>
      </c>
      <c r="EVJ236" s="1077">
        <v>8298541</v>
      </c>
      <c r="EVK236" s="1077">
        <v>8298541</v>
      </c>
      <c r="EVL236" s="1077">
        <v>8298541</v>
      </c>
      <c r="EVM236" s="1077">
        <v>8298541</v>
      </c>
      <c r="EVN236" s="1077">
        <v>8298541</v>
      </c>
      <c r="EVO236" s="1077">
        <v>8298541</v>
      </c>
      <c r="EVP236" s="1077">
        <v>8298541</v>
      </c>
      <c r="EVQ236" s="1077">
        <v>8298541</v>
      </c>
      <c r="EVR236" s="1077">
        <v>8298541</v>
      </c>
      <c r="EVS236" s="1077">
        <v>8298541</v>
      </c>
      <c r="EVT236" s="1077">
        <v>8298541</v>
      </c>
      <c r="EVU236" s="1077">
        <v>8298541</v>
      </c>
      <c r="EVV236" s="1077">
        <v>8298541</v>
      </c>
      <c r="EVW236" s="1077">
        <v>8298541</v>
      </c>
      <c r="EVX236" s="1077">
        <v>8298541</v>
      </c>
      <c r="EVY236" s="1077">
        <v>8298541</v>
      </c>
      <c r="EVZ236" s="1077">
        <v>8298541</v>
      </c>
      <c r="EWA236" s="1077">
        <v>8298541</v>
      </c>
      <c r="EWB236" s="1077">
        <v>8298541</v>
      </c>
      <c r="EWC236" s="1077">
        <v>8298541</v>
      </c>
      <c r="EWD236" s="1077">
        <v>8298541</v>
      </c>
      <c r="EWE236" s="1077">
        <v>8298541</v>
      </c>
      <c r="EWF236" s="1077">
        <v>8298541</v>
      </c>
      <c r="EWG236" s="1077">
        <v>8298541</v>
      </c>
      <c r="EWH236" s="1077">
        <v>8298541</v>
      </c>
      <c r="EWI236" s="1077">
        <v>8298541</v>
      </c>
      <c r="EWJ236" s="1077">
        <v>8298541</v>
      </c>
      <c r="EWK236" s="1077">
        <v>8298541</v>
      </c>
      <c r="EWL236" s="1077">
        <v>8298541</v>
      </c>
      <c r="EWM236" s="1077">
        <v>8298541</v>
      </c>
      <c r="EWN236" s="1077">
        <v>8298541</v>
      </c>
      <c r="EWO236" s="1077">
        <v>8298541</v>
      </c>
      <c r="EWP236" s="1077">
        <v>8298541</v>
      </c>
      <c r="EWQ236" s="1077">
        <v>8298541</v>
      </c>
      <c r="EWR236" s="1077">
        <v>8298541</v>
      </c>
      <c r="EWS236" s="1077">
        <v>8298541</v>
      </c>
      <c r="EWT236" s="1077">
        <v>8298541</v>
      </c>
      <c r="EWU236" s="1077">
        <v>8298541</v>
      </c>
      <c r="EWV236" s="1077">
        <v>8298541</v>
      </c>
      <c r="EWW236" s="1077">
        <v>8298541</v>
      </c>
      <c r="EWX236" s="1077">
        <v>8298541</v>
      </c>
      <c r="EWY236" s="1077">
        <v>8298541</v>
      </c>
      <c r="EWZ236" s="1077">
        <v>8298541</v>
      </c>
      <c r="EXA236" s="1077">
        <v>8298541</v>
      </c>
      <c r="EXB236" s="1077">
        <v>8298541</v>
      </c>
      <c r="EXC236" s="1077">
        <v>8298541</v>
      </c>
      <c r="EXD236" s="1077">
        <v>8298541</v>
      </c>
      <c r="EXE236" s="1077">
        <v>8298541</v>
      </c>
      <c r="EXF236" s="1077">
        <v>8298541</v>
      </c>
      <c r="EXG236" s="1077">
        <v>8298541</v>
      </c>
      <c r="EXH236" s="1077">
        <v>8298541</v>
      </c>
      <c r="EXI236" s="1077">
        <v>8298541</v>
      </c>
      <c r="EXJ236" s="1077">
        <v>8298541</v>
      </c>
      <c r="EXK236" s="1077">
        <v>8298541</v>
      </c>
      <c r="EXL236" s="1077">
        <v>8298541</v>
      </c>
      <c r="EXM236" s="1077">
        <v>8298541</v>
      </c>
      <c r="EXN236" s="1077">
        <v>8298541</v>
      </c>
      <c r="EXO236" s="1077">
        <v>8298541</v>
      </c>
      <c r="EXP236" s="1077">
        <v>8298541</v>
      </c>
      <c r="EXQ236" s="1077">
        <v>8298541</v>
      </c>
      <c r="EXR236" s="1077">
        <v>8298541</v>
      </c>
      <c r="EXS236" s="1077">
        <v>8298541</v>
      </c>
      <c r="EXT236" s="1077">
        <v>8298541</v>
      </c>
      <c r="EXU236" s="1077">
        <v>8298541</v>
      </c>
      <c r="EXV236" s="1077">
        <v>8298541</v>
      </c>
      <c r="EXW236" s="1077">
        <v>8298541</v>
      </c>
      <c r="EXX236" s="1077">
        <v>8298541</v>
      </c>
      <c r="EXY236" s="1077">
        <v>8298541</v>
      </c>
      <c r="EXZ236" s="1077">
        <v>8298541</v>
      </c>
      <c r="EYA236" s="1077">
        <v>8298541</v>
      </c>
      <c r="EYB236" s="1077">
        <v>8298541</v>
      </c>
      <c r="EYC236" s="1077">
        <v>8298541</v>
      </c>
      <c r="EYD236" s="1077">
        <v>8298541</v>
      </c>
      <c r="EYE236" s="1077">
        <v>8298541</v>
      </c>
      <c r="EYF236" s="1077">
        <v>8298541</v>
      </c>
      <c r="EYG236" s="1077">
        <v>8298541</v>
      </c>
      <c r="EYH236" s="1077">
        <v>8298541</v>
      </c>
      <c r="EYI236" s="1077">
        <v>8298541</v>
      </c>
      <c r="EYJ236" s="1077">
        <v>8298541</v>
      </c>
      <c r="EYK236" s="1077">
        <v>8298541</v>
      </c>
      <c r="EYL236" s="1077">
        <v>8298541</v>
      </c>
      <c r="EYM236" s="1077">
        <v>8298541</v>
      </c>
      <c r="EYN236" s="1077">
        <v>8298541</v>
      </c>
      <c r="EYO236" s="1077">
        <v>8298541</v>
      </c>
      <c r="EYP236" s="1077">
        <v>8298541</v>
      </c>
      <c r="EYQ236" s="1077">
        <v>8298541</v>
      </c>
      <c r="EYR236" s="1077">
        <v>8298541</v>
      </c>
      <c r="EYS236" s="1077">
        <v>8298541</v>
      </c>
      <c r="EYT236" s="1077">
        <v>8298541</v>
      </c>
      <c r="EYU236" s="1077">
        <v>8298541</v>
      </c>
      <c r="EYV236" s="1077">
        <v>8298541</v>
      </c>
      <c r="EYW236" s="1077">
        <v>8298541</v>
      </c>
      <c r="EYX236" s="1077">
        <v>8298541</v>
      </c>
      <c r="EYY236" s="1077">
        <v>8298541</v>
      </c>
      <c r="EYZ236" s="1077">
        <v>8298541</v>
      </c>
      <c r="EZA236" s="1077">
        <v>8298541</v>
      </c>
      <c r="EZB236" s="1077">
        <v>8298541</v>
      </c>
      <c r="EZC236" s="1077">
        <v>8298541</v>
      </c>
      <c r="EZD236" s="1077">
        <v>8298541</v>
      </c>
      <c r="EZE236" s="1077">
        <v>8298541</v>
      </c>
      <c r="EZF236" s="1077">
        <v>8298541</v>
      </c>
      <c r="EZG236" s="1077">
        <v>8298541</v>
      </c>
      <c r="EZH236" s="1077">
        <v>8298541</v>
      </c>
      <c r="EZI236" s="1077">
        <v>8298541</v>
      </c>
      <c r="EZJ236" s="1077">
        <v>8298541</v>
      </c>
      <c r="EZK236" s="1077">
        <v>8298541</v>
      </c>
      <c r="EZL236" s="1077">
        <v>8298541</v>
      </c>
      <c r="EZM236" s="1077">
        <v>8298541</v>
      </c>
      <c r="EZN236" s="1077">
        <v>8298541</v>
      </c>
      <c r="EZO236" s="1077">
        <v>8298541</v>
      </c>
      <c r="EZP236" s="1077">
        <v>8298541</v>
      </c>
      <c r="EZQ236" s="1077">
        <v>8298541</v>
      </c>
      <c r="EZR236" s="1077">
        <v>8298541</v>
      </c>
      <c r="EZS236" s="1077">
        <v>8298541</v>
      </c>
      <c r="EZT236" s="1077">
        <v>8298541</v>
      </c>
      <c r="EZU236" s="1077">
        <v>8298541</v>
      </c>
      <c r="EZV236" s="1077">
        <v>8298541</v>
      </c>
      <c r="EZW236" s="1077">
        <v>8298541</v>
      </c>
      <c r="EZX236" s="1077">
        <v>8298541</v>
      </c>
      <c r="EZY236" s="1077">
        <v>8298541</v>
      </c>
      <c r="EZZ236" s="1077">
        <v>8298541</v>
      </c>
      <c r="FAA236" s="1077">
        <v>8298541</v>
      </c>
      <c r="FAB236" s="1077">
        <v>8298541</v>
      </c>
      <c r="FAC236" s="1077">
        <v>8298541</v>
      </c>
      <c r="FAD236" s="1077">
        <v>8298541</v>
      </c>
      <c r="FAE236" s="1077">
        <v>8298541</v>
      </c>
      <c r="FAF236" s="1077">
        <v>8298541</v>
      </c>
      <c r="FAG236" s="1077">
        <v>8298541</v>
      </c>
      <c r="FAH236" s="1077">
        <v>8298541</v>
      </c>
      <c r="FAI236" s="1077">
        <v>8298541</v>
      </c>
      <c r="FAJ236" s="1077">
        <v>8298541</v>
      </c>
      <c r="FAK236" s="1077">
        <v>8298541</v>
      </c>
      <c r="FAL236" s="1077">
        <v>8298541</v>
      </c>
      <c r="FAM236" s="1077">
        <v>8298541</v>
      </c>
      <c r="FAN236" s="1077">
        <v>8298541</v>
      </c>
      <c r="FAO236" s="1077">
        <v>8298541</v>
      </c>
      <c r="FAP236" s="1077">
        <v>8298541</v>
      </c>
      <c r="FAQ236" s="1077">
        <v>8298541</v>
      </c>
      <c r="FAR236" s="1077">
        <v>8298541</v>
      </c>
      <c r="FAS236" s="1077">
        <v>8298541</v>
      </c>
      <c r="FAT236" s="1077">
        <v>8298541</v>
      </c>
      <c r="FAU236" s="1077">
        <v>8298541</v>
      </c>
      <c r="FAV236" s="1077">
        <v>8298541</v>
      </c>
      <c r="FAW236" s="1077">
        <v>8298541</v>
      </c>
      <c r="FAX236" s="1077">
        <v>8298541</v>
      </c>
      <c r="FAY236" s="1077">
        <v>8298541</v>
      </c>
      <c r="FAZ236" s="1077">
        <v>8298541</v>
      </c>
      <c r="FBA236" s="1077">
        <v>8298541</v>
      </c>
      <c r="FBB236" s="1077">
        <v>8298541</v>
      </c>
      <c r="FBC236" s="1077">
        <v>8298541</v>
      </c>
      <c r="FBD236" s="1077">
        <v>8298541</v>
      </c>
      <c r="FBE236" s="1077">
        <v>8298541</v>
      </c>
      <c r="FBF236" s="1077">
        <v>8298541</v>
      </c>
      <c r="FBG236" s="1077">
        <v>8298541</v>
      </c>
      <c r="FBH236" s="1077">
        <v>8298541</v>
      </c>
      <c r="FBI236" s="1077">
        <v>8298541</v>
      </c>
      <c r="FBJ236" s="1077">
        <v>8298541</v>
      </c>
      <c r="FBK236" s="1077">
        <v>8298541</v>
      </c>
      <c r="FBL236" s="1077">
        <v>8298541</v>
      </c>
      <c r="FBM236" s="1077">
        <v>8298541</v>
      </c>
      <c r="FBN236" s="1077">
        <v>8298541</v>
      </c>
      <c r="FBO236" s="1077">
        <v>8298541</v>
      </c>
      <c r="FBP236" s="1077">
        <v>8298541</v>
      </c>
      <c r="FBQ236" s="1077">
        <v>8298541</v>
      </c>
      <c r="FBR236" s="1077">
        <v>8298541</v>
      </c>
      <c r="FBS236" s="1077">
        <v>8298541</v>
      </c>
      <c r="FBT236" s="1077">
        <v>8298541</v>
      </c>
      <c r="FBU236" s="1077">
        <v>8298541</v>
      </c>
      <c r="FBV236" s="1077">
        <v>8298541</v>
      </c>
      <c r="FBW236" s="1077">
        <v>8298541</v>
      </c>
      <c r="FBX236" s="1077">
        <v>8298541</v>
      </c>
      <c r="FBY236" s="1077">
        <v>8298541</v>
      </c>
      <c r="FBZ236" s="1077">
        <v>8298541</v>
      </c>
      <c r="FCA236" s="1077">
        <v>8298541</v>
      </c>
      <c r="FCB236" s="1077">
        <v>8298541</v>
      </c>
      <c r="FCC236" s="1077">
        <v>8298541</v>
      </c>
      <c r="FCD236" s="1077">
        <v>8298541</v>
      </c>
      <c r="FCE236" s="1077">
        <v>8298541</v>
      </c>
      <c r="FCF236" s="1077">
        <v>8298541</v>
      </c>
      <c r="FCG236" s="1077">
        <v>8298541</v>
      </c>
      <c r="FCH236" s="1077">
        <v>8298541</v>
      </c>
      <c r="FCI236" s="1077">
        <v>8298541</v>
      </c>
      <c r="FCJ236" s="1077">
        <v>8298541</v>
      </c>
      <c r="FCK236" s="1077">
        <v>8298541</v>
      </c>
      <c r="FCL236" s="1077">
        <v>8298541</v>
      </c>
      <c r="FCM236" s="1077">
        <v>8298541</v>
      </c>
      <c r="FCN236" s="1077">
        <v>8298541</v>
      </c>
      <c r="FCO236" s="1077">
        <v>8298541</v>
      </c>
      <c r="FCP236" s="1077">
        <v>8298541</v>
      </c>
      <c r="FCQ236" s="1077">
        <v>8298541</v>
      </c>
      <c r="FCR236" s="1077">
        <v>8298541</v>
      </c>
      <c r="FCS236" s="1077">
        <v>8298541</v>
      </c>
      <c r="FCT236" s="1077">
        <v>8298541</v>
      </c>
      <c r="FCU236" s="1077">
        <v>8298541</v>
      </c>
      <c r="FCV236" s="1077">
        <v>8298541</v>
      </c>
      <c r="FCW236" s="1077">
        <v>8298541</v>
      </c>
      <c r="FCX236" s="1077">
        <v>8298541</v>
      </c>
      <c r="FCY236" s="1077">
        <v>8298541</v>
      </c>
      <c r="FCZ236" s="1077">
        <v>8298541</v>
      </c>
      <c r="FDA236" s="1077">
        <v>8298541</v>
      </c>
      <c r="FDB236" s="1077">
        <v>8298541</v>
      </c>
      <c r="FDC236" s="1077">
        <v>8298541</v>
      </c>
      <c r="FDD236" s="1077">
        <v>8298541</v>
      </c>
      <c r="FDE236" s="1077">
        <v>8298541</v>
      </c>
      <c r="FDF236" s="1077">
        <v>8298541</v>
      </c>
      <c r="FDG236" s="1077">
        <v>8298541</v>
      </c>
      <c r="FDH236" s="1077">
        <v>8298541</v>
      </c>
      <c r="FDI236" s="1077">
        <v>8298541</v>
      </c>
      <c r="FDJ236" s="1077">
        <v>8298541</v>
      </c>
      <c r="FDK236" s="1077">
        <v>8298541</v>
      </c>
      <c r="FDL236" s="1077">
        <v>8298541</v>
      </c>
      <c r="FDM236" s="1077">
        <v>8298541</v>
      </c>
      <c r="FDN236" s="1077">
        <v>8298541</v>
      </c>
      <c r="FDO236" s="1077">
        <v>8298541</v>
      </c>
      <c r="FDP236" s="1077">
        <v>8298541</v>
      </c>
      <c r="FDQ236" s="1077">
        <v>8298541</v>
      </c>
      <c r="FDR236" s="1077">
        <v>8298541</v>
      </c>
      <c r="FDS236" s="1077">
        <v>8298541</v>
      </c>
      <c r="FDT236" s="1077">
        <v>8298541</v>
      </c>
      <c r="FDU236" s="1077">
        <v>8298541</v>
      </c>
      <c r="FDV236" s="1077">
        <v>8298541</v>
      </c>
      <c r="FDW236" s="1077">
        <v>8298541</v>
      </c>
      <c r="FDX236" s="1077">
        <v>8298541</v>
      </c>
      <c r="FDY236" s="1077">
        <v>8298541</v>
      </c>
      <c r="FDZ236" s="1077">
        <v>8298541</v>
      </c>
      <c r="FEA236" s="1077">
        <v>8298541</v>
      </c>
      <c r="FEB236" s="1077">
        <v>8298541</v>
      </c>
      <c r="FEC236" s="1077">
        <v>8298541</v>
      </c>
      <c r="FED236" s="1077">
        <v>8298541</v>
      </c>
      <c r="FEE236" s="1077">
        <v>8298541</v>
      </c>
      <c r="FEF236" s="1077">
        <v>8298541</v>
      </c>
      <c r="FEG236" s="1077">
        <v>8298541</v>
      </c>
      <c r="FEH236" s="1077">
        <v>8298541</v>
      </c>
      <c r="FEI236" s="1077">
        <v>8298541</v>
      </c>
      <c r="FEJ236" s="1077">
        <v>8298541</v>
      </c>
      <c r="FEK236" s="1077">
        <v>8298541</v>
      </c>
      <c r="FEL236" s="1077">
        <v>8298541</v>
      </c>
      <c r="FEM236" s="1077">
        <v>8298541</v>
      </c>
      <c r="FEN236" s="1077">
        <v>8298541</v>
      </c>
      <c r="FEO236" s="1077">
        <v>8298541</v>
      </c>
      <c r="FEP236" s="1077">
        <v>8298541</v>
      </c>
      <c r="FEQ236" s="1077">
        <v>8298541</v>
      </c>
      <c r="FER236" s="1077">
        <v>8298541</v>
      </c>
      <c r="FES236" s="1077">
        <v>8298541</v>
      </c>
      <c r="FET236" s="1077">
        <v>8298541</v>
      </c>
      <c r="FEU236" s="1077">
        <v>8298541</v>
      </c>
      <c r="FEV236" s="1077">
        <v>8298541</v>
      </c>
      <c r="FEW236" s="1077">
        <v>8298541</v>
      </c>
      <c r="FEX236" s="1077">
        <v>8298541</v>
      </c>
      <c r="FEY236" s="1077">
        <v>8298541</v>
      </c>
      <c r="FEZ236" s="1077">
        <v>8298541</v>
      </c>
      <c r="FFA236" s="1077">
        <v>8298541</v>
      </c>
      <c r="FFB236" s="1077">
        <v>8298541</v>
      </c>
      <c r="FFC236" s="1077">
        <v>8298541</v>
      </c>
      <c r="FFD236" s="1077">
        <v>8298541</v>
      </c>
      <c r="FFE236" s="1077">
        <v>8298541</v>
      </c>
      <c r="FFF236" s="1077">
        <v>8298541</v>
      </c>
      <c r="FFG236" s="1077">
        <v>8298541</v>
      </c>
      <c r="FFH236" s="1077">
        <v>8298541</v>
      </c>
      <c r="FFI236" s="1077">
        <v>8298541</v>
      </c>
      <c r="FFJ236" s="1077">
        <v>8298541</v>
      </c>
      <c r="FFK236" s="1077">
        <v>8298541</v>
      </c>
      <c r="FFL236" s="1077">
        <v>8298541</v>
      </c>
      <c r="FFM236" s="1077">
        <v>8298541</v>
      </c>
      <c r="FFN236" s="1077">
        <v>8298541</v>
      </c>
      <c r="FFO236" s="1077">
        <v>8298541</v>
      </c>
      <c r="FFP236" s="1077">
        <v>8298541</v>
      </c>
      <c r="FFQ236" s="1077">
        <v>8298541</v>
      </c>
      <c r="FFR236" s="1077">
        <v>8298541</v>
      </c>
      <c r="FFS236" s="1077">
        <v>8298541</v>
      </c>
      <c r="FFT236" s="1077">
        <v>8298541</v>
      </c>
      <c r="FFU236" s="1077">
        <v>8298541</v>
      </c>
      <c r="FFV236" s="1077">
        <v>8298541</v>
      </c>
      <c r="FFW236" s="1077">
        <v>8298541</v>
      </c>
      <c r="FFX236" s="1077">
        <v>8298541</v>
      </c>
      <c r="FFY236" s="1077">
        <v>8298541</v>
      </c>
      <c r="FFZ236" s="1077">
        <v>8298541</v>
      </c>
      <c r="FGA236" s="1077">
        <v>8298541</v>
      </c>
      <c r="FGB236" s="1077">
        <v>8298541</v>
      </c>
      <c r="FGC236" s="1077">
        <v>8298541</v>
      </c>
      <c r="FGD236" s="1077">
        <v>8298541</v>
      </c>
      <c r="FGE236" s="1077">
        <v>8298541</v>
      </c>
      <c r="FGF236" s="1077">
        <v>8298541</v>
      </c>
      <c r="FGG236" s="1077">
        <v>8298541</v>
      </c>
      <c r="FGH236" s="1077">
        <v>8298541</v>
      </c>
      <c r="FGI236" s="1077">
        <v>8298541</v>
      </c>
      <c r="FGJ236" s="1077">
        <v>8298541</v>
      </c>
      <c r="FGK236" s="1077">
        <v>8298541</v>
      </c>
      <c r="FGL236" s="1077">
        <v>8298541</v>
      </c>
      <c r="FGM236" s="1077">
        <v>8298541</v>
      </c>
      <c r="FGN236" s="1077">
        <v>8298541</v>
      </c>
      <c r="FGO236" s="1077">
        <v>8298541</v>
      </c>
      <c r="FGP236" s="1077">
        <v>8298541</v>
      </c>
      <c r="FGQ236" s="1077">
        <v>8298541</v>
      </c>
      <c r="FGR236" s="1077">
        <v>8298541</v>
      </c>
      <c r="FGS236" s="1077">
        <v>8298541</v>
      </c>
      <c r="FGT236" s="1077">
        <v>8298541</v>
      </c>
      <c r="FGU236" s="1077">
        <v>8298541</v>
      </c>
      <c r="FGV236" s="1077">
        <v>8298541</v>
      </c>
      <c r="FGW236" s="1077">
        <v>8298541</v>
      </c>
      <c r="FGX236" s="1077">
        <v>8298541</v>
      </c>
      <c r="FGY236" s="1077">
        <v>8298541</v>
      </c>
      <c r="FGZ236" s="1077">
        <v>8298541</v>
      </c>
      <c r="FHA236" s="1077">
        <v>8298541</v>
      </c>
      <c r="FHB236" s="1077">
        <v>8298541</v>
      </c>
      <c r="FHC236" s="1077">
        <v>8298541</v>
      </c>
      <c r="FHD236" s="1077">
        <v>8298541</v>
      </c>
      <c r="FHE236" s="1077">
        <v>8298541</v>
      </c>
      <c r="FHF236" s="1077">
        <v>8298541</v>
      </c>
      <c r="FHG236" s="1077">
        <v>8298541</v>
      </c>
      <c r="FHH236" s="1077">
        <v>8298541</v>
      </c>
      <c r="FHI236" s="1077">
        <v>8298541</v>
      </c>
      <c r="FHJ236" s="1077">
        <v>8298541</v>
      </c>
      <c r="FHK236" s="1077">
        <v>8298541</v>
      </c>
      <c r="FHL236" s="1077">
        <v>8298541</v>
      </c>
      <c r="FHM236" s="1077">
        <v>8298541</v>
      </c>
      <c r="FHN236" s="1077">
        <v>8298541</v>
      </c>
      <c r="FHO236" s="1077">
        <v>8298541</v>
      </c>
      <c r="FHP236" s="1077">
        <v>8298541</v>
      </c>
      <c r="FHQ236" s="1077">
        <v>8298541</v>
      </c>
      <c r="FHR236" s="1077">
        <v>8298541</v>
      </c>
      <c r="FHS236" s="1077">
        <v>8298541</v>
      </c>
      <c r="FHT236" s="1077">
        <v>8298541</v>
      </c>
      <c r="FHU236" s="1077">
        <v>8298541</v>
      </c>
      <c r="FHV236" s="1077">
        <v>8298541</v>
      </c>
      <c r="FHW236" s="1077">
        <v>8298541</v>
      </c>
      <c r="FHX236" s="1077">
        <v>8298541</v>
      </c>
      <c r="FHY236" s="1077">
        <v>8298541</v>
      </c>
      <c r="FHZ236" s="1077">
        <v>8298541</v>
      </c>
      <c r="FIA236" s="1077">
        <v>8298541</v>
      </c>
      <c r="FIB236" s="1077">
        <v>8298541</v>
      </c>
      <c r="FIC236" s="1077">
        <v>8298541</v>
      </c>
      <c r="FID236" s="1077">
        <v>8298541</v>
      </c>
      <c r="FIE236" s="1077">
        <v>8298541</v>
      </c>
      <c r="FIF236" s="1077">
        <v>8298541</v>
      </c>
      <c r="FIG236" s="1077">
        <v>8298541</v>
      </c>
      <c r="FIH236" s="1077">
        <v>8298541</v>
      </c>
      <c r="FII236" s="1077">
        <v>8298541</v>
      </c>
      <c r="FIJ236" s="1077">
        <v>8298541</v>
      </c>
      <c r="FIK236" s="1077">
        <v>8298541</v>
      </c>
      <c r="FIL236" s="1077">
        <v>8298541</v>
      </c>
      <c r="FIM236" s="1077">
        <v>8298541</v>
      </c>
      <c r="FIN236" s="1077">
        <v>8298541</v>
      </c>
      <c r="FIO236" s="1077">
        <v>8298541</v>
      </c>
      <c r="FIP236" s="1077">
        <v>8298541</v>
      </c>
      <c r="FIQ236" s="1077">
        <v>8298541</v>
      </c>
      <c r="FIR236" s="1077">
        <v>8298541</v>
      </c>
      <c r="FIS236" s="1077">
        <v>8298541</v>
      </c>
      <c r="FIT236" s="1077">
        <v>8298541</v>
      </c>
      <c r="FIU236" s="1077">
        <v>8298541</v>
      </c>
      <c r="FIV236" s="1077">
        <v>8298541</v>
      </c>
      <c r="FIW236" s="1077">
        <v>8298541</v>
      </c>
      <c r="FIX236" s="1077">
        <v>8298541</v>
      </c>
      <c r="FIY236" s="1077">
        <v>8298541</v>
      </c>
      <c r="FIZ236" s="1077">
        <v>8298541</v>
      </c>
      <c r="FJA236" s="1077">
        <v>8298541</v>
      </c>
      <c r="FJB236" s="1077">
        <v>8298541</v>
      </c>
      <c r="FJC236" s="1077">
        <v>8298541</v>
      </c>
      <c r="FJD236" s="1077">
        <v>8298541</v>
      </c>
      <c r="FJE236" s="1077">
        <v>8298541</v>
      </c>
      <c r="FJF236" s="1077">
        <v>8298541</v>
      </c>
      <c r="FJG236" s="1077">
        <v>8298541</v>
      </c>
      <c r="FJH236" s="1077">
        <v>8298541</v>
      </c>
      <c r="FJI236" s="1077">
        <v>8298541</v>
      </c>
      <c r="FJJ236" s="1077">
        <v>8298541</v>
      </c>
      <c r="FJK236" s="1077">
        <v>8298541</v>
      </c>
      <c r="FJL236" s="1077">
        <v>8298541</v>
      </c>
      <c r="FJM236" s="1077">
        <v>8298541</v>
      </c>
      <c r="FJN236" s="1077">
        <v>8298541</v>
      </c>
      <c r="FJO236" s="1077">
        <v>8298541</v>
      </c>
      <c r="FJP236" s="1077">
        <v>8298541</v>
      </c>
      <c r="FJQ236" s="1077">
        <v>8298541</v>
      </c>
      <c r="FJR236" s="1077">
        <v>8298541</v>
      </c>
      <c r="FJS236" s="1077">
        <v>8298541</v>
      </c>
      <c r="FJT236" s="1077">
        <v>8298541</v>
      </c>
      <c r="FJU236" s="1077">
        <v>8298541</v>
      </c>
      <c r="FJV236" s="1077">
        <v>8298541</v>
      </c>
      <c r="FJW236" s="1077">
        <v>8298541</v>
      </c>
      <c r="FJX236" s="1077">
        <v>8298541</v>
      </c>
      <c r="FJY236" s="1077">
        <v>8298541</v>
      </c>
      <c r="FJZ236" s="1077">
        <v>8298541</v>
      </c>
      <c r="FKA236" s="1077">
        <v>8298541</v>
      </c>
      <c r="FKB236" s="1077">
        <v>8298541</v>
      </c>
      <c r="FKC236" s="1077">
        <v>8298541</v>
      </c>
      <c r="FKD236" s="1077">
        <v>8298541</v>
      </c>
      <c r="FKE236" s="1077">
        <v>8298541</v>
      </c>
      <c r="FKF236" s="1077">
        <v>8298541</v>
      </c>
      <c r="FKG236" s="1077">
        <v>8298541</v>
      </c>
      <c r="FKH236" s="1077">
        <v>8298541</v>
      </c>
      <c r="FKI236" s="1077">
        <v>8298541</v>
      </c>
      <c r="FKJ236" s="1077">
        <v>8298541</v>
      </c>
      <c r="FKK236" s="1077">
        <v>8298541</v>
      </c>
      <c r="FKL236" s="1077">
        <v>8298541</v>
      </c>
      <c r="FKM236" s="1077">
        <v>8298541</v>
      </c>
      <c r="FKN236" s="1077">
        <v>8298541</v>
      </c>
      <c r="FKO236" s="1077">
        <v>8298541</v>
      </c>
      <c r="FKP236" s="1077">
        <v>8298541</v>
      </c>
      <c r="FKQ236" s="1077">
        <v>8298541</v>
      </c>
      <c r="FKR236" s="1077">
        <v>8298541</v>
      </c>
      <c r="FKS236" s="1077">
        <v>8298541</v>
      </c>
      <c r="FKT236" s="1077">
        <v>8298541</v>
      </c>
      <c r="FKU236" s="1077">
        <v>8298541</v>
      </c>
      <c r="FKV236" s="1077">
        <v>8298541</v>
      </c>
      <c r="FKW236" s="1077">
        <v>8298541</v>
      </c>
      <c r="FKX236" s="1077">
        <v>8298541</v>
      </c>
      <c r="FKY236" s="1077">
        <v>8298541</v>
      </c>
      <c r="FKZ236" s="1077">
        <v>8298541</v>
      </c>
      <c r="FLA236" s="1077">
        <v>8298541</v>
      </c>
      <c r="FLB236" s="1077">
        <v>8298541</v>
      </c>
      <c r="FLC236" s="1077">
        <v>8298541</v>
      </c>
      <c r="FLD236" s="1077">
        <v>8298541</v>
      </c>
      <c r="FLE236" s="1077">
        <v>8298541</v>
      </c>
      <c r="FLF236" s="1077">
        <v>8298541</v>
      </c>
      <c r="FLG236" s="1077">
        <v>8298541</v>
      </c>
      <c r="FLH236" s="1077">
        <v>8298541</v>
      </c>
      <c r="FLI236" s="1077">
        <v>8298541</v>
      </c>
      <c r="FLJ236" s="1077">
        <v>8298541</v>
      </c>
      <c r="FLK236" s="1077">
        <v>8298541</v>
      </c>
      <c r="FLL236" s="1077">
        <v>8298541</v>
      </c>
      <c r="FLM236" s="1077">
        <v>8298541</v>
      </c>
      <c r="FLN236" s="1077">
        <v>8298541</v>
      </c>
      <c r="FLO236" s="1077">
        <v>8298541</v>
      </c>
      <c r="FLP236" s="1077">
        <v>8298541</v>
      </c>
      <c r="FLQ236" s="1077">
        <v>8298541</v>
      </c>
      <c r="FLR236" s="1077">
        <v>8298541</v>
      </c>
      <c r="FLS236" s="1077">
        <v>8298541</v>
      </c>
      <c r="FLT236" s="1077">
        <v>8298541</v>
      </c>
      <c r="FLU236" s="1077">
        <v>8298541</v>
      </c>
      <c r="FLV236" s="1077">
        <v>8298541</v>
      </c>
      <c r="FLW236" s="1077">
        <v>8298541</v>
      </c>
      <c r="FLX236" s="1077">
        <v>8298541</v>
      </c>
      <c r="FLY236" s="1077">
        <v>8298541</v>
      </c>
      <c r="FLZ236" s="1077">
        <v>8298541</v>
      </c>
      <c r="FMA236" s="1077">
        <v>8298541</v>
      </c>
      <c r="FMB236" s="1077">
        <v>8298541</v>
      </c>
      <c r="FMC236" s="1077">
        <v>8298541</v>
      </c>
      <c r="FMD236" s="1077">
        <v>8298541</v>
      </c>
      <c r="FME236" s="1077">
        <v>8298541</v>
      </c>
      <c r="FMF236" s="1077">
        <v>8298541</v>
      </c>
      <c r="FMG236" s="1077">
        <v>8298541</v>
      </c>
      <c r="FMH236" s="1077">
        <v>8298541</v>
      </c>
      <c r="FMI236" s="1077">
        <v>8298541</v>
      </c>
      <c r="FMJ236" s="1077">
        <v>8298541</v>
      </c>
      <c r="FMK236" s="1077">
        <v>8298541</v>
      </c>
      <c r="FML236" s="1077">
        <v>8298541</v>
      </c>
      <c r="FMM236" s="1077">
        <v>8298541</v>
      </c>
      <c r="FMN236" s="1077">
        <v>8298541</v>
      </c>
      <c r="FMO236" s="1077">
        <v>8298541</v>
      </c>
      <c r="FMP236" s="1077">
        <v>8298541</v>
      </c>
      <c r="FMQ236" s="1077">
        <v>8298541</v>
      </c>
      <c r="FMR236" s="1077">
        <v>8298541</v>
      </c>
      <c r="FMS236" s="1077">
        <v>8298541</v>
      </c>
      <c r="FMT236" s="1077">
        <v>8298541</v>
      </c>
      <c r="FMU236" s="1077">
        <v>8298541</v>
      </c>
      <c r="FMV236" s="1077">
        <v>8298541</v>
      </c>
      <c r="FMW236" s="1077">
        <v>8298541</v>
      </c>
      <c r="FMX236" s="1077">
        <v>8298541</v>
      </c>
      <c r="FMY236" s="1077">
        <v>8298541</v>
      </c>
      <c r="FMZ236" s="1077">
        <v>8298541</v>
      </c>
      <c r="FNA236" s="1077">
        <v>8298541</v>
      </c>
      <c r="FNB236" s="1077">
        <v>8298541</v>
      </c>
      <c r="FNC236" s="1077">
        <v>8298541</v>
      </c>
      <c r="FND236" s="1077">
        <v>8298541</v>
      </c>
      <c r="FNE236" s="1077">
        <v>8298541</v>
      </c>
      <c r="FNF236" s="1077">
        <v>8298541</v>
      </c>
      <c r="FNG236" s="1077">
        <v>8298541</v>
      </c>
      <c r="FNH236" s="1077">
        <v>8298541</v>
      </c>
      <c r="FNI236" s="1077">
        <v>8298541</v>
      </c>
      <c r="FNJ236" s="1077">
        <v>8298541</v>
      </c>
      <c r="FNK236" s="1077">
        <v>8298541</v>
      </c>
      <c r="FNL236" s="1077">
        <v>8298541</v>
      </c>
      <c r="FNM236" s="1077">
        <v>8298541</v>
      </c>
      <c r="FNN236" s="1077">
        <v>8298541</v>
      </c>
      <c r="FNO236" s="1077">
        <v>8298541</v>
      </c>
      <c r="FNP236" s="1077">
        <v>8298541</v>
      </c>
      <c r="FNQ236" s="1077">
        <v>8298541</v>
      </c>
      <c r="FNR236" s="1077">
        <v>8298541</v>
      </c>
      <c r="FNS236" s="1077">
        <v>8298541</v>
      </c>
      <c r="FNT236" s="1077">
        <v>8298541</v>
      </c>
      <c r="FNU236" s="1077">
        <v>8298541</v>
      </c>
      <c r="FNV236" s="1077">
        <v>8298541</v>
      </c>
      <c r="FNW236" s="1077">
        <v>8298541</v>
      </c>
      <c r="FNX236" s="1077">
        <v>8298541</v>
      </c>
      <c r="FNY236" s="1077">
        <v>8298541</v>
      </c>
      <c r="FNZ236" s="1077">
        <v>8298541</v>
      </c>
      <c r="FOA236" s="1077">
        <v>8298541</v>
      </c>
      <c r="FOB236" s="1077">
        <v>8298541</v>
      </c>
      <c r="FOC236" s="1077">
        <v>8298541</v>
      </c>
      <c r="FOD236" s="1077">
        <v>8298541</v>
      </c>
      <c r="FOE236" s="1077">
        <v>8298541</v>
      </c>
      <c r="FOF236" s="1077">
        <v>8298541</v>
      </c>
      <c r="FOG236" s="1077">
        <v>8298541</v>
      </c>
      <c r="FOH236" s="1077">
        <v>8298541</v>
      </c>
      <c r="FOI236" s="1077">
        <v>8298541</v>
      </c>
      <c r="FOJ236" s="1077">
        <v>8298541</v>
      </c>
      <c r="FOK236" s="1077">
        <v>8298541</v>
      </c>
      <c r="FOL236" s="1077">
        <v>8298541</v>
      </c>
      <c r="FOM236" s="1077">
        <v>8298541</v>
      </c>
      <c r="FON236" s="1077">
        <v>8298541</v>
      </c>
      <c r="FOO236" s="1077">
        <v>8298541</v>
      </c>
      <c r="FOP236" s="1077">
        <v>8298541</v>
      </c>
      <c r="FOQ236" s="1077">
        <v>8298541</v>
      </c>
      <c r="FOR236" s="1077">
        <v>8298541</v>
      </c>
      <c r="FOS236" s="1077">
        <v>8298541</v>
      </c>
      <c r="FOT236" s="1077">
        <v>8298541</v>
      </c>
      <c r="FOU236" s="1077">
        <v>8298541</v>
      </c>
      <c r="FOV236" s="1077">
        <v>8298541</v>
      </c>
      <c r="FOW236" s="1077">
        <v>8298541</v>
      </c>
      <c r="FOX236" s="1077">
        <v>8298541</v>
      </c>
      <c r="FOY236" s="1077">
        <v>8298541</v>
      </c>
      <c r="FOZ236" s="1077">
        <v>8298541</v>
      </c>
      <c r="FPA236" s="1077">
        <v>8298541</v>
      </c>
      <c r="FPB236" s="1077">
        <v>8298541</v>
      </c>
      <c r="FPC236" s="1077">
        <v>8298541</v>
      </c>
      <c r="FPD236" s="1077">
        <v>8298541</v>
      </c>
      <c r="FPE236" s="1077">
        <v>8298541</v>
      </c>
      <c r="FPF236" s="1077">
        <v>8298541</v>
      </c>
      <c r="FPG236" s="1077">
        <v>8298541</v>
      </c>
      <c r="FPH236" s="1077">
        <v>8298541</v>
      </c>
      <c r="FPI236" s="1077">
        <v>8298541</v>
      </c>
      <c r="FPJ236" s="1077">
        <v>8298541</v>
      </c>
      <c r="FPK236" s="1077">
        <v>8298541</v>
      </c>
      <c r="FPL236" s="1077">
        <v>8298541</v>
      </c>
      <c r="FPM236" s="1077">
        <v>8298541</v>
      </c>
      <c r="FPN236" s="1077">
        <v>8298541</v>
      </c>
      <c r="FPO236" s="1077">
        <v>8298541</v>
      </c>
      <c r="FPP236" s="1077">
        <v>8298541</v>
      </c>
      <c r="FPQ236" s="1077">
        <v>8298541</v>
      </c>
      <c r="FPR236" s="1077">
        <v>8298541</v>
      </c>
      <c r="FPS236" s="1077">
        <v>8298541</v>
      </c>
      <c r="FPT236" s="1077">
        <v>8298541</v>
      </c>
      <c r="FPU236" s="1077">
        <v>8298541</v>
      </c>
      <c r="FPV236" s="1077">
        <v>8298541</v>
      </c>
      <c r="FPW236" s="1077">
        <v>8298541</v>
      </c>
      <c r="FPX236" s="1077">
        <v>8298541</v>
      </c>
      <c r="FPY236" s="1077">
        <v>8298541</v>
      </c>
      <c r="FPZ236" s="1077">
        <v>8298541</v>
      </c>
      <c r="FQA236" s="1077">
        <v>8298541</v>
      </c>
      <c r="FQB236" s="1077">
        <v>8298541</v>
      </c>
      <c r="FQC236" s="1077">
        <v>8298541</v>
      </c>
      <c r="FQD236" s="1077">
        <v>8298541</v>
      </c>
      <c r="FQE236" s="1077">
        <v>8298541</v>
      </c>
      <c r="FQF236" s="1077">
        <v>8298541</v>
      </c>
      <c r="FQG236" s="1077">
        <v>8298541</v>
      </c>
      <c r="FQH236" s="1077">
        <v>8298541</v>
      </c>
      <c r="FQI236" s="1077">
        <v>8298541</v>
      </c>
      <c r="FQJ236" s="1077">
        <v>8298541</v>
      </c>
      <c r="FQK236" s="1077">
        <v>8298541</v>
      </c>
      <c r="FQL236" s="1077">
        <v>8298541</v>
      </c>
      <c r="FQM236" s="1077">
        <v>8298541</v>
      </c>
      <c r="FQN236" s="1077">
        <v>8298541</v>
      </c>
      <c r="FQO236" s="1077">
        <v>8298541</v>
      </c>
      <c r="FQP236" s="1077">
        <v>8298541</v>
      </c>
      <c r="FQQ236" s="1077">
        <v>8298541</v>
      </c>
      <c r="FQR236" s="1077">
        <v>8298541</v>
      </c>
      <c r="FQS236" s="1077">
        <v>8298541</v>
      </c>
      <c r="FQT236" s="1077">
        <v>8298541</v>
      </c>
      <c r="FQU236" s="1077">
        <v>8298541</v>
      </c>
      <c r="FQV236" s="1077">
        <v>8298541</v>
      </c>
      <c r="FQW236" s="1077">
        <v>8298541</v>
      </c>
      <c r="FQX236" s="1077">
        <v>8298541</v>
      </c>
      <c r="FQY236" s="1077">
        <v>8298541</v>
      </c>
      <c r="FQZ236" s="1077">
        <v>8298541</v>
      </c>
      <c r="FRA236" s="1077">
        <v>8298541</v>
      </c>
      <c r="FRB236" s="1077">
        <v>8298541</v>
      </c>
      <c r="FRC236" s="1077">
        <v>8298541</v>
      </c>
      <c r="FRD236" s="1077">
        <v>8298541</v>
      </c>
      <c r="FRE236" s="1077">
        <v>8298541</v>
      </c>
      <c r="FRF236" s="1077">
        <v>8298541</v>
      </c>
      <c r="FRG236" s="1077">
        <v>8298541</v>
      </c>
      <c r="FRH236" s="1077">
        <v>8298541</v>
      </c>
      <c r="FRI236" s="1077">
        <v>8298541</v>
      </c>
      <c r="FRJ236" s="1077">
        <v>8298541</v>
      </c>
      <c r="FRK236" s="1077">
        <v>8298541</v>
      </c>
      <c r="FRL236" s="1077">
        <v>8298541</v>
      </c>
      <c r="FRM236" s="1077">
        <v>8298541</v>
      </c>
      <c r="FRN236" s="1077">
        <v>8298541</v>
      </c>
      <c r="FRO236" s="1077">
        <v>8298541</v>
      </c>
      <c r="FRP236" s="1077">
        <v>8298541</v>
      </c>
      <c r="FRQ236" s="1077">
        <v>8298541</v>
      </c>
      <c r="FRR236" s="1077">
        <v>8298541</v>
      </c>
      <c r="FRS236" s="1077">
        <v>8298541</v>
      </c>
      <c r="FRT236" s="1077">
        <v>8298541</v>
      </c>
      <c r="FRU236" s="1077">
        <v>8298541</v>
      </c>
      <c r="FRV236" s="1077">
        <v>8298541</v>
      </c>
      <c r="FRW236" s="1077">
        <v>8298541</v>
      </c>
      <c r="FRX236" s="1077">
        <v>8298541</v>
      </c>
      <c r="FRY236" s="1077">
        <v>8298541</v>
      </c>
      <c r="FRZ236" s="1077">
        <v>8298541</v>
      </c>
      <c r="FSA236" s="1077">
        <v>8298541</v>
      </c>
      <c r="FSB236" s="1077">
        <v>8298541</v>
      </c>
      <c r="FSC236" s="1077">
        <v>8298541</v>
      </c>
      <c r="FSD236" s="1077">
        <v>8298541</v>
      </c>
      <c r="FSE236" s="1077">
        <v>8298541</v>
      </c>
      <c r="FSF236" s="1077">
        <v>8298541</v>
      </c>
      <c r="FSG236" s="1077">
        <v>8298541</v>
      </c>
      <c r="FSH236" s="1077">
        <v>8298541</v>
      </c>
      <c r="FSI236" s="1077">
        <v>8298541</v>
      </c>
      <c r="FSJ236" s="1077">
        <v>8298541</v>
      </c>
      <c r="FSK236" s="1077">
        <v>8298541</v>
      </c>
      <c r="FSL236" s="1077">
        <v>8298541</v>
      </c>
      <c r="FSM236" s="1077">
        <v>8298541</v>
      </c>
      <c r="FSN236" s="1077">
        <v>8298541</v>
      </c>
      <c r="FSO236" s="1077">
        <v>8298541</v>
      </c>
      <c r="FSP236" s="1077">
        <v>8298541</v>
      </c>
      <c r="FSQ236" s="1077">
        <v>8298541</v>
      </c>
      <c r="FSR236" s="1077">
        <v>8298541</v>
      </c>
      <c r="FSS236" s="1077">
        <v>8298541</v>
      </c>
      <c r="FST236" s="1077">
        <v>8298541</v>
      </c>
      <c r="FSU236" s="1077">
        <v>8298541</v>
      </c>
      <c r="FSV236" s="1077">
        <v>8298541</v>
      </c>
      <c r="FSW236" s="1077">
        <v>8298541</v>
      </c>
      <c r="FSX236" s="1077">
        <v>8298541</v>
      </c>
      <c r="FSY236" s="1077">
        <v>8298541</v>
      </c>
      <c r="FSZ236" s="1077">
        <v>8298541</v>
      </c>
      <c r="FTA236" s="1077">
        <v>8298541</v>
      </c>
      <c r="FTB236" s="1077">
        <v>8298541</v>
      </c>
      <c r="FTC236" s="1077">
        <v>8298541</v>
      </c>
      <c r="FTD236" s="1077">
        <v>8298541</v>
      </c>
      <c r="FTE236" s="1077">
        <v>8298541</v>
      </c>
      <c r="FTF236" s="1077">
        <v>8298541</v>
      </c>
      <c r="FTG236" s="1077">
        <v>8298541</v>
      </c>
      <c r="FTH236" s="1077">
        <v>8298541</v>
      </c>
      <c r="FTI236" s="1077">
        <v>8298541</v>
      </c>
      <c r="FTJ236" s="1077">
        <v>8298541</v>
      </c>
      <c r="FTK236" s="1077">
        <v>8298541</v>
      </c>
      <c r="FTL236" s="1077">
        <v>8298541</v>
      </c>
      <c r="FTM236" s="1077">
        <v>8298541</v>
      </c>
      <c r="FTN236" s="1077">
        <v>8298541</v>
      </c>
      <c r="FTO236" s="1077">
        <v>8298541</v>
      </c>
      <c r="FTP236" s="1077">
        <v>8298541</v>
      </c>
      <c r="FTQ236" s="1077">
        <v>8298541</v>
      </c>
      <c r="FTR236" s="1077">
        <v>8298541</v>
      </c>
      <c r="FTS236" s="1077">
        <v>8298541</v>
      </c>
      <c r="FTT236" s="1077">
        <v>8298541</v>
      </c>
      <c r="FTU236" s="1077">
        <v>8298541</v>
      </c>
      <c r="FTV236" s="1077">
        <v>8298541</v>
      </c>
      <c r="FTW236" s="1077">
        <v>8298541</v>
      </c>
      <c r="FTX236" s="1077">
        <v>8298541</v>
      </c>
      <c r="FTY236" s="1077">
        <v>8298541</v>
      </c>
      <c r="FTZ236" s="1077">
        <v>8298541</v>
      </c>
      <c r="FUA236" s="1077">
        <v>8298541</v>
      </c>
      <c r="FUB236" s="1077">
        <v>8298541</v>
      </c>
      <c r="FUC236" s="1077">
        <v>8298541</v>
      </c>
      <c r="FUD236" s="1077">
        <v>8298541</v>
      </c>
      <c r="FUE236" s="1077">
        <v>8298541</v>
      </c>
      <c r="FUF236" s="1077">
        <v>8298541</v>
      </c>
      <c r="FUG236" s="1077">
        <v>8298541</v>
      </c>
      <c r="FUH236" s="1077">
        <v>8298541</v>
      </c>
      <c r="FUI236" s="1077">
        <v>8298541</v>
      </c>
      <c r="FUJ236" s="1077">
        <v>8298541</v>
      </c>
      <c r="FUK236" s="1077">
        <v>8298541</v>
      </c>
      <c r="FUL236" s="1077">
        <v>8298541</v>
      </c>
      <c r="FUM236" s="1077">
        <v>8298541</v>
      </c>
      <c r="FUN236" s="1077">
        <v>8298541</v>
      </c>
      <c r="FUO236" s="1077">
        <v>8298541</v>
      </c>
      <c r="FUP236" s="1077">
        <v>8298541</v>
      </c>
      <c r="FUQ236" s="1077">
        <v>8298541</v>
      </c>
      <c r="FUR236" s="1077">
        <v>8298541</v>
      </c>
      <c r="FUS236" s="1077">
        <v>8298541</v>
      </c>
      <c r="FUT236" s="1077">
        <v>8298541</v>
      </c>
      <c r="FUU236" s="1077">
        <v>8298541</v>
      </c>
      <c r="FUV236" s="1077">
        <v>8298541</v>
      </c>
      <c r="FUW236" s="1077">
        <v>8298541</v>
      </c>
      <c r="FUX236" s="1077">
        <v>8298541</v>
      </c>
      <c r="FUY236" s="1077">
        <v>8298541</v>
      </c>
      <c r="FUZ236" s="1077">
        <v>8298541</v>
      </c>
      <c r="FVA236" s="1077">
        <v>8298541</v>
      </c>
      <c r="FVB236" s="1077">
        <v>8298541</v>
      </c>
      <c r="FVC236" s="1077">
        <v>8298541</v>
      </c>
      <c r="FVD236" s="1077">
        <v>8298541</v>
      </c>
      <c r="FVE236" s="1077">
        <v>8298541</v>
      </c>
      <c r="FVF236" s="1077">
        <v>8298541</v>
      </c>
      <c r="FVG236" s="1077">
        <v>8298541</v>
      </c>
      <c r="FVH236" s="1077">
        <v>8298541</v>
      </c>
      <c r="FVI236" s="1077">
        <v>8298541</v>
      </c>
      <c r="FVJ236" s="1077">
        <v>8298541</v>
      </c>
      <c r="FVK236" s="1077">
        <v>8298541</v>
      </c>
      <c r="FVL236" s="1077">
        <v>8298541</v>
      </c>
      <c r="FVM236" s="1077">
        <v>8298541</v>
      </c>
      <c r="FVN236" s="1077">
        <v>8298541</v>
      </c>
      <c r="FVO236" s="1077">
        <v>8298541</v>
      </c>
      <c r="FVP236" s="1077">
        <v>8298541</v>
      </c>
      <c r="FVQ236" s="1077">
        <v>8298541</v>
      </c>
      <c r="FVR236" s="1077">
        <v>8298541</v>
      </c>
      <c r="FVS236" s="1077">
        <v>8298541</v>
      </c>
      <c r="FVT236" s="1077">
        <v>8298541</v>
      </c>
      <c r="FVU236" s="1077">
        <v>8298541</v>
      </c>
      <c r="FVV236" s="1077">
        <v>8298541</v>
      </c>
      <c r="FVW236" s="1077">
        <v>8298541</v>
      </c>
      <c r="FVX236" s="1077">
        <v>8298541</v>
      </c>
      <c r="FVY236" s="1077">
        <v>8298541</v>
      </c>
      <c r="FVZ236" s="1077">
        <v>8298541</v>
      </c>
      <c r="FWA236" s="1077">
        <v>8298541</v>
      </c>
      <c r="FWB236" s="1077">
        <v>8298541</v>
      </c>
      <c r="FWC236" s="1077">
        <v>8298541</v>
      </c>
      <c r="FWD236" s="1077">
        <v>8298541</v>
      </c>
      <c r="FWE236" s="1077">
        <v>8298541</v>
      </c>
      <c r="FWF236" s="1077">
        <v>8298541</v>
      </c>
      <c r="FWG236" s="1077">
        <v>8298541</v>
      </c>
      <c r="FWH236" s="1077">
        <v>8298541</v>
      </c>
      <c r="FWI236" s="1077">
        <v>8298541</v>
      </c>
      <c r="FWJ236" s="1077">
        <v>8298541</v>
      </c>
      <c r="FWK236" s="1077">
        <v>8298541</v>
      </c>
      <c r="FWL236" s="1077">
        <v>8298541</v>
      </c>
      <c r="FWM236" s="1077">
        <v>8298541</v>
      </c>
      <c r="FWN236" s="1077">
        <v>8298541</v>
      </c>
      <c r="FWO236" s="1077">
        <v>8298541</v>
      </c>
      <c r="FWP236" s="1077">
        <v>8298541</v>
      </c>
      <c r="FWQ236" s="1077">
        <v>8298541</v>
      </c>
      <c r="FWR236" s="1077">
        <v>8298541</v>
      </c>
      <c r="FWS236" s="1077">
        <v>8298541</v>
      </c>
      <c r="FWT236" s="1077">
        <v>8298541</v>
      </c>
      <c r="FWU236" s="1077">
        <v>8298541</v>
      </c>
      <c r="FWV236" s="1077">
        <v>8298541</v>
      </c>
      <c r="FWW236" s="1077">
        <v>8298541</v>
      </c>
      <c r="FWX236" s="1077">
        <v>8298541</v>
      </c>
      <c r="FWY236" s="1077">
        <v>8298541</v>
      </c>
      <c r="FWZ236" s="1077">
        <v>8298541</v>
      </c>
      <c r="FXA236" s="1077">
        <v>8298541</v>
      </c>
      <c r="FXB236" s="1077">
        <v>8298541</v>
      </c>
      <c r="FXC236" s="1077">
        <v>8298541</v>
      </c>
      <c r="FXD236" s="1077">
        <v>8298541</v>
      </c>
      <c r="FXE236" s="1077">
        <v>8298541</v>
      </c>
      <c r="FXF236" s="1077">
        <v>8298541</v>
      </c>
      <c r="FXG236" s="1077">
        <v>8298541</v>
      </c>
      <c r="FXH236" s="1077">
        <v>8298541</v>
      </c>
      <c r="FXI236" s="1077">
        <v>8298541</v>
      </c>
      <c r="FXJ236" s="1077">
        <v>8298541</v>
      </c>
      <c r="FXK236" s="1077">
        <v>8298541</v>
      </c>
      <c r="FXL236" s="1077">
        <v>8298541</v>
      </c>
      <c r="FXM236" s="1077">
        <v>8298541</v>
      </c>
      <c r="FXN236" s="1077">
        <v>8298541</v>
      </c>
      <c r="FXO236" s="1077">
        <v>8298541</v>
      </c>
      <c r="FXP236" s="1077">
        <v>8298541</v>
      </c>
      <c r="FXQ236" s="1077">
        <v>8298541</v>
      </c>
      <c r="FXR236" s="1077">
        <v>8298541</v>
      </c>
      <c r="FXS236" s="1077">
        <v>8298541</v>
      </c>
      <c r="FXT236" s="1077">
        <v>8298541</v>
      </c>
      <c r="FXU236" s="1077">
        <v>8298541</v>
      </c>
      <c r="FXV236" s="1077">
        <v>8298541</v>
      </c>
      <c r="FXW236" s="1077">
        <v>8298541</v>
      </c>
      <c r="FXX236" s="1077">
        <v>8298541</v>
      </c>
      <c r="FXY236" s="1077">
        <v>8298541</v>
      </c>
      <c r="FXZ236" s="1077">
        <v>8298541</v>
      </c>
      <c r="FYA236" s="1077">
        <v>8298541</v>
      </c>
      <c r="FYB236" s="1077">
        <v>8298541</v>
      </c>
      <c r="FYC236" s="1077">
        <v>8298541</v>
      </c>
      <c r="FYD236" s="1077">
        <v>8298541</v>
      </c>
      <c r="FYE236" s="1077">
        <v>8298541</v>
      </c>
      <c r="FYF236" s="1077">
        <v>8298541</v>
      </c>
      <c r="FYG236" s="1077">
        <v>8298541</v>
      </c>
      <c r="FYH236" s="1077">
        <v>8298541</v>
      </c>
      <c r="FYI236" s="1077">
        <v>8298541</v>
      </c>
      <c r="FYJ236" s="1077">
        <v>8298541</v>
      </c>
      <c r="FYK236" s="1077">
        <v>8298541</v>
      </c>
      <c r="FYL236" s="1077">
        <v>8298541</v>
      </c>
      <c r="FYM236" s="1077">
        <v>8298541</v>
      </c>
      <c r="FYN236" s="1077">
        <v>8298541</v>
      </c>
      <c r="FYO236" s="1077">
        <v>8298541</v>
      </c>
      <c r="FYP236" s="1077">
        <v>8298541</v>
      </c>
      <c r="FYQ236" s="1077">
        <v>8298541</v>
      </c>
      <c r="FYR236" s="1077">
        <v>8298541</v>
      </c>
      <c r="FYS236" s="1077">
        <v>8298541</v>
      </c>
      <c r="FYT236" s="1077">
        <v>8298541</v>
      </c>
      <c r="FYU236" s="1077">
        <v>8298541</v>
      </c>
      <c r="FYV236" s="1077">
        <v>8298541</v>
      </c>
      <c r="FYW236" s="1077">
        <v>8298541</v>
      </c>
      <c r="FYX236" s="1077">
        <v>8298541</v>
      </c>
      <c r="FYY236" s="1077">
        <v>8298541</v>
      </c>
      <c r="FYZ236" s="1077">
        <v>8298541</v>
      </c>
      <c r="FZA236" s="1077">
        <v>8298541</v>
      </c>
      <c r="FZB236" s="1077">
        <v>8298541</v>
      </c>
      <c r="FZC236" s="1077">
        <v>8298541</v>
      </c>
      <c r="FZD236" s="1077">
        <v>8298541</v>
      </c>
      <c r="FZE236" s="1077">
        <v>8298541</v>
      </c>
      <c r="FZF236" s="1077">
        <v>8298541</v>
      </c>
      <c r="FZG236" s="1077">
        <v>8298541</v>
      </c>
      <c r="FZH236" s="1077">
        <v>8298541</v>
      </c>
      <c r="FZI236" s="1077">
        <v>8298541</v>
      </c>
      <c r="FZJ236" s="1077">
        <v>8298541</v>
      </c>
      <c r="FZK236" s="1077">
        <v>8298541</v>
      </c>
      <c r="FZL236" s="1077">
        <v>8298541</v>
      </c>
      <c r="FZM236" s="1077">
        <v>8298541</v>
      </c>
      <c r="FZN236" s="1077">
        <v>8298541</v>
      </c>
      <c r="FZO236" s="1077">
        <v>8298541</v>
      </c>
      <c r="FZP236" s="1077">
        <v>8298541</v>
      </c>
      <c r="FZQ236" s="1077">
        <v>8298541</v>
      </c>
      <c r="FZR236" s="1077">
        <v>8298541</v>
      </c>
      <c r="FZS236" s="1077">
        <v>8298541</v>
      </c>
      <c r="FZT236" s="1077">
        <v>8298541</v>
      </c>
      <c r="FZU236" s="1077">
        <v>8298541</v>
      </c>
      <c r="FZV236" s="1077">
        <v>8298541</v>
      </c>
      <c r="FZW236" s="1077">
        <v>8298541</v>
      </c>
      <c r="FZX236" s="1077">
        <v>8298541</v>
      </c>
      <c r="FZY236" s="1077">
        <v>8298541</v>
      </c>
      <c r="FZZ236" s="1077">
        <v>8298541</v>
      </c>
      <c r="GAA236" s="1077">
        <v>8298541</v>
      </c>
      <c r="GAB236" s="1077">
        <v>8298541</v>
      </c>
      <c r="GAC236" s="1077">
        <v>8298541</v>
      </c>
      <c r="GAD236" s="1077">
        <v>8298541</v>
      </c>
      <c r="GAE236" s="1077">
        <v>8298541</v>
      </c>
      <c r="GAF236" s="1077">
        <v>8298541</v>
      </c>
      <c r="GAG236" s="1077">
        <v>8298541</v>
      </c>
      <c r="GAH236" s="1077">
        <v>8298541</v>
      </c>
      <c r="GAI236" s="1077">
        <v>8298541</v>
      </c>
      <c r="GAJ236" s="1077">
        <v>8298541</v>
      </c>
      <c r="GAK236" s="1077">
        <v>8298541</v>
      </c>
      <c r="GAL236" s="1077">
        <v>8298541</v>
      </c>
      <c r="GAM236" s="1077">
        <v>8298541</v>
      </c>
      <c r="GAN236" s="1077">
        <v>8298541</v>
      </c>
      <c r="GAO236" s="1077">
        <v>8298541</v>
      </c>
      <c r="GAP236" s="1077">
        <v>8298541</v>
      </c>
      <c r="GAQ236" s="1077">
        <v>8298541</v>
      </c>
      <c r="GAR236" s="1077">
        <v>8298541</v>
      </c>
      <c r="GAS236" s="1077">
        <v>8298541</v>
      </c>
      <c r="GAT236" s="1077">
        <v>8298541</v>
      </c>
      <c r="GAU236" s="1077">
        <v>8298541</v>
      </c>
      <c r="GAV236" s="1077">
        <v>8298541</v>
      </c>
      <c r="GAW236" s="1077">
        <v>8298541</v>
      </c>
      <c r="GAX236" s="1077">
        <v>8298541</v>
      </c>
      <c r="GAY236" s="1077">
        <v>8298541</v>
      </c>
      <c r="GAZ236" s="1077">
        <v>8298541</v>
      </c>
      <c r="GBA236" s="1077">
        <v>8298541</v>
      </c>
      <c r="GBB236" s="1077">
        <v>8298541</v>
      </c>
      <c r="GBC236" s="1077">
        <v>8298541</v>
      </c>
      <c r="GBD236" s="1077">
        <v>8298541</v>
      </c>
      <c r="GBE236" s="1077">
        <v>8298541</v>
      </c>
      <c r="GBF236" s="1077">
        <v>8298541</v>
      </c>
      <c r="GBG236" s="1077">
        <v>8298541</v>
      </c>
      <c r="GBH236" s="1077">
        <v>8298541</v>
      </c>
      <c r="GBI236" s="1077">
        <v>8298541</v>
      </c>
      <c r="GBJ236" s="1077">
        <v>8298541</v>
      </c>
      <c r="GBK236" s="1077">
        <v>8298541</v>
      </c>
      <c r="GBL236" s="1077">
        <v>8298541</v>
      </c>
      <c r="GBM236" s="1077">
        <v>8298541</v>
      </c>
      <c r="GBN236" s="1077">
        <v>8298541</v>
      </c>
      <c r="GBO236" s="1077">
        <v>8298541</v>
      </c>
      <c r="GBP236" s="1077">
        <v>8298541</v>
      </c>
      <c r="GBQ236" s="1077">
        <v>8298541</v>
      </c>
      <c r="GBR236" s="1077">
        <v>8298541</v>
      </c>
      <c r="GBS236" s="1077">
        <v>8298541</v>
      </c>
      <c r="GBT236" s="1077">
        <v>8298541</v>
      </c>
      <c r="GBU236" s="1077">
        <v>8298541</v>
      </c>
      <c r="GBV236" s="1077">
        <v>8298541</v>
      </c>
      <c r="GBW236" s="1077">
        <v>8298541</v>
      </c>
      <c r="GBX236" s="1077">
        <v>8298541</v>
      </c>
      <c r="GBY236" s="1077">
        <v>8298541</v>
      </c>
      <c r="GBZ236" s="1077">
        <v>8298541</v>
      </c>
      <c r="GCA236" s="1077">
        <v>8298541</v>
      </c>
      <c r="GCB236" s="1077">
        <v>8298541</v>
      </c>
      <c r="GCC236" s="1077">
        <v>8298541</v>
      </c>
      <c r="GCD236" s="1077">
        <v>8298541</v>
      </c>
      <c r="GCE236" s="1077">
        <v>8298541</v>
      </c>
      <c r="GCF236" s="1077">
        <v>8298541</v>
      </c>
      <c r="GCG236" s="1077">
        <v>8298541</v>
      </c>
      <c r="GCH236" s="1077">
        <v>8298541</v>
      </c>
      <c r="GCI236" s="1077">
        <v>8298541</v>
      </c>
      <c r="GCJ236" s="1077">
        <v>8298541</v>
      </c>
      <c r="GCK236" s="1077">
        <v>8298541</v>
      </c>
      <c r="GCL236" s="1077">
        <v>8298541</v>
      </c>
      <c r="GCM236" s="1077">
        <v>8298541</v>
      </c>
      <c r="GCN236" s="1077">
        <v>8298541</v>
      </c>
      <c r="GCO236" s="1077">
        <v>8298541</v>
      </c>
      <c r="GCP236" s="1077">
        <v>8298541</v>
      </c>
      <c r="GCQ236" s="1077">
        <v>8298541</v>
      </c>
      <c r="GCR236" s="1077">
        <v>8298541</v>
      </c>
      <c r="GCS236" s="1077">
        <v>8298541</v>
      </c>
      <c r="GCT236" s="1077">
        <v>8298541</v>
      </c>
      <c r="GCU236" s="1077">
        <v>8298541</v>
      </c>
      <c r="GCV236" s="1077">
        <v>8298541</v>
      </c>
      <c r="GCW236" s="1077">
        <v>8298541</v>
      </c>
      <c r="GCX236" s="1077">
        <v>8298541</v>
      </c>
      <c r="GCY236" s="1077">
        <v>8298541</v>
      </c>
      <c r="GCZ236" s="1077">
        <v>8298541</v>
      </c>
      <c r="GDA236" s="1077">
        <v>8298541</v>
      </c>
      <c r="GDB236" s="1077">
        <v>8298541</v>
      </c>
      <c r="GDC236" s="1077">
        <v>8298541</v>
      </c>
      <c r="GDD236" s="1077">
        <v>8298541</v>
      </c>
      <c r="GDE236" s="1077">
        <v>8298541</v>
      </c>
      <c r="GDF236" s="1077">
        <v>8298541</v>
      </c>
      <c r="GDG236" s="1077">
        <v>8298541</v>
      </c>
      <c r="GDH236" s="1077">
        <v>8298541</v>
      </c>
      <c r="GDI236" s="1077">
        <v>8298541</v>
      </c>
      <c r="GDJ236" s="1077">
        <v>8298541</v>
      </c>
      <c r="GDK236" s="1077">
        <v>8298541</v>
      </c>
      <c r="GDL236" s="1077">
        <v>8298541</v>
      </c>
      <c r="GDM236" s="1077">
        <v>8298541</v>
      </c>
      <c r="GDN236" s="1077">
        <v>8298541</v>
      </c>
      <c r="GDO236" s="1077">
        <v>8298541</v>
      </c>
      <c r="GDP236" s="1077">
        <v>8298541</v>
      </c>
      <c r="GDQ236" s="1077">
        <v>8298541</v>
      </c>
      <c r="GDR236" s="1077">
        <v>8298541</v>
      </c>
      <c r="GDS236" s="1077">
        <v>8298541</v>
      </c>
      <c r="GDT236" s="1077">
        <v>8298541</v>
      </c>
      <c r="GDU236" s="1077">
        <v>8298541</v>
      </c>
      <c r="GDV236" s="1077">
        <v>8298541</v>
      </c>
      <c r="GDW236" s="1077">
        <v>8298541</v>
      </c>
      <c r="GDX236" s="1077">
        <v>8298541</v>
      </c>
      <c r="GDY236" s="1077">
        <v>8298541</v>
      </c>
      <c r="GDZ236" s="1077">
        <v>8298541</v>
      </c>
      <c r="GEA236" s="1077">
        <v>8298541</v>
      </c>
      <c r="GEB236" s="1077">
        <v>8298541</v>
      </c>
      <c r="GEC236" s="1077">
        <v>8298541</v>
      </c>
      <c r="GED236" s="1077">
        <v>8298541</v>
      </c>
      <c r="GEE236" s="1077">
        <v>8298541</v>
      </c>
      <c r="GEF236" s="1077">
        <v>8298541</v>
      </c>
      <c r="GEG236" s="1077">
        <v>8298541</v>
      </c>
      <c r="GEH236" s="1077">
        <v>8298541</v>
      </c>
      <c r="GEI236" s="1077">
        <v>8298541</v>
      </c>
      <c r="GEJ236" s="1077">
        <v>8298541</v>
      </c>
      <c r="GEK236" s="1077">
        <v>8298541</v>
      </c>
      <c r="GEL236" s="1077">
        <v>8298541</v>
      </c>
      <c r="GEM236" s="1077">
        <v>8298541</v>
      </c>
      <c r="GEN236" s="1077">
        <v>8298541</v>
      </c>
      <c r="GEO236" s="1077">
        <v>8298541</v>
      </c>
      <c r="GEP236" s="1077">
        <v>8298541</v>
      </c>
      <c r="GEQ236" s="1077">
        <v>8298541</v>
      </c>
      <c r="GER236" s="1077">
        <v>8298541</v>
      </c>
      <c r="GES236" s="1077">
        <v>8298541</v>
      </c>
      <c r="GET236" s="1077">
        <v>8298541</v>
      </c>
      <c r="GEU236" s="1077">
        <v>8298541</v>
      </c>
      <c r="GEV236" s="1077">
        <v>8298541</v>
      </c>
      <c r="GEW236" s="1077">
        <v>8298541</v>
      </c>
      <c r="GEX236" s="1077">
        <v>8298541</v>
      </c>
      <c r="GEY236" s="1077">
        <v>8298541</v>
      </c>
      <c r="GEZ236" s="1077">
        <v>8298541</v>
      </c>
      <c r="GFA236" s="1077">
        <v>8298541</v>
      </c>
      <c r="GFB236" s="1077">
        <v>8298541</v>
      </c>
      <c r="GFC236" s="1077">
        <v>8298541</v>
      </c>
      <c r="GFD236" s="1077">
        <v>8298541</v>
      </c>
      <c r="GFE236" s="1077">
        <v>8298541</v>
      </c>
      <c r="GFF236" s="1077">
        <v>8298541</v>
      </c>
      <c r="GFG236" s="1077">
        <v>8298541</v>
      </c>
      <c r="GFH236" s="1077">
        <v>8298541</v>
      </c>
      <c r="GFI236" s="1077">
        <v>8298541</v>
      </c>
      <c r="GFJ236" s="1077">
        <v>8298541</v>
      </c>
      <c r="GFK236" s="1077">
        <v>8298541</v>
      </c>
      <c r="GFL236" s="1077">
        <v>8298541</v>
      </c>
      <c r="GFM236" s="1077">
        <v>8298541</v>
      </c>
      <c r="GFN236" s="1077">
        <v>8298541</v>
      </c>
      <c r="GFO236" s="1077">
        <v>8298541</v>
      </c>
      <c r="GFP236" s="1077">
        <v>8298541</v>
      </c>
      <c r="GFQ236" s="1077">
        <v>8298541</v>
      </c>
      <c r="GFR236" s="1077">
        <v>8298541</v>
      </c>
      <c r="GFS236" s="1077">
        <v>8298541</v>
      </c>
      <c r="GFT236" s="1077">
        <v>8298541</v>
      </c>
      <c r="GFU236" s="1077">
        <v>8298541</v>
      </c>
      <c r="GFV236" s="1077">
        <v>8298541</v>
      </c>
      <c r="GFW236" s="1077">
        <v>8298541</v>
      </c>
      <c r="GFX236" s="1077">
        <v>8298541</v>
      </c>
      <c r="GFY236" s="1077">
        <v>8298541</v>
      </c>
      <c r="GFZ236" s="1077">
        <v>8298541</v>
      </c>
      <c r="GGA236" s="1077">
        <v>8298541</v>
      </c>
      <c r="GGB236" s="1077">
        <v>8298541</v>
      </c>
      <c r="GGC236" s="1077">
        <v>8298541</v>
      </c>
      <c r="GGD236" s="1077">
        <v>8298541</v>
      </c>
      <c r="GGE236" s="1077">
        <v>8298541</v>
      </c>
      <c r="GGF236" s="1077">
        <v>8298541</v>
      </c>
      <c r="GGG236" s="1077">
        <v>8298541</v>
      </c>
      <c r="GGH236" s="1077">
        <v>8298541</v>
      </c>
      <c r="GGI236" s="1077">
        <v>8298541</v>
      </c>
      <c r="GGJ236" s="1077">
        <v>8298541</v>
      </c>
      <c r="GGK236" s="1077">
        <v>8298541</v>
      </c>
      <c r="GGL236" s="1077">
        <v>8298541</v>
      </c>
      <c r="GGM236" s="1077">
        <v>8298541</v>
      </c>
      <c r="GGN236" s="1077">
        <v>8298541</v>
      </c>
      <c r="GGO236" s="1077">
        <v>8298541</v>
      </c>
      <c r="GGP236" s="1077">
        <v>8298541</v>
      </c>
      <c r="GGQ236" s="1077">
        <v>8298541</v>
      </c>
      <c r="GGR236" s="1077">
        <v>8298541</v>
      </c>
      <c r="GGS236" s="1077">
        <v>8298541</v>
      </c>
      <c r="GGT236" s="1077">
        <v>8298541</v>
      </c>
      <c r="GGU236" s="1077">
        <v>8298541</v>
      </c>
      <c r="GGV236" s="1077">
        <v>8298541</v>
      </c>
      <c r="GGW236" s="1077">
        <v>8298541</v>
      </c>
      <c r="GGX236" s="1077">
        <v>8298541</v>
      </c>
      <c r="GGY236" s="1077">
        <v>8298541</v>
      </c>
      <c r="GGZ236" s="1077">
        <v>8298541</v>
      </c>
      <c r="GHA236" s="1077">
        <v>8298541</v>
      </c>
      <c r="GHB236" s="1077">
        <v>8298541</v>
      </c>
      <c r="GHC236" s="1077">
        <v>8298541</v>
      </c>
      <c r="GHD236" s="1077">
        <v>8298541</v>
      </c>
      <c r="GHE236" s="1077">
        <v>8298541</v>
      </c>
      <c r="GHF236" s="1077">
        <v>8298541</v>
      </c>
      <c r="GHG236" s="1077">
        <v>8298541</v>
      </c>
      <c r="GHH236" s="1077">
        <v>8298541</v>
      </c>
      <c r="GHI236" s="1077">
        <v>8298541</v>
      </c>
      <c r="GHJ236" s="1077">
        <v>8298541</v>
      </c>
      <c r="GHK236" s="1077">
        <v>8298541</v>
      </c>
      <c r="GHL236" s="1077">
        <v>8298541</v>
      </c>
      <c r="GHM236" s="1077">
        <v>8298541</v>
      </c>
      <c r="GHN236" s="1077">
        <v>8298541</v>
      </c>
      <c r="GHO236" s="1077">
        <v>8298541</v>
      </c>
      <c r="GHP236" s="1077">
        <v>8298541</v>
      </c>
      <c r="GHQ236" s="1077">
        <v>8298541</v>
      </c>
      <c r="GHR236" s="1077">
        <v>8298541</v>
      </c>
      <c r="GHS236" s="1077">
        <v>8298541</v>
      </c>
      <c r="GHT236" s="1077">
        <v>8298541</v>
      </c>
      <c r="GHU236" s="1077">
        <v>8298541</v>
      </c>
      <c r="GHV236" s="1077">
        <v>8298541</v>
      </c>
      <c r="GHW236" s="1077">
        <v>8298541</v>
      </c>
      <c r="GHX236" s="1077">
        <v>8298541</v>
      </c>
      <c r="GHY236" s="1077">
        <v>8298541</v>
      </c>
      <c r="GHZ236" s="1077">
        <v>8298541</v>
      </c>
      <c r="GIA236" s="1077">
        <v>8298541</v>
      </c>
      <c r="GIB236" s="1077">
        <v>8298541</v>
      </c>
      <c r="GIC236" s="1077">
        <v>8298541</v>
      </c>
      <c r="GID236" s="1077">
        <v>8298541</v>
      </c>
      <c r="GIE236" s="1077">
        <v>8298541</v>
      </c>
      <c r="GIF236" s="1077">
        <v>8298541</v>
      </c>
      <c r="GIG236" s="1077">
        <v>8298541</v>
      </c>
      <c r="GIH236" s="1077">
        <v>8298541</v>
      </c>
      <c r="GII236" s="1077">
        <v>8298541</v>
      </c>
      <c r="GIJ236" s="1077">
        <v>8298541</v>
      </c>
      <c r="GIK236" s="1077">
        <v>8298541</v>
      </c>
      <c r="GIL236" s="1077">
        <v>8298541</v>
      </c>
      <c r="GIM236" s="1077">
        <v>8298541</v>
      </c>
      <c r="GIN236" s="1077">
        <v>8298541</v>
      </c>
      <c r="GIO236" s="1077">
        <v>8298541</v>
      </c>
      <c r="GIP236" s="1077">
        <v>8298541</v>
      </c>
      <c r="GIQ236" s="1077">
        <v>8298541</v>
      </c>
      <c r="GIR236" s="1077">
        <v>8298541</v>
      </c>
      <c r="GIS236" s="1077">
        <v>8298541</v>
      </c>
      <c r="GIT236" s="1077">
        <v>8298541</v>
      </c>
      <c r="GIU236" s="1077">
        <v>8298541</v>
      </c>
      <c r="GIV236" s="1077">
        <v>8298541</v>
      </c>
      <c r="GIW236" s="1077">
        <v>8298541</v>
      </c>
      <c r="GIX236" s="1077">
        <v>8298541</v>
      </c>
      <c r="GIY236" s="1077">
        <v>8298541</v>
      </c>
      <c r="GIZ236" s="1077">
        <v>8298541</v>
      </c>
      <c r="GJA236" s="1077">
        <v>8298541</v>
      </c>
      <c r="GJB236" s="1077">
        <v>8298541</v>
      </c>
      <c r="GJC236" s="1077">
        <v>8298541</v>
      </c>
      <c r="GJD236" s="1077">
        <v>8298541</v>
      </c>
      <c r="GJE236" s="1077">
        <v>8298541</v>
      </c>
      <c r="GJF236" s="1077">
        <v>8298541</v>
      </c>
      <c r="GJG236" s="1077">
        <v>8298541</v>
      </c>
      <c r="GJH236" s="1077">
        <v>8298541</v>
      </c>
      <c r="GJI236" s="1077">
        <v>8298541</v>
      </c>
      <c r="GJJ236" s="1077">
        <v>8298541</v>
      </c>
      <c r="GJK236" s="1077">
        <v>8298541</v>
      </c>
      <c r="GJL236" s="1077">
        <v>8298541</v>
      </c>
      <c r="GJM236" s="1077">
        <v>8298541</v>
      </c>
      <c r="GJN236" s="1077">
        <v>8298541</v>
      </c>
      <c r="GJO236" s="1077">
        <v>8298541</v>
      </c>
      <c r="GJP236" s="1077">
        <v>8298541</v>
      </c>
      <c r="GJQ236" s="1077">
        <v>8298541</v>
      </c>
      <c r="GJR236" s="1077">
        <v>8298541</v>
      </c>
      <c r="GJS236" s="1077">
        <v>8298541</v>
      </c>
      <c r="GJT236" s="1077">
        <v>8298541</v>
      </c>
      <c r="GJU236" s="1077">
        <v>8298541</v>
      </c>
      <c r="GJV236" s="1077">
        <v>8298541</v>
      </c>
      <c r="GJW236" s="1077">
        <v>8298541</v>
      </c>
      <c r="GJX236" s="1077">
        <v>8298541</v>
      </c>
      <c r="GJY236" s="1077">
        <v>8298541</v>
      </c>
      <c r="GJZ236" s="1077">
        <v>8298541</v>
      </c>
      <c r="GKA236" s="1077">
        <v>8298541</v>
      </c>
      <c r="GKB236" s="1077">
        <v>8298541</v>
      </c>
      <c r="GKC236" s="1077">
        <v>8298541</v>
      </c>
      <c r="GKD236" s="1077">
        <v>8298541</v>
      </c>
      <c r="GKE236" s="1077">
        <v>8298541</v>
      </c>
      <c r="GKF236" s="1077">
        <v>8298541</v>
      </c>
      <c r="GKG236" s="1077">
        <v>8298541</v>
      </c>
      <c r="GKH236" s="1077">
        <v>8298541</v>
      </c>
      <c r="GKI236" s="1077">
        <v>8298541</v>
      </c>
      <c r="GKJ236" s="1077">
        <v>8298541</v>
      </c>
      <c r="GKK236" s="1077">
        <v>8298541</v>
      </c>
      <c r="GKL236" s="1077">
        <v>8298541</v>
      </c>
      <c r="GKM236" s="1077">
        <v>8298541</v>
      </c>
      <c r="GKN236" s="1077">
        <v>8298541</v>
      </c>
      <c r="GKO236" s="1077">
        <v>8298541</v>
      </c>
      <c r="GKP236" s="1077">
        <v>8298541</v>
      </c>
      <c r="GKQ236" s="1077">
        <v>8298541</v>
      </c>
      <c r="GKR236" s="1077">
        <v>8298541</v>
      </c>
      <c r="GKS236" s="1077">
        <v>8298541</v>
      </c>
      <c r="GKT236" s="1077">
        <v>8298541</v>
      </c>
      <c r="GKU236" s="1077">
        <v>8298541</v>
      </c>
      <c r="GKV236" s="1077">
        <v>8298541</v>
      </c>
      <c r="GKW236" s="1077">
        <v>8298541</v>
      </c>
      <c r="GKX236" s="1077">
        <v>8298541</v>
      </c>
      <c r="GKY236" s="1077">
        <v>8298541</v>
      </c>
      <c r="GKZ236" s="1077">
        <v>8298541</v>
      </c>
      <c r="GLA236" s="1077">
        <v>8298541</v>
      </c>
      <c r="GLB236" s="1077">
        <v>8298541</v>
      </c>
      <c r="GLC236" s="1077">
        <v>8298541</v>
      </c>
      <c r="GLD236" s="1077">
        <v>8298541</v>
      </c>
      <c r="GLE236" s="1077">
        <v>8298541</v>
      </c>
      <c r="GLF236" s="1077">
        <v>8298541</v>
      </c>
      <c r="GLG236" s="1077">
        <v>8298541</v>
      </c>
      <c r="GLH236" s="1077">
        <v>8298541</v>
      </c>
      <c r="GLI236" s="1077">
        <v>8298541</v>
      </c>
      <c r="GLJ236" s="1077">
        <v>8298541</v>
      </c>
      <c r="GLK236" s="1077">
        <v>8298541</v>
      </c>
      <c r="GLL236" s="1077">
        <v>8298541</v>
      </c>
      <c r="GLM236" s="1077">
        <v>8298541</v>
      </c>
      <c r="GLN236" s="1077">
        <v>8298541</v>
      </c>
      <c r="GLO236" s="1077">
        <v>8298541</v>
      </c>
      <c r="GLP236" s="1077">
        <v>8298541</v>
      </c>
      <c r="GLQ236" s="1077">
        <v>8298541</v>
      </c>
      <c r="GLR236" s="1077">
        <v>8298541</v>
      </c>
      <c r="GLS236" s="1077">
        <v>8298541</v>
      </c>
      <c r="GLT236" s="1077">
        <v>8298541</v>
      </c>
      <c r="GLU236" s="1077">
        <v>8298541</v>
      </c>
      <c r="GLV236" s="1077">
        <v>8298541</v>
      </c>
      <c r="GLW236" s="1077">
        <v>8298541</v>
      </c>
      <c r="GLX236" s="1077">
        <v>8298541</v>
      </c>
      <c r="GLY236" s="1077">
        <v>8298541</v>
      </c>
      <c r="GLZ236" s="1077">
        <v>8298541</v>
      </c>
      <c r="GMA236" s="1077">
        <v>8298541</v>
      </c>
      <c r="GMB236" s="1077">
        <v>8298541</v>
      </c>
      <c r="GMC236" s="1077">
        <v>8298541</v>
      </c>
      <c r="GMD236" s="1077">
        <v>8298541</v>
      </c>
      <c r="GME236" s="1077">
        <v>8298541</v>
      </c>
      <c r="GMF236" s="1077">
        <v>8298541</v>
      </c>
      <c r="GMG236" s="1077">
        <v>8298541</v>
      </c>
      <c r="GMH236" s="1077">
        <v>8298541</v>
      </c>
      <c r="GMI236" s="1077">
        <v>8298541</v>
      </c>
      <c r="GMJ236" s="1077">
        <v>8298541</v>
      </c>
      <c r="GMK236" s="1077">
        <v>8298541</v>
      </c>
      <c r="GML236" s="1077">
        <v>8298541</v>
      </c>
      <c r="GMM236" s="1077">
        <v>8298541</v>
      </c>
      <c r="GMN236" s="1077">
        <v>8298541</v>
      </c>
      <c r="GMO236" s="1077">
        <v>8298541</v>
      </c>
      <c r="GMP236" s="1077">
        <v>8298541</v>
      </c>
      <c r="GMQ236" s="1077">
        <v>8298541</v>
      </c>
      <c r="GMR236" s="1077">
        <v>8298541</v>
      </c>
      <c r="GMS236" s="1077">
        <v>8298541</v>
      </c>
      <c r="GMT236" s="1077">
        <v>8298541</v>
      </c>
      <c r="GMU236" s="1077">
        <v>8298541</v>
      </c>
      <c r="GMV236" s="1077">
        <v>8298541</v>
      </c>
      <c r="GMW236" s="1077">
        <v>8298541</v>
      </c>
      <c r="GMX236" s="1077">
        <v>8298541</v>
      </c>
      <c r="GMY236" s="1077">
        <v>8298541</v>
      </c>
      <c r="GMZ236" s="1077">
        <v>8298541</v>
      </c>
      <c r="GNA236" s="1077">
        <v>8298541</v>
      </c>
      <c r="GNB236" s="1077">
        <v>8298541</v>
      </c>
      <c r="GNC236" s="1077">
        <v>8298541</v>
      </c>
      <c r="GND236" s="1077">
        <v>8298541</v>
      </c>
      <c r="GNE236" s="1077">
        <v>8298541</v>
      </c>
      <c r="GNF236" s="1077">
        <v>8298541</v>
      </c>
      <c r="GNG236" s="1077">
        <v>8298541</v>
      </c>
      <c r="GNH236" s="1077">
        <v>8298541</v>
      </c>
      <c r="GNI236" s="1077">
        <v>8298541</v>
      </c>
      <c r="GNJ236" s="1077">
        <v>8298541</v>
      </c>
      <c r="GNK236" s="1077">
        <v>8298541</v>
      </c>
      <c r="GNL236" s="1077">
        <v>8298541</v>
      </c>
      <c r="GNM236" s="1077">
        <v>8298541</v>
      </c>
      <c r="GNN236" s="1077">
        <v>8298541</v>
      </c>
      <c r="GNO236" s="1077">
        <v>8298541</v>
      </c>
      <c r="GNP236" s="1077">
        <v>8298541</v>
      </c>
      <c r="GNQ236" s="1077">
        <v>8298541</v>
      </c>
      <c r="GNR236" s="1077">
        <v>8298541</v>
      </c>
      <c r="GNS236" s="1077">
        <v>8298541</v>
      </c>
      <c r="GNT236" s="1077">
        <v>8298541</v>
      </c>
      <c r="GNU236" s="1077">
        <v>8298541</v>
      </c>
      <c r="GNV236" s="1077">
        <v>8298541</v>
      </c>
      <c r="GNW236" s="1077">
        <v>8298541</v>
      </c>
      <c r="GNX236" s="1077">
        <v>8298541</v>
      </c>
      <c r="GNY236" s="1077">
        <v>8298541</v>
      </c>
      <c r="GNZ236" s="1077">
        <v>8298541</v>
      </c>
      <c r="GOA236" s="1077">
        <v>8298541</v>
      </c>
      <c r="GOB236" s="1077">
        <v>8298541</v>
      </c>
      <c r="GOC236" s="1077">
        <v>8298541</v>
      </c>
      <c r="GOD236" s="1077">
        <v>8298541</v>
      </c>
      <c r="GOE236" s="1077">
        <v>8298541</v>
      </c>
      <c r="GOF236" s="1077">
        <v>8298541</v>
      </c>
      <c r="GOG236" s="1077">
        <v>8298541</v>
      </c>
      <c r="GOH236" s="1077">
        <v>8298541</v>
      </c>
      <c r="GOI236" s="1077">
        <v>8298541</v>
      </c>
      <c r="GOJ236" s="1077">
        <v>8298541</v>
      </c>
      <c r="GOK236" s="1077">
        <v>8298541</v>
      </c>
      <c r="GOL236" s="1077">
        <v>8298541</v>
      </c>
      <c r="GOM236" s="1077">
        <v>8298541</v>
      </c>
      <c r="GON236" s="1077">
        <v>8298541</v>
      </c>
      <c r="GOO236" s="1077">
        <v>8298541</v>
      </c>
      <c r="GOP236" s="1077">
        <v>8298541</v>
      </c>
      <c r="GOQ236" s="1077">
        <v>8298541</v>
      </c>
      <c r="GOR236" s="1077">
        <v>8298541</v>
      </c>
      <c r="GOS236" s="1077">
        <v>8298541</v>
      </c>
      <c r="GOT236" s="1077">
        <v>8298541</v>
      </c>
      <c r="GOU236" s="1077">
        <v>8298541</v>
      </c>
      <c r="GOV236" s="1077">
        <v>8298541</v>
      </c>
      <c r="GOW236" s="1077">
        <v>8298541</v>
      </c>
      <c r="GOX236" s="1077">
        <v>8298541</v>
      </c>
      <c r="GOY236" s="1077">
        <v>8298541</v>
      </c>
      <c r="GOZ236" s="1077">
        <v>8298541</v>
      </c>
      <c r="GPA236" s="1077">
        <v>8298541</v>
      </c>
      <c r="GPB236" s="1077">
        <v>8298541</v>
      </c>
      <c r="GPC236" s="1077">
        <v>8298541</v>
      </c>
      <c r="GPD236" s="1077">
        <v>8298541</v>
      </c>
      <c r="GPE236" s="1077">
        <v>8298541</v>
      </c>
      <c r="GPF236" s="1077">
        <v>8298541</v>
      </c>
      <c r="GPG236" s="1077">
        <v>8298541</v>
      </c>
      <c r="GPH236" s="1077">
        <v>8298541</v>
      </c>
      <c r="GPI236" s="1077">
        <v>8298541</v>
      </c>
      <c r="GPJ236" s="1077">
        <v>8298541</v>
      </c>
      <c r="GPK236" s="1077">
        <v>8298541</v>
      </c>
      <c r="GPL236" s="1077">
        <v>8298541</v>
      </c>
      <c r="GPM236" s="1077">
        <v>8298541</v>
      </c>
      <c r="GPN236" s="1077">
        <v>8298541</v>
      </c>
      <c r="GPO236" s="1077">
        <v>8298541</v>
      </c>
      <c r="GPP236" s="1077">
        <v>8298541</v>
      </c>
      <c r="GPQ236" s="1077">
        <v>8298541</v>
      </c>
      <c r="GPR236" s="1077">
        <v>8298541</v>
      </c>
      <c r="GPS236" s="1077">
        <v>8298541</v>
      </c>
      <c r="GPT236" s="1077">
        <v>8298541</v>
      </c>
      <c r="GPU236" s="1077">
        <v>8298541</v>
      </c>
      <c r="GPV236" s="1077">
        <v>8298541</v>
      </c>
      <c r="GPW236" s="1077">
        <v>8298541</v>
      </c>
      <c r="GPX236" s="1077">
        <v>8298541</v>
      </c>
      <c r="GPY236" s="1077">
        <v>8298541</v>
      </c>
      <c r="GPZ236" s="1077">
        <v>8298541</v>
      </c>
      <c r="GQA236" s="1077">
        <v>8298541</v>
      </c>
      <c r="GQB236" s="1077">
        <v>8298541</v>
      </c>
      <c r="GQC236" s="1077">
        <v>8298541</v>
      </c>
      <c r="GQD236" s="1077">
        <v>8298541</v>
      </c>
      <c r="GQE236" s="1077">
        <v>8298541</v>
      </c>
      <c r="GQF236" s="1077">
        <v>8298541</v>
      </c>
      <c r="GQG236" s="1077">
        <v>8298541</v>
      </c>
      <c r="GQH236" s="1077">
        <v>8298541</v>
      </c>
      <c r="GQI236" s="1077">
        <v>8298541</v>
      </c>
      <c r="GQJ236" s="1077">
        <v>8298541</v>
      </c>
      <c r="GQK236" s="1077">
        <v>8298541</v>
      </c>
      <c r="GQL236" s="1077">
        <v>8298541</v>
      </c>
      <c r="GQM236" s="1077">
        <v>8298541</v>
      </c>
      <c r="GQN236" s="1077">
        <v>8298541</v>
      </c>
      <c r="GQO236" s="1077">
        <v>8298541</v>
      </c>
      <c r="GQP236" s="1077">
        <v>8298541</v>
      </c>
      <c r="GQQ236" s="1077">
        <v>8298541</v>
      </c>
      <c r="GQR236" s="1077">
        <v>8298541</v>
      </c>
      <c r="GQS236" s="1077">
        <v>8298541</v>
      </c>
      <c r="GQT236" s="1077">
        <v>8298541</v>
      </c>
      <c r="GQU236" s="1077">
        <v>8298541</v>
      </c>
      <c r="GQV236" s="1077">
        <v>8298541</v>
      </c>
      <c r="GQW236" s="1077">
        <v>8298541</v>
      </c>
      <c r="GQX236" s="1077">
        <v>8298541</v>
      </c>
      <c r="GQY236" s="1077">
        <v>8298541</v>
      </c>
      <c r="GQZ236" s="1077">
        <v>8298541</v>
      </c>
      <c r="GRA236" s="1077">
        <v>8298541</v>
      </c>
      <c r="GRB236" s="1077">
        <v>8298541</v>
      </c>
      <c r="GRC236" s="1077">
        <v>8298541</v>
      </c>
      <c r="GRD236" s="1077">
        <v>8298541</v>
      </c>
      <c r="GRE236" s="1077">
        <v>8298541</v>
      </c>
      <c r="GRF236" s="1077">
        <v>8298541</v>
      </c>
      <c r="GRG236" s="1077">
        <v>8298541</v>
      </c>
      <c r="GRH236" s="1077">
        <v>8298541</v>
      </c>
      <c r="GRI236" s="1077">
        <v>8298541</v>
      </c>
      <c r="GRJ236" s="1077">
        <v>8298541</v>
      </c>
      <c r="GRK236" s="1077">
        <v>8298541</v>
      </c>
      <c r="GRL236" s="1077">
        <v>8298541</v>
      </c>
      <c r="GRM236" s="1077">
        <v>8298541</v>
      </c>
      <c r="GRN236" s="1077">
        <v>8298541</v>
      </c>
      <c r="GRO236" s="1077">
        <v>8298541</v>
      </c>
      <c r="GRP236" s="1077">
        <v>8298541</v>
      </c>
      <c r="GRQ236" s="1077">
        <v>8298541</v>
      </c>
      <c r="GRR236" s="1077">
        <v>8298541</v>
      </c>
      <c r="GRS236" s="1077">
        <v>8298541</v>
      </c>
      <c r="GRT236" s="1077">
        <v>8298541</v>
      </c>
      <c r="GRU236" s="1077">
        <v>8298541</v>
      </c>
      <c r="GRV236" s="1077">
        <v>8298541</v>
      </c>
      <c r="GRW236" s="1077">
        <v>8298541</v>
      </c>
      <c r="GRX236" s="1077">
        <v>8298541</v>
      </c>
      <c r="GRY236" s="1077">
        <v>8298541</v>
      </c>
      <c r="GRZ236" s="1077">
        <v>8298541</v>
      </c>
      <c r="GSA236" s="1077">
        <v>8298541</v>
      </c>
      <c r="GSB236" s="1077">
        <v>8298541</v>
      </c>
      <c r="GSC236" s="1077">
        <v>8298541</v>
      </c>
      <c r="GSD236" s="1077">
        <v>8298541</v>
      </c>
      <c r="GSE236" s="1077">
        <v>8298541</v>
      </c>
      <c r="GSF236" s="1077">
        <v>8298541</v>
      </c>
      <c r="GSG236" s="1077">
        <v>8298541</v>
      </c>
      <c r="GSH236" s="1077">
        <v>8298541</v>
      </c>
      <c r="GSI236" s="1077">
        <v>8298541</v>
      </c>
      <c r="GSJ236" s="1077">
        <v>8298541</v>
      </c>
      <c r="GSK236" s="1077">
        <v>8298541</v>
      </c>
      <c r="GSL236" s="1077">
        <v>8298541</v>
      </c>
      <c r="GSM236" s="1077">
        <v>8298541</v>
      </c>
      <c r="GSN236" s="1077">
        <v>8298541</v>
      </c>
      <c r="GSO236" s="1077">
        <v>8298541</v>
      </c>
      <c r="GSP236" s="1077">
        <v>8298541</v>
      </c>
      <c r="GSQ236" s="1077">
        <v>8298541</v>
      </c>
      <c r="GSR236" s="1077">
        <v>8298541</v>
      </c>
      <c r="GSS236" s="1077">
        <v>8298541</v>
      </c>
      <c r="GST236" s="1077">
        <v>8298541</v>
      </c>
      <c r="GSU236" s="1077">
        <v>8298541</v>
      </c>
      <c r="GSV236" s="1077">
        <v>8298541</v>
      </c>
      <c r="GSW236" s="1077">
        <v>8298541</v>
      </c>
      <c r="GSX236" s="1077">
        <v>8298541</v>
      </c>
      <c r="GSY236" s="1077">
        <v>8298541</v>
      </c>
      <c r="GSZ236" s="1077">
        <v>8298541</v>
      </c>
      <c r="GTA236" s="1077">
        <v>8298541</v>
      </c>
      <c r="GTB236" s="1077">
        <v>8298541</v>
      </c>
      <c r="GTC236" s="1077">
        <v>8298541</v>
      </c>
      <c r="GTD236" s="1077">
        <v>8298541</v>
      </c>
      <c r="GTE236" s="1077">
        <v>8298541</v>
      </c>
      <c r="GTF236" s="1077">
        <v>8298541</v>
      </c>
      <c r="GTG236" s="1077">
        <v>8298541</v>
      </c>
      <c r="GTH236" s="1077">
        <v>8298541</v>
      </c>
      <c r="GTI236" s="1077">
        <v>8298541</v>
      </c>
      <c r="GTJ236" s="1077">
        <v>8298541</v>
      </c>
      <c r="GTK236" s="1077">
        <v>8298541</v>
      </c>
      <c r="GTL236" s="1077">
        <v>8298541</v>
      </c>
      <c r="GTM236" s="1077">
        <v>8298541</v>
      </c>
      <c r="GTN236" s="1077">
        <v>8298541</v>
      </c>
      <c r="GTO236" s="1077">
        <v>8298541</v>
      </c>
      <c r="GTP236" s="1077">
        <v>8298541</v>
      </c>
      <c r="GTQ236" s="1077">
        <v>8298541</v>
      </c>
      <c r="GTR236" s="1077">
        <v>8298541</v>
      </c>
      <c r="GTS236" s="1077">
        <v>8298541</v>
      </c>
      <c r="GTT236" s="1077">
        <v>8298541</v>
      </c>
      <c r="GTU236" s="1077">
        <v>8298541</v>
      </c>
      <c r="GTV236" s="1077">
        <v>8298541</v>
      </c>
      <c r="GTW236" s="1077">
        <v>8298541</v>
      </c>
      <c r="GTX236" s="1077">
        <v>8298541</v>
      </c>
      <c r="GTY236" s="1077">
        <v>8298541</v>
      </c>
      <c r="GTZ236" s="1077">
        <v>8298541</v>
      </c>
      <c r="GUA236" s="1077">
        <v>8298541</v>
      </c>
      <c r="GUB236" s="1077">
        <v>8298541</v>
      </c>
      <c r="GUC236" s="1077">
        <v>8298541</v>
      </c>
      <c r="GUD236" s="1077">
        <v>8298541</v>
      </c>
      <c r="GUE236" s="1077">
        <v>8298541</v>
      </c>
      <c r="GUF236" s="1077">
        <v>8298541</v>
      </c>
      <c r="GUG236" s="1077">
        <v>8298541</v>
      </c>
      <c r="GUH236" s="1077">
        <v>8298541</v>
      </c>
      <c r="GUI236" s="1077">
        <v>8298541</v>
      </c>
      <c r="GUJ236" s="1077">
        <v>8298541</v>
      </c>
      <c r="GUK236" s="1077">
        <v>8298541</v>
      </c>
      <c r="GUL236" s="1077">
        <v>8298541</v>
      </c>
      <c r="GUM236" s="1077">
        <v>8298541</v>
      </c>
      <c r="GUN236" s="1077">
        <v>8298541</v>
      </c>
      <c r="GUO236" s="1077">
        <v>8298541</v>
      </c>
      <c r="GUP236" s="1077">
        <v>8298541</v>
      </c>
      <c r="GUQ236" s="1077">
        <v>8298541</v>
      </c>
      <c r="GUR236" s="1077">
        <v>8298541</v>
      </c>
      <c r="GUS236" s="1077">
        <v>8298541</v>
      </c>
      <c r="GUT236" s="1077">
        <v>8298541</v>
      </c>
      <c r="GUU236" s="1077">
        <v>8298541</v>
      </c>
      <c r="GUV236" s="1077">
        <v>8298541</v>
      </c>
      <c r="GUW236" s="1077">
        <v>8298541</v>
      </c>
      <c r="GUX236" s="1077">
        <v>8298541</v>
      </c>
      <c r="GUY236" s="1077">
        <v>8298541</v>
      </c>
      <c r="GUZ236" s="1077">
        <v>8298541</v>
      </c>
      <c r="GVA236" s="1077">
        <v>8298541</v>
      </c>
      <c r="GVB236" s="1077">
        <v>8298541</v>
      </c>
      <c r="GVC236" s="1077">
        <v>8298541</v>
      </c>
      <c r="GVD236" s="1077">
        <v>8298541</v>
      </c>
      <c r="GVE236" s="1077">
        <v>8298541</v>
      </c>
      <c r="GVF236" s="1077">
        <v>8298541</v>
      </c>
      <c r="GVG236" s="1077">
        <v>8298541</v>
      </c>
      <c r="GVH236" s="1077">
        <v>8298541</v>
      </c>
      <c r="GVI236" s="1077">
        <v>8298541</v>
      </c>
      <c r="GVJ236" s="1077">
        <v>8298541</v>
      </c>
      <c r="GVK236" s="1077">
        <v>8298541</v>
      </c>
      <c r="GVL236" s="1077">
        <v>8298541</v>
      </c>
      <c r="GVM236" s="1077">
        <v>8298541</v>
      </c>
      <c r="GVN236" s="1077">
        <v>8298541</v>
      </c>
      <c r="GVO236" s="1077">
        <v>8298541</v>
      </c>
      <c r="GVP236" s="1077">
        <v>8298541</v>
      </c>
      <c r="GVQ236" s="1077">
        <v>8298541</v>
      </c>
      <c r="GVR236" s="1077">
        <v>8298541</v>
      </c>
      <c r="GVS236" s="1077">
        <v>8298541</v>
      </c>
      <c r="GVT236" s="1077">
        <v>8298541</v>
      </c>
      <c r="GVU236" s="1077">
        <v>8298541</v>
      </c>
      <c r="GVV236" s="1077">
        <v>8298541</v>
      </c>
      <c r="GVW236" s="1077">
        <v>8298541</v>
      </c>
      <c r="GVX236" s="1077">
        <v>8298541</v>
      </c>
      <c r="GVY236" s="1077">
        <v>8298541</v>
      </c>
      <c r="GVZ236" s="1077">
        <v>8298541</v>
      </c>
      <c r="GWA236" s="1077">
        <v>8298541</v>
      </c>
      <c r="GWB236" s="1077">
        <v>8298541</v>
      </c>
      <c r="GWC236" s="1077">
        <v>8298541</v>
      </c>
      <c r="GWD236" s="1077">
        <v>8298541</v>
      </c>
      <c r="GWE236" s="1077">
        <v>8298541</v>
      </c>
      <c r="GWF236" s="1077">
        <v>8298541</v>
      </c>
      <c r="GWG236" s="1077">
        <v>8298541</v>
      </c>
      <c r="GWH236" s="1077">
        <v>8298541</v>
      </c>
      <c r="GWI236" s="1077">
        <v>8298541</v>
      </c>
      <c r="GWJ236" s="1077">
        <v>8298541</v>
      </c>
      <c r="GWK236" s="1077">
        <v>8298541</v>
      </c>
      <c r="GWL236" s="1077">
        <v>8298541</v>
      </c>
      <c r="GWM236" s="1077">
        <v>8298541</v>
      </c>
      <c r="GWN236" s="1077">
        <v>8298541</v>
      </c>
      <c r="GWO236" s="1077">
        <v>8298541</v>
      </c>
      <c r="GWP236" s="1077">
        <v>8298541</v>
      </c>
      <c r="GWQ236" s="1077">
        <v>8298541</v>
      </c>
      <c r="GWR236" s="1077">
        <v>8298541</v>
      </c>
      <c r="GWS236" s="1077">
        <v>8298541</v>
      </c>
      <c r="GWT236" s="1077">
        <v>8298541</v>
      </c>
      <c r="GWU236" s="1077">
        <v>8298541</v>
      </c>
      <c r="GWV236" s="1077">
        <v>8298541</v>
      </c>
      <c r="GWW236" s="1077">
        <v>8298541</v>
      </c>
      <c r="GWX236" s="1077">
        <v>8298541</v>
      </c>
      <c r="GWY236" s="1077">
        <v>8298541</v>
      </c>
      <c r="GWZ236" s="1077">
        <v>8298541</v>
      </c>
      <c r="GXA236" s="1077">
        <v>8298541</v>
      </c>
      <c r="GXB236" s="1077">
        <v>8298541</v>
      </c>
      <c r="GXC236" s="1077">
        <v>8298541</v>
      </c>
      <c r="GXD236" s="1077">
        <v>8298541</v>
      </c>
      <c r="GXE236" s="1077">
        <v>8298541</v>
      </c>
      <c r="GXF236" s="1077">
        <v>8298541</v>
      </c>
      <c r="GXG236" s="1077">
        <v>8298541</v>
      </c>
      <c r="GXH236" s="1077">
        <v>8298541</v>
      </c>
      <c r="GXI236" s="1077">
        <v>8298541</v>
      </c>
      <c r="GXJ236" s="1077">
        <v>8298541</v>
      </c>
      <c r="GXK236" s="1077">
        <v>8298541</v>
      </c>
      <c r="GXL236" s="1077">
        <v>8298541</v>
      </c>
      <c r="GXM236" s="1077">
        <v>8298541</v>
      </c>
      <c r="GXN236" s="1077">
        <v>8298541</v>
      </c>
      <c r="GXO236" s="1077">
        <v>8298541</v>
      </c>
      <c r="GXP236" s="1077">
        <v>8298541</v>
      </c>
      <c r="GXQ236" s="1077">
        <v>8298541</v>
      </c>
      <c r="GXR236" s="1077">
        <v>8298541</v>
      </c>
      <c r="GXS236" s="1077">
        <v>8298541</v>
      </c>
      <c r="GXT236" s="1077">
        <v>8298541</v>
      </c>
      <c r="GXU236" s="1077">
        <v>8298541</v>
      </c>
      <c r="GXV236" s="1077">
        <v>8298541</v>
      </c>
      <c r="GXW236" s="1077">
        <v>8298541</v>
      </c>
      <c r="GXX236" s="1077">
        <v>8298541</v>
      </c>
      <c r="GXY236" s="1077">
        <v>8298541</v>
      </c>
      <c r="GXZ236" s="1077">
        <v>8298541</v>
      </c>
      <c r="GYA236" s="1077">
        <v>8298541</v>
      </c>
      <c r="GYB236" s="1077">
        <v>8298541</v>
      </c>
      <c r="GYC236" s="1077">
        <v>8298541</v>
      </c>
      <c r="GYD236" s="1077">
        <v>8298541</v>
      </c>
      <c r="GYE236" s="1077">
        <v>8298541</v>
      </c>
      <c r="GYF236" s="1077">
        <v>8298541</v>
      </c>
      <c r="GYG236" s="1077">
        <v>8298541</v>
      </c>
      <c r="GYH236" s="1077">
        <v>8298541</v>
      </c>
      <c r="GYI236" s="1077">
        <v>8298541</v>
      </c>
      <c r="GYJ236" s="1077">
        <v>8298541</v>
      </c>
      <c r="GYK236" s="1077">
        <v>8298541</v>
      </c>
      <c r="GYL236" s="1077">
        <v>8298541</v>
      </c>
      <c r="GYM236" s="1077">
        <v>8298541</v>
      </c>
      <c r="GYN236" s="1077">
        <v>8298541</v>
      </c>
      <c r="GYO236" s="1077">
        <v>8298541</v>
      </c>
      <c r="GYP236" s="1077">
        <v>8298541</v>
      </c>
      <c r="GYQ236" s="1077">
        <v>8298541</v>
      </c>
      <c r="GYR236" s="1077">
        <v>8298541</v>
      </c>
      <c r="GYS236" s="1077">
        <v>8298541</v>
      </c>
      <c r="GYT236" s="1077">
        <v>8298541</v>
      </c>
      <c r="GYU236" s="1077">
        <v>8298541</v>
      </c>
      <c r="GYV236" s="1077">
        <v>8298541</v>
      </c>
      <c r="GYW236" s="1077">
        <v>8298541</v>
      </c>
      <c r="GYX236" s="1077">
        <v>8298541</v>
      </c>
      <c r="GYY236" s="1077">
        <v>8298541</v>
      </c>
      <c r="GYZ236" s="1077">
        <v>8298541</v>
      </c>
      <c r="GZA236" s="1077">
        <v>8298541</v>
      </c>
      <c r="GZB236" s="1077">
        <v>8298541</v>
      </c>
      <c r="GZC236" s="1077">
        <v>8298541</v>
      </c>
      <c r="GZD236" s="1077">
        <v>8298541</v>
      </c>
      <c r="GZE236" s="1077">
        <v>8298541</v>
      </c>
      <c r="GZF236" s="1077">
        <v>8298541</v>
      </c>
      <c r="GZG236" s="1077">
        <v>8298541</v>
      </c>
      <c r="GZH236" s="1077">
        <v>8298541</v>
      </c>
      <c r="GZI236" s="1077">
        <v>8298541</v>
      </c>
      <c r="GZJ236" s="1077">
        <v>8298541</v>
      </c>
      <c r="GZK236" s="1077">
        <v>8298541</v>
      </c>
      <c r="GZL236" s="1077">
        <v>8298541</v>
      </c>
      <c r="GZM236" s="1077">
        <v>8298541</v>
      </c>
      <c r="GZN236" s="1077">
        <v>8298541</v>
      </c>
      <c r="GZO236" s="1077">
        <v>8298541</v>
      </c>
      <c r="GZP236" s="1077">
        <v>8298541</v>
      </c>
      <c r="GZQ236" s="1077">
        <v>8298541</v>
      </c>
      <c r="GZR236" s="1077">
        <v>8298541</v>
      </c>
      <c r="GZS236" s="1077">
        <v>8298541</v>
      </c>
      <c r="GZT236" s="1077">
        <v>8298541</v>
      </c>
      <c r="GZU236" s="1077">
        <v>8298541</v>
      </c>
      <c r="GZV236" s="1077">
        <v>8298541</v>
      </c>
      <c r="GZW236" s="1077">
        <v>8298541</v>
      </c>
      <c r="GZX236" s="1077">
        <v>8298541</v>
      </c>
      <c r="GZY236" s="1077">
        <v>8298541</v>
      </c>
      <c r="GZZ236" s="1077">
        <v>8298541</v>
      </c>
      <c r="HAA236" s="1077">
        <v>8298541</v>
      </c>
      <c r="HAB236" s="1077">
        <v>8298541</v>
      </c>
      <c r="HAC236" s="1077">
        <v>8298541</v>
      </c>
      <c r="HAD236" s="1077">
        <v>8298541</v>
      </c>
      <c r="HAE236" s="1077">
        <v>8298541</v>
      </c>
      <c r="HAF236" s="1077">
        <v>8298541</v>
      </c>
      <c r="HAG236" s="1077">
        <v>8298541</v>
      </c>
      <c r="HAH236" s="1077">
        <v>8298541</v>
      </c>
      <c r="HAI236" s="1077">
        <v>8298541</v>
      </c>
      <c r="HAJ236" s="1077">
        <v>8298541</v>
      </c>
      <c r="HAK236" s="1077">
        <v>8298541</v>
      </c>
      <c r="HAL236" s="1077">
        <v>8298541</v>
      </c>
      <c r="HAM236" s="1077">
        <v>8298541</v>
      </c>
      <c r="HAN236" s="1077">
        <v>8298541</v>
      </c>
      <c r="HAO236" s="1077">
        <v>8298541</v>
      </c>
      <c r="HAP236" s="1077">
        <v>8298541</v>
      </c>
      <c r="HAQ236" s="1077">
        <v>8298541</v>
      </c>
      <c r="HAR236" s="1077">
        <v>8298541</v>
      </c>
      <c r="HAS236" s="1077">
        <v>8298541</v>
      </c>
      <c r="HAT236" s="1077">
        <v>8298541</v>
      </c>
      <c r="HAU236" s="1077">
        <v>8298541</v>
      </c>
      <c r="HAV236" s="1077">
        <v>8298541</v>
      </c>
      <c r="HAW236" s="1077">
        <v>8298541</v>
      </c>
      <c r="HAX236" s="1077">
        <v>8298541</v>
      </c>
      <c r="HAY236" s="1077">
        <v>8298541</v>
      </c>
      <c r="HAZ236" s="1077">
        <v>8298541</v>
      </c>
      <c r="HBA236" s="1077">
        <v>8298541</v>
      </c>
      <c r="HBB236" s="1077">
        <v>8298541</v>
      </c>
      <c r="HBC236" s="1077">
        <v>8298541</v>
      </c>
      <c r="HBD236" s="1077">
        <v>8298541</v>
      </c>
      <c r="HBE236" s="1077">
        <v>8298541</v>
      </c>
      <c r="HBF236" s="1077">
        <v>8298541</v>
      </c>
      <c r="HBG236" s="1077">
        <v>8298541</v>
      </c>
      <c r="HBH236" s="1077">
        <v>8298541</v>
      </c>
      <c r="HBI236" s="1077">
        <v>8298541</v>
      </c>
      <c r="HBJ236" s="1077">
        <v>8298541</v>
      </c>
      <c r="HBK236" s="1077">
        <v>8298541</v>
      </c>
      <c r="HBL236" s="1077">
        <v>8298541</v>
      </c>
      <c r="HBM236" s="1077">
        <v>8298541</v>
      </c>
      <c r="HBN236" s="1077">
        <v>8298541</v>
      </c>
      <c r="HBO236" s="1077">
        <v>8298541</v>
      </c>
      <c r="HBP236" s="1077">
        <v>8298541</v>
      </c>
      <c r="HBQ236" s="1077">
        <v>8298541</v>
      </c>
      <c r="HBR236" s="1077">
        <v>8298541</v>
      </c>
      <c r="HBS236" s="1077">
        <v>8298541</v>
      </c>
      <c r="HBT236" s="1077">
        <v>8298541</v>
      </c>
      <c r="HBU236" s="1077">
        <v>8298541</v>
      </c>
      <c r="HBV236" s="1077">
        <v>8298541</v>
      </c>
      <c r="HBW236" s="1077">
        <v>8298541</v>
      </c>
      <c r="HBX236" s="1077">
        <v>8298541</v>
      </c>
      <c r="HBY236" s="1077">
        <v>8298541</v>
      </c>
      <c r="HBZ236" s="1077">
        <v>8298541</v>
      </c>
      <c r="HCA236" s="1077">
        <v>8298541</v>
      </c>
      <c r="HCB236" s="1077">
        <v>8298541</v>
      </c>
      <c r="HCC236" s="1077">
        <v>8298541</v>
      </c>
      <c r="HCD236" s="1077">
        <v>8298541</v>
      </c>
      <c r="HCE236" s="1077">
        <v>8298541</v>
      </c>
      <c r="HCF236" s="1077">
        <v>8298541</v>
      </c>
      <c r="HCG236" s="1077">
        <v>8298541</v>
      </c>
      <c r="HCH236" s="1077">
        <v>8298541</v>
      </c>
      <c r="HCI236" s="1077">
        <v>8298541</v>
      </c>
      <c r="HCJ236" s="1077">
        <v>8298541</v>
      </c>
      <c r="HCK236" s="1077">
        <v>8298541</v>
      </c>
      <c r="HCL236" s="1077">
        <v>8298541</v>
      </c>
      <c r="HCM236" s="1077">
        <v>8298541</v>
      </c>
      <c r="HCN236" s="1077">
        <v>8298541</v>
      </c>
      <c r="HCO236" s="1077">
        <v>8298541</v>
      </c>
      <c r="HCP236" s="1077">
        <v>8298541</v>
      </c>
      <c r="HCQ236" s="1077">
        <v>8298541</v>
      </c>
      <c r="HCR236" s="1077">
        <v>8298541</v>
      </c>
      <c r="HCS236" s="1077">
        <v>8298541</v>
      </c>
      <c r="HCT236" s="1077">
        <v>8298541</v>
      </c>
      <c r="HCU236" s="1077">
        <v>8298541</v>
      </c>
      <c r="HCV236" s="1077">
        <v>8298541</v>
      </c>
      <c r="HCW236" s="1077">
        <v>8298541</v>
      </c>
      <c r="HCX236" s="1077">
        <v>8298541</v>
      </c>
      <c r="HCY236" s="1077">
        <v>8298541</v>
      </c>
      <c r="HCZ236" s="1077">
        <v>8298541</v>
      </c>
      <c r="HDA236" s="1077">
        <v>8298541</v>
      </c>
      <c r="HDB236" s="1077">
        <v>8298541</v>
      </c>
      <c r="HDC236" s="1077">
        <v>8298541</v>
      </c>
      <c r="HDD236" s="1077">
        <v>8298541</v>
      </c>
      <c r="HDE236" s="1077">
        <v>8298541</v>
      </c>
      <c r="HDF236" s="1077">
        <v>8298541</v>
      </c>
      <c r="HDG236" s="1077">
        <v>8298541</v>
      </c>
      <c r="HDH236" s="1077">
        <v>8298541</v>
      </c>
      <c r="HDI236" s="1077">
        <v>8298541</v>
      </c>
      <c r="HDJ236" s="1077">
        <v>8298541</v>
      </c>
      <c r="HDK236" s="1077">
        <v>8298541</v>
      </c>
      <c r="HDL236" s="1077">
        <v>8298541</v>
      </c>
      <c r="HDM236" s="1077">
        <v>8298541</v>
      </c>
      <c r="HDN236" s="1077">
        <v>8298541</v>
      </c>
      <c r="HDO236" s="1077">
        <v>8298541</v>
      </c>
      <c r="HDP236" s="1077">
        <v>8298541</v>
      </c>
      <c r="HDQ236" s="1077">
        <v>8298541</v>
      </c>
      <c r="HDR236" s="1077">
        <v>8298541</v>
      </c>
      <c r="HDS236" s="1077">
        <v>8298541</v>
      </c>
      <c r="HDT236" s="1077">
        <v>8298541</v>
      </c>
      <c r="HDU236" s="1077">
        <v>8298541</v>
      </c>
      <c r="HDV236" s="1077">
        <v>8298541</v>
      </c>
      <c r="HDW236" s="1077">
        <v>8298541</v>
      </c>
      <c r="HDX236" s="1077">
        <v>8298541</v>
      </c>
      <c r="HDY236" s="1077">
        <v>8298541</v>
      </c>
      <c r="HDZ236" s="1077">
        <v>8298541</v>
      </c>
      <c r="HEA236" s="1077">
        <v>8298541</v>
      </c>
      <c r="HEB236" s="1077">
        <v>8298541</v>
      </c>
      <c r="HEC236" s="1077">
        <v>8298541</v>
      </c>
      <c r="HED236" s="1077">
        <v>8298541</v>
      </c>
      <c r="HEE236" s="1077">
        <v>8298541</v>
      </c>
      <c r="HEF236" s="1077">
        <v>8298541</v>
      </c>
      <c r="HEG236" s="1077">
        <v>8298541</v>
      </c>
      <c r="HEH236" s="1077">
        <v>8298541</v>
      </c>
      <c r="HEI236" s="1077">
        <v>8298541</v>
      </c>
      <c r="HEJ236" s="1077">
        <v>8298541</v>
      </c>
      <c r="HEK236" s="1077">
        <v>8298541</v>
      </c>
      <c r="HEL236" s="1077">
        <v>8298541</v>
      </c>
      <c r="HEM236" s="1077">
        <v>8298541</v>
      </c>
      <c r="HEN236" s="1077">
        <v>8298541</v>
      </c>
      <c r="HEO236" s="1077">
        <v>8298541</v>
      </c>
      <c r="HEP236" s="1077">
        <v>8298541</v>
      </c>
      <c r="HEQ236" s="1077">
        <v>8298541</v>
      </c>
      <c r="HER236" s="1077">
        <v>8298541</v>
      </c>
      <c r="HES236" s="1077">
        <v>8298541</v>
      </c>
      <c r="HET236" s="1077">
        <v>8298541</v>
      </c>
      <c r="HEU236" s="1077">
        <v>8298541</v>
      </c>
      <c r="HEV236" s="1077">
        <v>8298541</v>
      </c>
      <c r="HEW236" s="1077">
        <v>8298541</v>
      </c>
      <c r="HEX236" s="1077">
        <v>8298541</v>
      </c>
      <c r="HEY236" s="1077">
        <v>8298541</v>
      </c>
      <c r="HEZ236" s="1077">
        <v>8298541</v>
      </c>
      <c r="HFA236" s="1077">
        <v>8298541</v>
      </c>
      <c r="HFB236" s="1077">
        <v>8298541</v>
      </c>
      <c r="HFC236" s="1077">
        <v>8298541</v>
      </c>
      <c r="HFD236" s="1077">
        <v>8298541</v>
      </c>
      <c r="HFE236" s="1077">
        <v>8298541</v>
      </c>
      <c r="HFF236" s="1077">
        <v>8298541</v>
      </c>
      <c r="HFG236" s="1077">
        <v>8298541</v>
      </c>
      <c r="HFH236" s="1077">
        <v>8298541</v>
      </c>
      <c r="HFI236" s="1077">
        <v>8298541</v>
      </c>
      <c r="HFJ236" s="1077">
        <v>8298541</v>
      </c>
      <c r="HFK236" s="1077">
        <v>8298541</v>
      </c>
      <c r="HFL236" s="1077">
        <v>8298541</v>
      </c>
      <c r="HFM236" s="1077">
        <v>8298541</v>
      </c>
      <c r="HFN236" s="1077">
        <v>8298541</v>
      </c>
      <c r="HFO236" s="1077">
        <v>8298541</v>
      </c>
      <c r="HFP236" s="1077">
        <v>8298541</v>
      </c>
      <c r="HFQ236" s="1077">
        <v>8298541</v>
      </c>
      <c r="HFR236" s="1077">
        <v>8298541</v>
      </c>
      <c r="HFS236" s="1077">
        <v>8298541</v>
      </c>
      <c r="HFT236" s="1077">
        <v>8298541</v>
      </c>
      <c r="HFU236" s="1077">
        <v>8298541</v>
      </c>
      <c r="HFV236" s="1077">
        <v>8298541</v>
      </c>
      <c r="HFW236" s="1077">
        <v>8298541</v>
      </c>
      <c r="HFX236" s="1077">
        <v>8298541</v>
      </c>
      <c r="HFY236" s="1077">
        <v>8298541</v>
      </c>
      <c r="HFZ236" s="1077">
        <v>8298541</v>
      </c>
      <c r="HGA236" s="1077">
        <v>8298541</v>
      </c>
      <c r="HGB236" s="1077">
        <v>8298541</v>
      </c>
      <c r="HGC236" s="1077">
        <v>8298541</v>
      </c>
      <c r="HGD236" s="1077">
        <v>8298541</v>
      </c>
      <c r="HGE236" s="1077">
        <v>8298541</v>
      </c>
      <c r="HGF236" s="1077">
        <v>8298541</v>
      </c>
      <c r="HGG236" s="1077">
        <v>8298541</v>
      </c>
      <c r="HGH236" s="1077">
        <v>8298541</v>
      </c>
      <c r="HGI236" s="1077">
        <v>8298541</v>
      </c>
      <c r="HGJ236" s="1077">
        <v>8298541</v>
      </c>
      <c r="HGK236" s="1077">
        <v>8298541</v>
      </c>
      <c r="HGL236" s="1077">
        <v>8298541</v>
      </c>
      <c r="HGM236" s="1077">
        <v>8298541</v>
      </c>
      <c r="HGN236" s="1077">
        <v>8298541</v>
      </c>
      <c r="HGO236" s="1077">
        <v>8298541</v>
      </c>
      <c r="HGP236" s="1077">
        <v>8298541</v>
      </c>
      <c r="HGQ236" s="1077">
        <v>8298541</v>
      </c>
      <c r="HGR236" s="1077">
        <v>8298541</v>
      </c>
      <c r="HGS236" s="1077">
        <v>8298541</v>
      </c>
      <c r="HGT236" s="1077">
        <v>8298541</v>
      </c>
      <c r="HGU236" s="1077">
        <v>8298541</v>
      </c>
      <c r="HGV236" s="1077">
        <v>8298541</v>
      </c>
      <c r="HGW236" s="1077">
        <v>8298541</v>
      </c>
      <c r="HGX236" s="1077">
        <v>8298541</v>
      </c>
      <c r="HGY236" s="1077">
        <v>8298541</v>
      </c>
      <c r="HGZ236" s="1077">
        <v>8298541</v>
      </c>
      <c r="HHA236" s="1077">
        <v>8298541</v>
      </c>
      <c r="HHB236" s="1077">
        <v>8298541</v>
      </c>
      <c r="HHC236" s="1077">
        <v>8298541</v>
      </c>
      <c r="HHD236" s="1077">
        <v>8298541</v>
      </c>
      <c r="HHE236" s="1077">
        <v>8298541</v>
      </c>
      <c r="HHF236" s="1077">
        <v>8298541</v>
      </c>
      <c r="HHG236" s="1077">
        <v>8298541</v>
      </c>
      <c r="HHH236" s="1077">
        <v>8298541</v>
      </c>
      <c r="HHI236" s="1077">
        <v>8298541</v>
      </c>
      <c r="HHJ236" s="1077">
        <v>8298541</v>
      </c>
      <c r="HHK236" s="1077">
        <v>8298541</v>
      </c>
      <c r="HHL236" s="1077">
        <v>8298541</v>
      </c>
      <c r="HHM236" s="1077">
        <v>8298541</v>
      </c>
      <c r="HHN236" s="1077">
        <v>8298541</v>
      </c>
      <c r="HHO236" s="1077">
        <v>8298541</v>
      </c>
      <c r="HHP236" s="1077">
        <v>8298541</v>
      </c>
      <c r="HHQ236" s="1077">
        <v>8298541</v>
      </c>
      <c r="HHR236" s="1077">
        <v>8298541</v>
      </c>
      <c r="HHS236" s="1077">
        <v>8298541</v>
      </c>
      <c r="HHT236" s="1077">
        <v>8298541</v>
      </c>
      <c r="HHU236" s="1077">
        <v>8298541</v>
      </c>
      <c r="HHV236" s="1077">
        <v>8298541</v>
      </c>
      <c r="HHW236" s="1077">
        <v>8298541</v>
      </c>
      <c r="HHX236" s="1077">
        <v>8298541</v>
      </c>
      <c r="HHY236" s="1077">
        <v>8298541</v>
      </c>
      <c r="HHZ236" s="1077">
        <v>8298541</v>
      </c>
      <c r="HIA236" s="1077">
        <v>8298541</v>
      </c>
      <c r="HIB236" s="1077">
        <v>8298541</v>
      </c>
      <c r="HIC236" s="1077">
        <v>8298541</v>
      </c>
      <c r="HID236" s="1077">
        <v>8298541</v>
      </c>
      <c r="HIE236" s="1077">
        <v>8298541</v>
      </c>
      <c r="HIF236" s="1077">
        <v>8298541</v>
      </c>
      <c r="HIG236" s="1077">
        <v>8298541</v>
      </c>
      <c r="HIH236" s="1077">
        <v>8298541</v>
      </c>
      <c r="HII236" s="1077">
        <v>8298541</v>
      </c>
      <c r="HIJ236" s="1077">
        <v>8298541</v>
      </c>
      <c r="HIK236" s="1077">
        <v>8298541</v>
      </c>
      <c r="HIL236" s="1077">
        <v>8298541</v>
      </c>
      <c r="HIM236" s="1077">
        <v>8298541</v>
      </c>
      <c r="HIN236" s="1077">
        <v>8298541</v>
      </c>
      <c r="HIO236" s="1077">
        <v>8298541</v>
      </c>
      <c r="HIP236" s="1077">
        <v>8298541</v>
      </c>
      <c r="HIQ236" s="1077">
        <v>8298541</v>
      </c>
      <c r="HIR236" s="1077">
        <v>8298541</v>
      </c>
      <c r="HIS236" s="1077">
        <v>8298541</v>
      </c>
      <c r="HIT236" s="1077">
        <v>8298541</v>
      </c>
      <c r="HIU236" s="1077">
        <v>8298541</v>
      </c>
      <c r="HIV236" s="1077">
        <v>8298541</v>
      </c>
      <c r="HIW236" s="1077">
        <v>8298541</v>
      </c>
      <c r="HIX236" s="1077">
        <v>8298541</v>
      </c>
      <c r="HIY236" s="1077">
        <v>8298541</v>
      </c>
      <c r="HIZ236" s="1077">
        <v>8298541</v>
      </c>
      <c r="HJA236" s="1077">
        <v>8298541</v>
      </c>
      <c r="HJB236" s="1077">
        <v>8298541</v>
      </c>
      <c r="HJC236" s="1077">
        <v>8298541</v>
      </c>
      <c r="HJD236" s="1077">
        <v>8298541</v>
      </c>
      <c r="HJE236" s="1077">
        <v>8298541</v>
      </c>
      <c r="HJF236" s="1077">
        <v>8298541</v>
      </c>
      <c r="HJG236" s="1077">
        <v>8298541</v>
      </c>
      <c r="HJH236" s="1077">
        <v>8298541</v>
      </c>
      <c r="HJI236" s="1077">
        <v>8298541</v>
      </c>
      <c r="HJJ236" s="1077">
        <v>8298541</v>
      </c>
      <c r="HJK236" s="1077">
        <v>8298541</v>
      </c>
      <c r="HJL236" s="1077">
        <v>8298541</v>
      </c>
      <c r="HJM236" s="1077">
        <v>8298541</v>
      </c>
      <c r="HJN236" s="1077">
        <v>8298541</v>
      </c>
      <c r="HJO236" s="1077">
        <v>8298541</v>
      </c>
      <c r="HJP236" s="1077">
        <v>8298541</v>
      </c>
      <c r="HJQ236" s="1077">
        <v>8298541</v>
      </c>
      <c r="HJR236" s="1077">
        <v>8298541</v>
      </c>
      <c r="HJS236" s="1077">
        <v>8298541</v>
      </c>
      <c r="HJT236" s="1077">
        <v>8298541</v>
      </c>
      <c r="HJU236" s="1077">
        <v>8298541</v>
      </c>
      <c r="HJV236" s="1077">
        <v>8298541</v>
      </c>
      <c r="HJW236" s="1077">
        <v>8298541</v>
      </c>
      <c r="HJX236" s="1077">
        <v>8298541</v>
      </c>
      <c r="HJY236" s="1077">
        <v>8298541</v>
      </c>
      <c r="HJZ236" s="1077">
        <v>8298541</v>
      </c>
      <c r="HKA236" s="1077">
        <v>8298541</v>
      </c>
      <c r="HKB236" s="1077">
        <v>8298541</v>
      </c>
      <c r="HKC236" s="1077">
        <v>8298541</v>
      </c>
      <c r="HKD236" s="1077">
        <v>8298541</v>
      </c>
      <c r="HKE236" s="1077">
        <v>8298541</v>
      </c>
      <c r="HKF236" s="1077">
        <v>8298541</v>
      </c>
      <c r="HKG236" s="1077">
        <v>8298541</v>
      </c>
      <c r="HKH236" s="1077">
        <v>8298541</v>
      </c>
      <c r="HKI236" s="1077">
        <v>8298541</v>
      </c>
      <c r="HKJ236" s="1077">
        <v>8298541</v>
      </c>
      <c r="HKK236" s="1077">
        <v>8298541</v>
      </c>
      <c r="HKL236" s="1077">
        <v>8298541</v>
      </c>
      <c r="HKM236" s="1077">
        <v>8298541</v>
      </c>
      <c r="HKN236" s="1077">
        <v>8298541</v>
      </c>
      <c r="HKO236" s="1077">
        <v>8298541</v>
      </c>
      <c r="HKP236" s="1077">
        <v>8298541</v>
      </c>
      <c r="HKQ236" s="1077">
        <v>8298541</v>
      </c>
      <c r="HKR236" s="1077">
        <v>8298541</v>
      </c>
      <c r="HKS236" s="1077">
        <v>8298541</v>
      </c>
      <c r="HKT236" s="1077">
        <v>8298541</v>
      </c>
      <c r="HKU236" s="1077">
        <v>8298541</v>
      </c>
      <c r="HKV236" s="1077">
        <v>8298541</v>
      </c>
      <c r="HKW236" s="1077">
        <v>8298541</v>
      </c>
      <c r="HKX236" s="1077">
        <v>8298541</v>
      </c>
      <c r="HKY236" s="1077">
        <v>8298541</v>
      </c>
      <c r="HKZ236" s="1077">
        <v>8298541</v>
      </c>
      <c r="HLA236" s="1077">
        <v>8298541</v>
      </c>
      <c r="HLB236" s="1077">
        <v>8298541</v>
      </c>
      <c r="HLC236" s="1077">
        <v>8298541</v>
      </c>
      <c r="HLD236" s="1077">
        <v>8298541</v>
      </c>
      <c r="HLE236" s="1077">
        <v>8298541</v>
      </c>
      <c r="HLF236" s="1077">
        <v>8298541</v>
      </c>
      <c r="HLG236" s="1077">
        <v>8298541</v>
      </c>
      <c r="HLH236" s="1077">
        <v>8298541</v>
      </c>
      <c r="HLI236" s="1077">
        <v>8298541</v>
      </c>
      <c r="HLJ236" s="1077">
        <v>8298541</v>
      </c>
      <c r="HLK236" s="1077">
        <v>8298541</v>
      </c>
      <c r="HLL236" s="1077">
        <v>8298541</v>
      </c>
      <c r="HLM236" s="1077">
        <v>8298541</v>
      </c>
      <c r="HLN236" s="1077">
        <v>8298541</v>
      </c>
      <c r="HLO236" s="1077">
        <v>8298541</v>
      </c>
      <c r="HLP236" s="1077">
        <v>8298541</v>
      </c>
      <c r="HLQ236" s="1077">
        <v>8298541</v>
      </c>
      <c r="HLR236" s="1077">
        <v>8298541</v>
      </c>
      <c r="HLS236" s="1077">
        <v>8298541</v>
      </c>
      <c r="HLT236" s="1077">
        <v>8298541</v>
      </c>
      <c r="HLU236" s="1077">
        <v>8298541</v>
      </c>
      <c r="HLV236" s="1077">
        <v>8298541</v>
      </c>
      <c r="HLW236" s="1077">
        <v>8298541</v>
      </c>
      <c r="HLX236" s="1077">
        <v>8298541</v>
      </c>
      <c r="HLY236" s="1077">
        <v>8298541</v>
      </c>
      <c r="HLZ236" s="1077">
        <v>8298541</v>
      </c>
      <c r="HMA236" s="1077">
        <v>8298541</v>
      </c>
      <c r="HMB236" s="1077">
        <v>8298541</v>
      </c>
      <c r="HMC236" s="1077">
        <v>8298541</v>
      </c>
      <c r="HMD236" s="1077">
        <v>8298541</v>
      </c>
      <c r="HME236" s="1077">
        <v>8298541</v>
      </c>
      <c r="HMF236" s="1077">
        <v>8298541</v>
      </c>
      <c r="HMG236" s="1077">
        <v>8298541</v>
      </c>
      <c r="HMH236" s="1077">
        <v>8298541</v>
      </c>
      <c r="HMI236" s="1077">
        <v>8298541</v>
      </c>
      <c r="HMJ236" s="1077">
        <v>8298541</v>
      </c>
      <c r="HMK236" s="1077">
        <v>8298541</v>
      </c>
      <c r="HML236" s="1077">
        <v>8298541</v>
      </c>
      <c r="HMM236" s="1077">
        <v>8298541</v>
      </c>
      <c r="HMN236" s="1077">
        <v>8298541</v>
      </c>
      <c r="HMO236" s="1077">
        <v>8298541</v>
      </c>
      <c r="HMP236" s="1077">
        <v>8298541</v>
      </c>
      <c r="HMQ236" s="1077">
        <v>8298541</v>
      </c>
      <c r="HMR236" s="1077">
        <v>8298541</v>
      </c>
      <c r="HMS236" s="1077">
        <v>8298541</v>
      </c>
      <c r="HMT236" s="1077">
        <v>8298541</v>
      </c>
      <c r="HMU236" s="1077">
        <v>8298541</v>
      </c>
      <c r="HMV236" s="1077">
        <v>8298541</v>
      </c>
      <c r="HMW236" s="1077">
        <v>8298541</v>
      </c>
      <c r="HMX236" s="1077">
        <v>8298541</v>
      </c>
      <c r="HMY236" s="1077">
        <v>8298541</v>
      </c>
      <c r="HMZ236" s="1077">
        <v>8298541</v>
      </c>
      <c r="HNA236" s="1077">
        <v>8298541</v>
      </c>
      <c r="HNB236" s="1077">
        <v>8298541</v>
      </c>
      <c r="HNC236" s="1077">
        <v>8298541</v>
      </c>
      <c r="HND236" s="1077">
        <v>8298541</v>
      </c>
      <c r="HNE236" s="1077">
        <v>8298541</v>
      </c>
      <c r="HNF236" s="1077">
        <v>8298541</v>
      </c>
      <c r="HNG236" s="1077">
        <v>8298541</v>
      </c>
      <c r="HNH236" s="1077">
        <v>8298541</v>
      </c>
      <c r="HNI236" s="1077">
        <v>8298541</v>
      </c>
      <c r="HNJ236" s="1077">
        <v>8298541</v>
      </c>
      <c r="HNK236" s="1077">
        <v>8298541</v>
      </c>
      <c r="HNL236" s="1077">
        <v>8298541</v>
      </c>
      <c r="HNM236" s="1077">
        <v>8298541</v>
      </c>
      <c r="HNN236" s="1077">
        <v>8298541</v>
      </c>
      <c r="HNO236" s="1077">
        <v>8298541</v>
      </c>
      <c r="HNP236" s="1077">
        <v>8298541</v>
      </c>
      <c r="HNQ236" s="1077">
        <v>8298541</v>
      </c>
      <c r="HNR236" s="1077">
        <v>8298541</v>
      </c>
      <c r="HNS236" s="1077">
        <v>8298541</v>
      </c>
      <c r="HNT236" s="1077">
        <v>8298541</v>
      </c>
      <c r="HNU236" s="1077">
        <v>8298541</v>
      </c>
      <c r="HNV236" s="1077">
        <v>8298541</v>
      </c>
      <c r="HNW236" s="1077">
        <v>8298541</v>
      </c>
      <c r="HNX236" s="1077">
        <v>8298541</v>
      </c>
      <c r="HNY236" s="1077">
        <v>8298541</v>
      </c>
      <c r="HNZ236" s="1077">
        <v>8298541</v>
      </c>
      <c r="HOA236" s="1077">
        <v>8298541</v>
      </c>
      <c r="HOB236" s="1077">
        <v>8298541</v>
      </c>
      <c r="HOC236" s="1077">
        <v>8298541</v>
      </c>
      <c r="HOD236" s="1077">
        <v>8298541</v>
      </c>
      <c r="HOE236" s="1077">
        <v>8298541</v>
      </c>
      <c r="HOF236" s="1077">
        <v>8298541</v>
      </c>
      <c r="HOG236" s="1077">
        <v>8298541</v>
      </c>
      <c r="HOH236" s="1077">
        <v>8298541</v>
      </c>
      <c r="HOI236" s="1077">
        <v>8298541</v>
      </c>
      <c r="HOJ236" s="1077">
        <v>8298541</v>
      </c>
      <c r="HOK236" s="1077">
        <v>8298541</v>
      </c>
      <c r="HOL236" s="1077">
        <v>8298541</v>
      </c>
      <c r="HOM236" s="1077">
        <v>8298541</v>
      </c>
      <c r="HON236" s="1077">
        <v>8298541</v>
      </c>
      <c r="HOO236" s="1077">
        <v>8298541</v>
      </c>
      <c r="HOP236" s="1077">
        <v>8298541</v>
      </c>
      <c r="HOQ236" s="1077">
        <v>8298541</v>
      </c>
      <c r="HOR236" s="1077">
        <v>8298541</v>
      </c>
      <c r="HOS236" s="1077">
        <v>8298541</v>
      </c>
      <c r="HOT236" s="1077">
        <v>8298541</v>
      </c>
      <c r="HOU236" s="1077">
        <v>8298541</v>
      </c>
      <c r="HOV236" s="1077">
        <v>8298541</v>
      </c>
      <c r="HOW236" s="1077">
        <v>8298541</v>
      </c>
      <c r="HOX236" s="1077">
        <v>8298541</v>
      </c>
      <c r="HOY236" s="1077">
        <v>8298541</v>
      </c>
      <c r="HOZ236" s="1077">
        <v>8298541</v>
      </c>
      <c r="HPA236" s="1077">
        <v>8298541</v>
      </c>
      <c r="HPB236" s="1077">
        <v>8298541</v>
      </c>
      <c r="HPC236" s="1077">
        <v>8298541</v>
      </c>
      <c r="HPD236" s="1077">
        <v>8298541</v>
      </c>
      <c r="HPE236" s="1077">
        <v>8298541</v>
      </c>
      <c r="HPF236" s="1077">
        <v>8298541</v>
      </c>
      <c r="HPG236" s="1077">
        <v>8298541</v>
      </c>
      <c r="HPH236" s="1077">
        <v>8298541</v>
      </c>
      <c r="HPI236" s="1077">
        <v>8298541</v>
      </c>
      <c r="HPJ236" s="1077">
        <v>8298541</v>
      </c>
      <c r="HPK236" s="1077">
        <v>8298541</v>
      </c>
      <c r="HPL236" s="1077">
        <v>8298541</v>
      </c>
      <c r="HPM236" s="1077">
        <v>8298541</v>
      </c>
      <c r="HPN236" s="1077">
        <v>8298541</v>
      </c>
      <c r="HPO236" s="1077">
        <v>8298541</v>
      </c>
      <c r="HPP236" s="1077">
        <v>8298541</v>
      </c>
      <c r="HPQ236" s="1077">
        <v>8298541</v>
      </c>
      <c r="HPR236" s="1077">
        <v>8298541</v>
      </c>
      <c r="HPS236" s="1077">
        <v>8298541</v>
      </c>
      <c r="HPT236" s="1077">
        <v>8298541</v>
      </c>
      <c r="HPU236" s="1077">
        <v>8298541</v>
      </c>
      <c r="HPV236" s="1077">
        <v>8298541</v>
      </c>
      <c r="HPW236" s="1077">
        <v>8298541</v>
      </c>
      <c r="HPX236" s="1077">
        <v>8298541</v>
      </c>
      <c r="HPY236" s="1077">
        <v>8298541</v>
      </c>
      <c r="HPZ236" s="1077">
        <v>8298541</v>
      </c>
      <c r="HQA236" s="1077">
        <v>8298541</v>
      </c>
      <c r="HQB236" s="1077">
        <v>8298541</v>
      </c>
      <c r="HQC236" s="1077">
        <v>8298541</v>
      </c>
      <c r="HQD236" s="1077">
        <v>8298541</v>
      </c>
      <c r="HQE236" s="1077">
        <v>8298541</v>
      </c>
      <c r="HQF236" s="1077">
        <v>8298541</v>
      </c>
      <c r="HQG236" s="1077">
        <v>8298541</v>
      </c>
      <c r="HQH236" s="1077">
        <v>8298541</v>
      </c>
      <c r="HQI236" s="1077">
        <v>8298541</v>
      </c>
      <c r="HQJ236" s="1077">
        <v>8298541</v>
      </c>
      <c r="HQK236" s="1077">
        <v>8298541</v>
      </c>
      <c r="HQL236" s="1077">
        <v>8298541</v>
      </c>
      <c r="HQM236" s="1077">
        <v>8298541</v>
      </c>
      <c r="HQN236" s="1077">
        <v>8298541</v>
      </c>
      <c r="HQO236" s="1077">
        <v>8298541</v>
      </c>
      <c r="HQP236" s="1077">
        <v>8298541</v>
      </c>
      <c r="HQQ236" s="1077">
        <v>8298541</v>
      </c>
      <c r="HQR236" s="1077">
        <v>8298541</v>
      </c>
      <c r="HQS236" s="1077">
        <v>8298541</v>
      </c>
      <c r="HQT236" s="1077">
        <v>8298541</v>
      </c>
      <c r="HQU236" s="1077">
        <v>8298541</v>
      </c>
      <c r="HQV236" s="1077">
        <v>8298541</v>
      </c>
      <c r="HQW236" s="1077">
        <v>8298541</v>
      </c>
      <c r="HQX236" s="1077">
        <v>8298541</v>
      </c>
      <c r="HQY236" s="1077">
        <v>8298541</v>
      </c>
      <c r="HQZ236" s="1077">
        <v>8298541</v>
      </c>
      <c r="HRA236" s="1077">
        <v>8298541</v>
      </c>
      <c r="HRB236" s="1077">
        <v>8298541</v>
      </c>
      <c r="HRC236" s="1077">
        <v>8298541</v>
      </c>
      <c r="HRD236" s="1077">
        <v>8298541</v>
      </c>
      <c r="HRE236" s="1077">
        <v>8298541</v>
      </c>
      <c r="HRF236" s="1077">
        <v>8298541</v>
      </c>
      <c r="HRG236" s="1077">
        <v>8298541</v>
      </c>
      <c r="HRH236" s="1077">
        <v>8298541</v>
      </c>
      <c r="HRI236" s="1077">
        <v>8298541</v>
      </c>
      <c r="HRJ236" s="1077">
        <v>8298541</v>
      </c>
      <c r="HRK236" s="1077">
        <v>8298541</v>
      </c>
      <c r="HRL236" s="1077">
        <v>8298541</v>
      </c>
      <c r="HRM236" s="1077">
        <v>8298541</v>
      </c>
      <c r="HRN236" s="1077">
        <v>8298541</v>
      </c>
      <c r="HRO236" s="1077">
        <v>8298541</v>
      </c>
      <c r="HRP236" s="1077">
        <v>8298541</v>
      </c>
      <c r="HRQ236" s="1077">
        <v>8298541</v>
      </c>
      <c r="HRR236" s="1077">
        <v>8298541</v>
      </c>
      <c r="HRS236" s="1077">
        <v>8298541</v>
      </c>
      <c r="HRT236" s="1077">
        <v>8298541</v>
      </c>
      <c r="HRU236" s="1077">
        <v>8298541</v>
      </c>
      <c r="HRV236" s="1077">
        <v>8298541</v>
      </c>
      <c r="HRW236" s="1077">
        <v>8298541</v>
      </c>
      <c r="HRX236" s="1077">
        <v>8298541</v>
      </c>
      <c r="HRY236" s="1077">
        <v>8298541</v>
      </c>
      <c r="HRZ236" s="1077">
        <v>8298541</v>
      </c>
      <c r="HSA236" s="1077">
        <v>8298541</v>
      </c>
      <c r="HSB236" s="1077">
        <v>8298541</v>
      </c>
      <c r="HSC236" s="1077">
        <v>8298541</v>
      </c>
      <c r="HSD236" s="1077">
        <v>8298541</v>
      </c>
      <c r="HSE236" s="1077">
        <v>8298541</v>
      </c>
      <c r="HSF236" s="1077">
        <v>8298541</v>
      </c>
      <c r="HSG236" s="1077">
        <v>8298541</v>
      </c>
      <c r="HSH236" s="1077">
        <v>8298541</v>
      </c>
      <c r="HSI236" s="1077">
        <v>8298541</v>
      </c>
      <c r="HSJ236" s="1077">
        <v>8298541</v>
      </c>
      <c r="HSK236" s="1077">
        <v>8298541</v>
      </c>
      <c r="HSL236" s="1077">
        <v>8298541</v>
      </c>
      <c r="HSM236" s="1077">
        <v>8298541</v>
      </c>
      <c r="HSN236" s="1077">
        <v>8298541</v>
      </c>
      <c r="HSO236" s="1077">
        <v>8298541</v>
      </c>
      <c r="HSP236" s="1077">
        <v>8298541</v>
      </c>
      <c r="HSQ236" s="1077">
        <v>8298541</v>
      </c>
      <c r="HSR236" s="1077">
        <v>8298541</v>
      </c>
      <c r="HSS236" s="1077">
        <v>8298541</v>
      </c>
      <c r="HST236" s="1077">
        <v>8298541</v>
      </c>
      <c r="HSU236" s="1077">
        <v>8298541</v>
      </c>
      <c r="HSV236" s="1077">
        <v>8298541</v>
      </c>
      <c r="HSW236" s="1077">
        <v>8298541</v>
      </c>
      <c r="HSX236" s="1077">
        <v>8298541</v>
      </c>
      <c r="HSY236" s="1077">
        <v>8298541</v>
      </c>
      <c r="HSZ236" s="1077">
        <v>8298541</v>
      </c>
      <c r="HTA236" s="1077">
        <v>8298541</v>
      </c>
      <c r="HTB236" s="1077">
        <v>8298541</v>
      </c>
      <c r="HTC236" s="1077">
        <v>8298541</v>
      </c>
      <c r="HTD236" s="1077">
        <v>8298541</v>
      </c>
      <c r="HTE236" s="1077">
        <v>8298541</v>
      </c>
      <c r="HTF236" s="1077">
        <v>8298541</v>
      </c>
      <c r="HTG236" s="1077">
        <v>8298541</v>
      </c>
      <c r="HTH236" s="1077">
        <v>8298541</v>
      </c>
      <c r="HTI236" s="1077">
        <v>8298541</v>
      </c>
      <c r="HTJ236" s="1077">
        <v>8298541</v>
      </c>
      <c r="HTK236" s="1077">
        <v>8298541</v>
      </c>
      <c r="HTL236" s="1077">
        <v>8298541</v>
      </c>
      <c r="HTM236" s="1077">
        <v>8298541</v>
      </c>
      <c r="HTN236" s="1077">
        <v>8298541</v>
      </c>
      <c r="HTO236" s="1077">
        <v>8298541</v>
      </c>
      <c r="HTP236" s="1077">
        <v>8298541</v>
      </c>
      <c r="HTQ236" s="1077">
        <v>8298541</v>
      </c>
      <c r="HTR236" s="1077">
        <v>8298541</v>
      </c>
      <c r="HTS236" s="1077">
        <v>8298541</v>
      </c>
      <c r="HTT236" s="1077">
        <v>8298541</v>
      </c>
      <c r="HTU236" s="1077">
        <v>8298541</v>
      </c>
      <c r="HTV236" s="1077">
        <v>8298541</v>
      </c>
      <c r="HTW236" s="1077">
        <v>8298541</v>
      </c>
      <c r="HTX236" s="1077">
        <v>8298541</v>
      </c>
      <c r="HTY236" s="1077">
        <v>8298541</v>
      </c>
      <c r="HTZ236" s="1077">
        <v>8298541</v>
      </c>
      <c r="HUA236" s="1077">
        <v>8298541</v>
      </c>
      <c r="HUB236" s="1077">
        <v>8298541</v>
      </c>
      <c r="HUC236" s="1077">
        <v>8298541</v>
      </c>
      <c r="HUD236" s="1077">
        <v>8298541</v>
      </c>
      <c r="HUE236" s="1077">
        <v>8298541</v>
      </c>
      <c r="HUF236" s="1077">
        <v>8298541</v>
      </c>
      <c r="HUG236" s="1077">
        <v>8298541</v>
      </c>
      <c r="HUH236" s="1077">
        <v>8298541</v>
      </c>
      <c r="HUI236" s="1077">
        <v>8298541</v>
      </c>
      <c r="HUJ236" s="1077">
        <v>8298541</v>
      </c>
      <c r="HUK236" s="1077">
        <v>8298541</v>
      </c>
      <c r="HUL236" s="1077">
        <v>8298541</v>
      </c>
      <c r="HUM236" s="1077">
        <v>8298541</v>
      </c>
      <c r="HUN236" s="1077">
        <v>8298541</v>
      </c>
      <c r="HUO236" s="1077">
        <v>8298541</v>
      </c>
      <c r="HUP236" s="1077">
        <v>8298541</v>
      </c>
      <c r="HUQ236" s="1077">
        <v>8298541</v>
      </c>
      <c r="HUR236" s="1077">
        <v>8298541</v>
      </c>
      <c r="HUS236" s="1077">
        <v>8298541</v>
      </c>
      <c r="HUT236" s="1077">
        <v>8298541</v>
      </c>
      <c r="HUU236" s="1077">
        <v>8298541</v>
      </c>
      <c r="HUV236" s="1077">
        <v>8298541</v>
      </c>
      <c r="HUW236" s="1077">
        <v>8298541</v>
      </c>
      <c r="HUX236" s="1077">
        <v>8298541</v>
      </c>
      <c r="HUY236" s="1077">
        <v>8298541</v>
      </c>
      <c r="HUZ236" s="1077">
        <v>8298541</v>
      </c>
      <c r="HVA236" s="1077">
        <v>8298541</v>
      </c>
      <c r="HVB236" s="1077">
        <v>8298541</v>
      </c>
      <c r="HVC236" s="1077">
        <v>8298541</v>
      </c>
      <c r="HVD236" s="1077">
        <v>8298541</v>
      </c>
      <c r="HVE236" s="1077">
        <v>8298541</v>
      </c>
      <c r="HVF236" s="1077">
        <v>8298541</v>
      </c>
      <c r="HVG236" s="1077">
        <v>8298541</v>
      </c>
      <c r="HVH236" s="1077">
        <v>8298541</v>
      </c>
      <c r="HVI236" s="1077">
        <v>8298541</v>
      </c>
      <c r="HVJ236" s="1077">
        <v>8298541</v>
      </c>
      <c r="HVK236" s="1077">
        <v>8298541</v>
      </c>
      <c r="HVL236" s="1077">
        <v>8298541</v>
      </c>
      <c r="HVM236" s="1077">
        <v>8298541</v>
      </c>
      <c r="HVN236" s="1077">
        <v>8298541</v>
      </c>
      <c r="HVO236" s="1077">
        <v>8298541</v>
      </c>
      <c r="HVP236" s="1077">
        <v>8298541</v>
      </c>
      <c r="HVQ236" s="1077">
        <v>8298541</v>
      </c>
      <c r="HVR236" s="1077">
        <v>8298541</v>
      </c>
      <c r="HVS236" s="1077">
        <v>8298541</v>
      </c>
      <c r="HVT236" s="1077">
        <v>8298541</v>
      </c>
      <c r="HVU236" s="1077">
        <v>8298541</v>
      </c>
      <c r="HVV236" s="1077">
        <v>8298541</v>
      </c>
      <c r="HVW236" s="1077">
        <v>8298541</v>
      </c>
      <c r="HVX236" s="1077">
        <v>8298541</v>
      </c>
      <c r="HVY236" s="1077">
        <v>8298541</v>
      </c>
      <c r="HVZ236" s="1077">
        <v>8298541</v>
      </c>
      <c r="HWA236" s="1077">
        <v>8298541</v>
      </c>
      <c r="HWB236" s="1077">
        <v>8298541</v>
      </c>
      <c r="HWC236" s="1077">
        <v>8298541</v>
      </c>
      <c r="HWD236" s="1077">
        <v>8298541</v>
      </c>
      <c r="HWE236" s="1077">
        <v>8298541</v>
      </c>
      <c r="HWF236" s="1077">
        <v>8298541</v>
      </c>
      <c r="HWG236" s="1077">
        <v>8298541</v>
      </c>
      <c r="HWH236" s="1077">
        <v>8298541</v>
      </c>
      <c r="HWI236" s="1077">
        <v>8298541</v>
      </c>
      <c r="HWJ236" s="1077">
        <v>8298541</v>
      </c>
      <c r="HWK236" s="1077">
        <v>8298541</v>
      </c>
      <c r="HWL236" s="1077">
        <v>8298541</v>
      </c>
      <c r="HWM236" s="1077">
        <v>8298541</v>
      </c>
      <c r="HWN236" s="1077">
        <v>8298541</v>
      </c>
      <c r="HWO236" s="1077">
        <v>8298541</v>
      </c>
      <c r="HWP236" s="1077">
        <v>8298541</v>
      </c>
      <c r="HWQ236" s="1077">
        <v>8298541</v>
      </c>
      <c r="HWR236" s="1077">
        <v>8298541</v>
      </c>
      <c r="HWS236" s="1077">
        <v>8298541</v>
      </c>
      <c r="HWT236" s="1077">
        <v>8298541</v>
      </c>
      <c r="HWU236" s="1077">
        <v>8298541</v>
      </c>
      <c r="HWV236" s="1077">
        <v>8298541</v>
      </c>
      <c r="HWW236" s="1077">
        <v>8298541</v>
      </c>
      <c r="HWX236" s="1077">
        <v>8298541</v>
      </c>
      <c r="HWY236" s="1077">
        <v>8298541</v>
      </c>
      <c r="HWZ236" s="1077">
        <v>8298541</v>
      </c>
      <c r="HXA236" s="1077">
        <v>8298541</v>
      </c>
      <c r="HXB236" s="1077">
        <v>8298541</v>
      </c>
      <c r="HXC236" s="1077">
        <v>8298541</v>
      </c>
      <c r="HXD236" s="1077">
        <v>8298541</v>
      </c>
      <c r="HXE236" s="1077">
        <v>8298541</v>
      </c>
      <c r="HXF236" s="1077">
        <v>8298541</v>
      </c>
      <c r="HXG236" s="1077">
        <v>8298541</v>
      </c>
      <c r="HXH236" s="1077">
        <v>8298541</v>
      </c>
      <c r="HXI236" s="1077">
        <v>8298541</v>
      </c>
      <c r="HXJ236" s="1077">
        <v>8298541</v>
      </c>
      <c r="HXK236" s="1077">
        <v>8298541</v>
      </c>
      <c r="HXL236" s="1077">
        <v>8298541</v>
      </c>
      <c r="HXM236" s="1077">
        <v>8298541</v>
      </c>
      <c r="HXN236" s="1077">
        <v>8298541</v>
      </c>
      <c r="HXO236" s="1077">
        <v>8298541</v>
      </c>
      <c r="HXP236" s="1077">
        <v>8298541</v>
      </c>
      <c r="HXQ236" s="1077">
        <v>8298541</v>
      </c>
      <c r="HXR236" s="1077">
        <v>8298541</v>
      </c>
      <c r="HXS236" s="1077">
        <v>8298541</v>
      </c>
      <c r="HXT236" s="1077">
        <v>8298541</v>
      </c>
      <c r="HXU236" s="1077">
        <v>8298541</v>
      </c>
      <c r="HXV236" s="1077">
        <v>8298541</v>
      </c>
      <c r="HXW236" s="1077">
        <v>8298541</v>
      </c>
      <c r="HXX236" s="1077">
        <v>8298541</v>
      </c>
      <c r="HXY236" s="1077">
        <v>8298541</v>
      </c>
      <c r="HXZ236" s="1077">
        <v>8298541</v>
      </c>
      <c r="HYA236" s="1077">
        <v>8298541</v>
      </c>
      <c r="HYB236" s="1077">
        <v>8298541</v>
      </c>
      <c r="HYC236" s="1077">
        <v>8298541</v>
      </c>
      <c r="HYD236" s="1077">
        <v>8298541</v>
      </c>
      <c r="HYE236" s="1077">
        <v>8298541</v>
      </c>
      <c r="HYF236" s="1077">
        <v>8298541</v>
      </c>
      <c r="HYG236" s="1077">
        <v>8298541</v>
      </c>
      <c r="HYH236" s="1077">
        <v>8298541</v>
      </c>
      <c r="HYI236" s="1077">
        <v>8298541</v>
      </c>
      <c r="HYJ236" s="1077">
        <v>8298541</v>
      </c>
      <c r="HYK236" s="1077">
        <v>8298541</v>
      </c>
      <c r="HYL236" s="1077">
        <v>8298541</v>
      </c>
      <c r="HYM236" s="1077">
        <v>8298541</v>
      </c>
      <c r="HYN236" s="1077">
        <v>8298541</v>
      </c>
      <c r="HYO236" s="1077">
        <v>8298541</v>
      </c>
      <c r="HYP236" s="1077">
        <v>8298541</v>
      </c>
      <c r="HYQ236" s="1077">
        <v>8298541</v>
      </c>
      <c r="HYR236" s="1077">
        <v>8298541</v>
      </c>
      <c r="HYS236" s="1077">
        <v>8298541</v>
      </c>
      <c r="HYT236" s="1077">
        <v>8298541</v>
      </c>
      <c r="HYU236" s="1077">
        <v>8298541</v>
      </c>
      <c r="HYV236" s="1077">
        <v>8298541</v>
      </c>
      <c r="HYW236" s="1077">
        <v>8298541</v>
      </c>
      <c r="HYX236" s="1077">
        <v>8298541</v>
      </c>
      <c r="HYY236" s="1077">
        <v>8298541</v>
      </c>
      <c r="HYZ236" s="1077">
        <v>8298541</v>
      </c>
      <c r="HZA236" s="1077">
        <v>8298541</v>
      </c>
      <c r="HZB236" s="1077">
        <v>8298541</v>
      </c>
      <c r="HZC236" s="1077">
        <v>8298541</v>
      </c>
      <c r="HZD236" s="1077">
        <v>8298541</v>
      </c>
      <c r="HZE236" s="1077">
        <v>8298541</v>
      </c>
      <c r="HZF236" s="1077">
        <v>8298541</v>
      </c>
      <c r="HZG236" s="1077">
        <v>8298541</v>
      </c>
      <c r="HZH236" s="1077">
        <v>8298541</v>
      </c>
      <c r="HZI236" s="1077">
        <v>8298541</v>
      </c>
      <c r="HZJ236" s="1077">
        <v>8298541</v>
      </c>
      <c r="HZK236" s="1077">
        <v>8298541</v>
      </c>
      <c r="HZL236" s="1077">
        <v>8298541</v>
      </c>
      <c r="HZM236" s="1077">
        <v>8298541</v>
      </c>
      <c r="HZN236" s="1077">
        <v>8298541</v>
      </c>
      <c r="HZO236" s="1077">
        <v>8298541</v>
      </c>
      <c r="HZP236" s="1077">
        <v>8298541</v>
      </c>
      <c r="HZQ236" s="1077">
        <v>8298541</v>
      </c>
      <c r="HZR236" s="1077">
        <v>8298541</v>
      </c>
      <c r="HZS236" s="1077">
        <v>8298541</v>
      </c>
      <c r="HZT236" s="1077">
        <v>8298541</v>
      </c>
      <c r="HZU236" s="1077">
        <v>8298541</v>
      </c>
      <c r="HZV236" s="1077">
        <v>8298541</v>
      </c>
      <c r="HZW236" s="1077">
        <v>8298541</v>
      </c>
      <c r="HZX236" s="1077">
        <v>8298541</v>
      </c>
      <c r="HZY236" s="1077">
        <v>8298541</v>
      </c>
      <c r="HZZ236" s="1077">
        <v>8298541</v>
      </c>
      <c r="IAA236" s="1077">
        <v>8298541</v>
      </c>
      <c r="IAB236" s="1077">
        <v>8298541</v>
      </c>
      <c r="IAC236" s="1077">
        <v>8298541</v>
      </c>
      <c r="IAD236" s="1077">
        <v>8298541</v>
      </c>
      <c r="IAE236" s="1077">
        <v>8298541</v>
      </c>
      <c r="IAF236" s="1077">
        <v>8298541</v>
      </c>
      <c r="IAG236" s="1077">
        <v>8298541</v>
      </c>
      <c r="IAH236" s="1077">
        <v>8298541</v>
      </c>
      <c r="IAI236" s="1077">
        <v>8298541</v>
      </c>
      <c r="IAJ236" s="1077">
        <v>8298541</v>
      </c>
      <c r="IAK236" s="1077">
        <v>8298541</v>
      </c>
      <c r="IAL236" s="1077">
        <v>8298541</v>
      </c>
      <c r="IAM236" s="1077">
        <v>8298541</v>
      </c>
      <c r="IAN236" s="1077">
        <v>8298541</v>
      </c>
      <c r="IAO236" s="1077">
        <v>8298541</v>
      </c>
      <c r="IAP236" s="1077">
        <v>8298541</v>
      </c>
      <c r="IAQ236" s="1077">
        <v>8298541</v>
      </c>
      <c r="IAR236" s="1077">
        <v>8298541</v>
      </c>
      <c r="IAS236" s="1077">
        <v>8298541</v>
      </c>
      <c r="IAT236" s="1077">
        <v>8298541</v>
      </c>
      <c r="IAU236" s="1077">
        <v>8298541</v>
      </c>
      <c r="IAV236" s="1077">
        <v>8298541</v>
      </c>
      <c r="IAW236" s="1077">
        <v>8298541</v>
      </c>
      <c r="IAX236" s="1077">
        <v>8298541</v>
      </c>
      <c r="IAY236" s="1077">
        <v>8298541</v>
      </c>
      <c r="IAZ236" s="1077">
        <v>8298541</v>
      </c>
      <c r="IBA236" s="1077">
        <v>8298541</v>
      </c>
      <c r="IBB236" s="1077">
        <v>8298541</v>
      </c>
      <c r="IBC236" s="1077">
        <v>8298541</v>
      </c>
      <c r="IBD236" s="1077">
        <v>8298541</v>
      </c>
      <c r="IBE236" s="1077">
        <v>8298541</v>
      </c>
      <c r="IBF236" s="1077">
        <v>8298541</v>
      </c>
      <c r="IBG236" s="1077">
        <v>8298541</v>
      </c>
      <c r="IBH236" s="1077">
        <v>8298541</v>
      </c>
      <c r="IBI236" s="1077">
        <v>8298541</v>
      </c>
      <c r="IBJ236" s="1077">
        <v>8298541</v>
      </c>
      <c r="IBK236" s="1077">
        <v>8298541</v>
      </c>
      <c r="IBL236" s="1077">
        <v>8298541</v>
      </c>
      <c r="IBM236" s="1077">
        <v>8298541</v>
      </c>
      <c r="IBN236" s="1077">
        <v>8298541</v>
      </c>
      <c r="IBO236" s="1077">
        <v>8298541</v>
      </c>
      <c r="IBP236" s="1077">
        <v>8298541</v>
      </c>
      <c r="IBQ236" s="1077">
        <v>8298541</v>
      </c>
      <c r="IBR236" s="1077">
        <v>8298541</v>
      </c>
      <c r="IBS236" s="1077">
        <v>8298541</v>
      </c>
      <c r="IBT236" s="1077">
        <v>8298541</v>
      </c>
      <c r="IBU236" s="1077">
        <v>8298541</v>
      </c>
      <c r="IBV236" s="1077">
        <v>8298541</v>
      </c>
      <c r="IBW236" s="1077">
        <v>8298541</v>
      </c>
      <c r="IBX236" s="1077">
        <v>8298541</v>
      </c>
      <c r="IBY236" s="1077">
        <v>8298541</v>
      </c>
      <c r="IBZ236" s="1077">
        <v>8298541</v>
      </c>
      <c r="ICA236" s="1077">
        <v>8298541</v>
      </c>
      <c r="ICB236" s="1077">
        <v>8298541</v>
      </c>
      <c r="ICC236" s="1077">
        <v>8298541</v>
      </c>
      <c r="ICD236" s="1077">
        <v>8298541</v>
      </c>
      <c r="ICE236" s="1077">
        <v>8298541</v>
      </c>
      <c r="ICF236" s="1077">
        <v>8298541</v>
      </c>
      <c r="ICG236" s="1077">
        <v>8298541</v>
      </c>
      <c r="ICH236" s="1077">
        <v>8298541</v>
      </c>
      <c r="ICI236" s="1077">
        <v>8298541</v>
      </c>
      <c r="ICJ236" s="1077">
        <v>8298541</v>
      </c>
      <c r="ICK236" s="1077">
        <v>8298541</v>
      </c>
      <c r="ICL236" s="1077">
        <v>8298541</v>
      </c>
      <c r="ICM236" s="1077">
        <v>8298541</v>
      </c>
      <c r="ICN236" s="1077">
        <v>8298541</v>
      </c>
      <c r="ICO236" s="1077">
        <v>8298541</v>
      </c>
      <c r="ICP236" s="1077">
        <v>8298541</v>
      </c>
      <c r="ICQ236" s="1077">
        <v>8298541</v>
      </c>
      <c r="ICR236" s="1077">
        <v>8298541</v>
      </c>
      <c r="ICS236" s="1077">
        <v>8298541</v>
      </c>
      <c r="ICT236" s="1077">
        <v>8298541</v>
      </c>
      <c r="ICU236" s="1077">
        <v>8298541</v>
      </c>
      <c r="ICV236" s="1077">
        <v>8298541</v>
      </c>
      <c r="ICW236" s="1077">
        <v>8298541</v>
      </c>
      <c r="ICX236" s="1077">
        <v>8298541</v>
      </c>
      <c r="ICY236" s="1077">
        <v>8298541</v>
      </c>
      <c r="ICZ236" s="1077">
        <v>8298541</v>
      </c>
      <c r="IDA236" s="1077">
        <v>8298541</v>
      </c>
      <c r="IDB236" s="1077">
        <v>8298541</v>
      </c>
      <c r="IDC236" s="1077">
        <v>8298541</v>
      </c>
      <c r="IDD236" s="1077">
        <v>8298541</v>
      </c>
      <c r="IDE236" s="1077">
        <v>8298541</v>
      </c>
      <c r="IDF236" s="1077">
        <v>8298541</v>
      </c>
      <c r="IDG236" s="1077">
        <v>8298541</v>
      </c>
      <c r="IDH236" s="1077">
        <v>8298541</v>
      </c>
      <c r="IDI236" s="1077">
        <v>8298541</v>
      </c>
      <c r="IDJ236" s="1077">
        <v>8298541</v>
      </c>
      <c r="IDK236" s="1077">
        <v>8298541</v>
      </c>
      <c r="IDL236" s="1077">
        <v>8298541</v>
      </c>
      <c r="IDM236" s="1077">
        <v>8298541</v>
      </c>
      <c r="IDN236" s="1077">
        <v>8298541</v>
      </c>
      <c r="IDO236" s="1077">
        <v>8298541</v>
      </c>
      <c r="IDP236" s="1077">
        <v>8298541</v>
      </c>
      <c r="IDQ236" s="1077">
        <v>8298541</v>
      </c>
      <c r="IDR236" s="1077">
        <v>8298541</v>
      </c>
      <c r="IDS236" s="1077">
        <v>8298541</v>
      </c>
      <c r="IDT236" s="1077">
        <v>8298541</v>
      </c>
      <c r="IDU236" s="1077">
        <v>8298541</v>
      </c>
      <c r="IDV236" s="1077">
        <v>8298541</v>
      </c>
      <c r="IDW236" s="1077">
        <v>8298541</v>
      </c>
      <c r="IDX236" s="1077">
        <v>8298541</v>
      </c>
      <c r="IDY236" s="1077">
        <v>8298541</v>
      </c>
      <c r="IDZ236" s="1077">
        <v>8298541</v>
      </c>
      <c r="IEA236" s="1077">
        <v>8298541</v>
      </c>
      <c r="IEB236" s="1077">
        <v>8298541</v>
      </c>
      <c r="IEC236" s="1077">
        <v>8298541</v>
      </c>
      <c r="IED236" s="1077">
        <v>8298541</v>
      </c>
      <c r="IEE236" s="1077">
        <v>8298541</v>
      </c>
      <c r="IEF236" s="1077">
        <v>8298541</v>
      </c>
      <c r="IEG236" s="1077">
        <v>8298541</v>
      </c>
      <c r="IEH236" s="1077">
        <v>8298541</v>
      </c>
      <c r="IEI236" s="1077">
        <v>8298541</v>
      </c>
      <c r="IEJ236" s="1077">
        <v>8298541</v>
      </c>
      <c r="IEK236" s="1077">
        <v>8298541</v>
      </c>
      <c r="IEL236" s="1077">
        <v>8298541</v>
      </c>
      <c r="IEM236" s="1077">
        <v>8298541</v>
      </c>
      <c r="IEN236" s="1077">
        <v>8298541</v>
      </c>
      <c r="IEO236" s="1077">
        <v>8298541</v>
      </c>
      <c r="IEP236" s="1077">
        <v>8298541</v>
      </c>
      <c r="IEQ236" s="1077">
        <v>8298541</v>
      </c>
      <c r="IER236" s="1077">
        <v>8298541</v>
      </c>
      <c r="IES236" s="1077">
        <v>8298541</v>
      </c>
      <c r="IET236" s="1077">
        <v>8298541</v>
      </c>
      <c r="IEU236" s="1077">
        <v>8298541</v>
      </c>
      <c r="IEV236" s="1077">
        <v>8298541</v>
      </c>
      <c r="IEW236" s="1077">
        <v>8298541</v>
      </c>
      <c r="IEX236" s="1077">
        <v>8298541</v>
      </c>
      <c r="IEY236" s="1077">
        <v>8298541</v>
      </c>
      <c r="IEZ236" s="1077">
        <v>8298541</v>
      </c>
      <c r="IFA236" s="1077">
        <v>8298541</v>
      </c>
      <c r="IFB236" s="1077">
        <v>8298541</v>
      </c>
      <c r="IFC236" s="1077">
        <v>8298541</v>
      </c>
      <c r="IFD236" s="1077">
        <v>8298541</v>
      </c>
      <c r="IFE236" s="1077">
        <v>8298541</v>
      </c>
      <c r="IFF236" s="1077">
        <v>8298541</v>
      </c>
      <c r="IFG236" s="1077">
        <v>8298541</v>
      </c>
      <c r="IFH236" s="1077">
        <v>8298541</v>
      </c>
      <c r="IFI236" s="1077">
        <v>8298541</v>
      </c>
      <c r="IFJ236" s="1077">
        <v>8298541</v>
      </c>
      <c r="IFK236" s="1077">
        <v>8298541</v>
      </c>
      <c r="IFL236" s="1077">
        <v>8298541</v>
      </c>
      <c r="IFM236" s="1077">
        <v>8298541</v>
      </c>
      <c r="IFN236" s="1077">
        <v>8298541</v>
      </c>
      <c r="IFO236" s="1077">
        <v>8298541</v>
      </c>
      <c r="IFP236" s="1077">
        <v>8298541</v>
      </c>
      <c r="IFQ236" s="1077">
        <v>8298541</v>
      </c>
      <c r="IFR236" s="1077">
        <v>8298541</v>
      </c>
      <c r="IFS236" s="1077">
        <v>8298541</v>
      </c>
      <c r="IFT236" s="1077">
        <v>8298541</v>
      </c>
      <c r="IFU236" s="1077">
        <v>8298541</v>
      </c>
      <c r="IFV236" s="1077">
        <v>8298541</v>
      </c>
      <c r="IFW236" s="1077">
        <v>8298541</v>
      </c>
      <c r="IFX236" s="1077">
        <v>8298541</v>
      </c>
      <c r="IFY236" s="1077">
        <v>8298541</v>
      </c>
      <c r="IFZ236" s="1077">
        <v>8298541</v>
      </c>
      <c r="IGA236" s="1077">
        <v>8298541</v>
      </c>
      <c r="IGB236" s="1077">
        <v>8298541</v>
      </c>
      <c r="IGC236" s="1077">
        <v>8298541</v>
      </c>
      <c r="IGD236" s="1077">
        <v>8298541</v>
      </c>
      <c r="IGE236" s="1077">
        <v>8298541</v>
      </c>
      <c r="IGF236" s="1077">
        <v>8298541</v>
      </c>
      <c r="IGG236" s="1077">
        <v>8298541</v>
      </c>
      <c r="IGH236" s="1077">
        <v>8298541</v>
      </c>
      <c r="IGI236" s="1077">
        <v>8298541</v>
      </c>
      <c r="IGJ236" s="1077">
        <v>8298541</v>
      </c>
      <c r="IGK236" s="1077">
        <v>8298541</v>
      </c>
      <c r="IGL236" s="1077">
        <v>8298541</v>
      </c>
      <c r="IGM236" s="1077">
        <v>8298541</v>
      </c>
      <c r="IGN236" s="1077">
        <v>8298541</v>
      </c>
      <c r="IGO236" s="1077">
        <v>8298541</v>
      </c>
      <c r="IGP236" s="1077">
        <v>8298541</v>
      </c>
      <c r="IGQ236" s="1077">
        <v>8298541</v>
      </c>
      <c r="IGR236" s="1077">
        <v>8298541</v>
      </c>
      <c r="IGS236" s="1077">
        <v>8298541</v>
      </c>
      <c r="IGT236" s="1077">
        <v>8298541</v>
      </c>
      <c r="IGU236" s="1077">
        <v>8298541</v>
      </c>
      <c r="IGV236" s="1077">
        <v>8298541</v>
      </c>
      <c r="IGW236" s="1077">
        <v>8298541</v>
      </c>
      <c r="IGX236" s="1077">
        <v>8298541</v>
      </c>
      <c r="IGY236" s="1077">
        <v>8298541</v>
      </c>
      <c r="IGZ236" s="1077">
        <v>8298541</v>
      </c>
      <c r="IHA236" s="1077">
        <v>8298541</v>
      </c>
      <c r="IHB236" s="1077">
        <v>8298541</v>
      </c>
      <c r="IHC236" s="1077">
        <v>8298541</v>
      </c>
      <c r="IHD236" s="1077">
        <v>8298541</v>
      </c>
      <c r="IHE236" s="1077">
        <v>8298541</v>
      </c>
      <c r="IHF236" s="1077">
        <v>8298541</v>
      </c>
      <c r="IHG236" s="1077">
        <v>8298541</v>
      </c>
      <c r="IHH236" s="1077">
        <v>8298541</v>
      </c>
      <c r="IHI236" s="1077">
        <v>8298541</v>
      </c>
      <c r="IHJ236" s="1077">
        <v>8298541</v>
      </c>
      <c r="IHK236" s="1077">
        <v>8298541</v>
      </c>
      <c r="IHL236" s="1077">
        <v>8298541</v>
      </c>
      <c r="IHM236" s="1077">
        <v>8298541</v>
      </c>
      <c r="IHN236" s="1077">
        <v>8298541</v>
      </c>
      <c r="IHO236" s="1077">
        <v>8298541</v>
      </c>
      <c r="IHP236" s="1077">
        <v>8298541</v>
      </c>
      <c r="IHQ236" s="1077">
        <v>8298541</v>
      </c>
      <c r="IHR236" s="1077">
        <v>8298541</v>
      </c>
      <c r="IHS236" s="1077">
        <v>8298541</v>
      </c>
      <c r="IHT236" s="1077">
        <v>8298541</v>
      </c>
      <c r="IHU236" s="1077">
        <v>8298541</v>
      </c>
      <c r="IHV236" s="1077">
        <v>8298541</v>
      </c>
      <c r="IHW236" s="1077">
        <v>8298541</v>
      </c>
      <c r="IHX236" s="1077">
        <v>8298541</v>
      </c>
      <c r="IHY236" s="1077">
        <v>8298541</v>
      </c>
      <c r="IHZ236" s="1077">
        <v>8298541</v>
      </c>
      <c r="IIA236" s="1077">
        <v>8298541</v>
      </c>
      <c r="IIB236" s="1077">
        <v>8298541</v>
      </c>
      <c r="IIC236" s="1077">
        <v>8298541</v>
      </c>
      <c r="IID236" s="1077">
        <v>8298541</v>
      </c>
      <c r="IIE236" s="1077">
        <v>8298541</v>
      </c>
      <c r="IIF236" s="1077">
        <v>8298541</v>
      </c>
      <c r="IIG236" s="1077">
        <v>8298541</v>
      </c>
      <c r="IIH236" s="1077">
        <v>8298541</v>
      </c>
      <c r="III236" s="1077">
        <v>8298541</v>
      </c>
      <c r="IIJ236" s="1077">
        <v>8298541</v>
      </c>
      <c r="IIK236" s="1077">
        <v>8298541</v>
      </c>
      <c r="IIL236" s="1077">
        <v>8298541</v>
      </c>
      <c r="IIM236" s="1077">
        <v>8298541</v>
      </c>
      <c r="IIN236" s="1077">
        <v>8298541</v>
      </c>
      <c r="IIO236" s="1077">
        <v>8298541</v>
      </c>
      <c r="IIP236" s="1077">
        <v>8298541</v>
      </c>
      <c r="IIQ236" s="1077">
        <v>8298541</v>
      </c>
      <c r="IIR236" s="1077">
        <v>8298541</v>
      </c>
      <c r="IIS236" s="1077">
        <v>8298541</v>
      </c>
      <c r="IIT236" s="1077">
        <v>8298541</v>
      </c>
      <c r="IIU236" s="1077">
        <v>8298541</v>
      </c>
      <c r="IIV236" s="1077">
        <v>8298541</v>
      </c>
      <c r="IIW236" s="1077">
        <v>8298541</v>
      </c>
      <c r="IIX236" s="1077">
        <v>8298541</v>
      </c>
      <c r="IIY236" s="1077">
        <v>8298541</v>
      </c>
      <c r="IIZ236" s="1077">
        <v>8298541</v>
      </c>
      <c r="IJA236" s="1077">
        <v>8298541</v>
      </c>
      <c r="IJB236" s="1077">
        <v>8298541</v>
      </c>
      <c r="IJC236" s="1077">
        <v>8298541</v>
      </c>
      <c r="IJD236" s="1077">
        <v>8298541</v>
      </c>
      <c r="IJE236" s="1077">
        <v>8298541</v>
      </c>
      <c r="IJF236" s="1077">
        <v>8298541</v>
      </c>
      <c r="IJG236" s="1077">
        <v>8298541</v>
      </c>
      <c r="IJH236" s="1077">
        <v>8298541</v>
      </c>
      <c r="IJI236" s="1077">
        <v>8298541</v>
      </c>
      <c r="IJJ236" s="1077">
        <v>8298541</v>
      </c>
      <c r="IJK236" s="1077">
        <v>8298541</v>
      </c>
      <c r="IJL236" s="1077">
        <v>8298541</v>
      </c>
      <c r="IJM236" s="1077">
        <v>8298541</v>
      </c>
      <c r="IJN236" s="1077">
        <v>8298541</v>
      </c>
      <c r="IJO236" s="1077">
        <v>8298541</v>
      </c>
      <c r="IJP236" s="1077">
        <v>8298541</v>
      </c>
      <c r="IJQ236" s="1077">
        <v>8298541</v>
      </c>
      <c r="IJR236" s="1077">
        <v>8298541</v>
      </c>
      <c r="IJS236" s="1077">
        <v>8298541</v>
      </c>
      <c r="IJT236" s="1077">
        <v>8298541</v>
      </c>
      <c r="IJU236" s="1077">
        <v>8298541</v>
      </c>
      <c r="IJV236" s="1077">
        <v>8298541</v>
      </c>
      <c r="IJW236" s="1077">
        <v>8298541</v>
      </c>
      <c r="IJX236" s="1077">
        <v>8298541</v>
      </c>
      <c r="IJY236" s="1077">
        <v>8298541</v>
      </c>
      <c r="IJZ236" s="1077">
        <v>8298541</v>
      </c>
      <c r="IKA236" s="1077">
        <v>8298541</v>
      </c>
      <c r="IKB236" s="1077">
        <v>8298541</v>
      </c>
      <c r="IKC236" s="1077">
        <v>8298541</v>
      </c>
      <c r="IKD236" s="1077">
        <v>8298541</v>
      </c>
      <c r="IKE236" s="1077">
        <v>8298541</v>
      </c>
      <c r="IKF236" s="1077">
        <v>8298541</v>
      </c>
      <c r="IKG236" s="1077">
        <v>8298541</v>
      </c>
      <c r="IKH236" s="1077">
        <v>8298541</v>
      </c>
      <c r="IKI236" s="1077">
        <v>8298541</v>
      </c>
      <c r="IKJ236" s="1077">
        <v>8298541</v>
      </c>
      <c r="IKK236" s="1077">
        <v>8298541</v>
      </c>
      <c r="IKL236" s="1077">
        <v>8298541</v>
      </c>
      <c r="IKM236" s="1077">
        <v>8298541</v>
      </c>
      <c r="IKN236" s="1077">
        <v>8298541</v>
      </c>
      <c r="IKO236" s="1077">
        <v>8298541</v>
      </c>
      <c r="IKP236" s="1077">
        <v>8298541</v>
      </c>
      <c r="IKQ236" s="1077">
        <v>8298541</v>
      </c>
      <c r="IKR236" s="1077">
        <v>8298541</v>
      </c>
      <c r="IKS236" s="1077">
        <v>8298541</v>
      </c>
      <c r="IKT236" s="1077">
        <v>8298541</v>
      </c>
      <c r="IKU236" s="1077">
        <v>8298541</v>
      </c>
      <c r="IKV236" s="1077">
        <v>8298541</v>
      </c>
      <c r="IKW236" s="1077">
        <v>8298541</v>
      </c>
      <c r="IKX236" s="1077">
        <v>8298541</v>
      </c>
      <c r="IKY236" s="1077">
        <v>8298541</v>
      </c>
      <c r="IKZ236" s="1077">
        <v>8298541</v>
      </c>
      <c r="ILA236" s="1077">
        <v>8298541</v>
      </c>
      <c r="ILB236" s="1077">
        <v>8298541</v>
      </c>
      <c r="ILC236" s="1077">
        <v>8298541</v>
      </c>
      <c r="ILD236" s="1077">
        <v>8298541</v>
      </c>
      <c r="ILE236" s="1077">
        <v>8298541</v>
      </c>
      <c r="ILF236" s="1077">
        <v>8298541</v>
      </c>
      <c r="ILG236" s="1077">
        <v>8298541</v>
      </c>
      <c r="ILH236" s="1077">
        <v>8298541</v>
      </c>
      <c r="ILI236" s="1077">
        <v>8298541</v>
      </c>
      <c r="ILJ236" s="1077">
        <v>8298541</v>
      </c>
      <c r="ILK236" s="1077">
        <v>8298541</v>
      </c>
      <c r="ILL236" s="1077">
        <v>8298541</v>
      </c>
      <c r="ILM236" s="1077">
        <v>8298541</v>
      </c>
      <c r="ILN236" s="1077">
        <v>8298541</v>
      </c>
      <c r="ILO236" s="1077">
        <v>8298541</v>
      </c>
      <c r="ILP236" s="1077">
        <v>8298541</v>
      </c>
      <c r="ILQ236" s="1077">
        <v>8298541</v>
      </c>
      <c r="ILR236" s="1077">
        <v>8298541</v>
      </c>
      <c r="ILS236" s="1077">
        <v>8298541</v>
      </c>
      <c r="ILT236" s="1077">
        <v>8298541</v>
      </c>
      <c r="ILU236" s="1077">
        <v>8298541</v>
      </c>
      <c r="ILV236" s="1077">
        <v>8298541</v>
      </c>
      <c r="ILW236" s="1077">
        <v>8298541</v>
      </c>
      <c r="ILX236" s="1077">
        <v>8298541</v>
      </c>
      <c r="ILY236" s="1077">
        <v>8298541</v>
      </c>
      <c r="ILZ236" s="1077">
        <v>8298541</v>
      </c>
      <c r="IMA236" s="1077">
        <v>8298541</v>
      </c>
      <c r="IMB236" s="1077">
        <v>8298541</v>
      </c>
      <c r="IMC236" s="1077">
        <v>8298541</v>
      </c>
      <c r="IMD236" s="1077">
        <v>8298541</v>
      </c>
      <c r="IME236" s="1077">
        <v>8298541</v>
      </c>
      <c r="IMF236" s="1077">
        <v>8298541</v>
      </c>
      <c r="IMG236" s="1077">
        <v>8298541</v>
      </c>
      <c r="IMH236" s="1077">
        <v>8298541</v>
      </c>
      <c r="IMI236" s="1077">
        <v>8298541</v>
      </c>
      <c r="IMJ236" s="1077">
        <v>8298541</v>
      </c>
      <c r="IMK236" s="1077">
        <v>8298541</v>
      </c>
      <c r="IML236" s="1077">
        <v>8298541</v>
      </c>
      <c r="IMM236" s="1077">
        <v>8298541</v>
      </c>
      <c r="IMN236" s="1077">
        <v>8298541</v>
      </c>
      <c r="IMO236" s="1077">
        <v>8298541</v>
      </c>
      <c r="IMP236" s="1077">
        <v>8298541</v>
      </c>
      <c r="IMQ236" s="1077">
        <v>8298541</v>
      </c>
      <c r="IMR236" s="1077">
        <v>8298541</v>
      </c>
      <c r="IMS236" s="1077">
        <v>8298541</v>
      </c>
      <c r="IMT236" s="1077">
        <v>8298541</v>
      </c>
      <c r="IMU236" s="1077">
        <v>8298541</v>
      </c>
      <c r="IMV236" s="1077">
        <v>8298541</v>
      </c>
      <c r="IMW236" s="1077">
        <v>8298541</v>
      </c>
      <c r="IMX236" s="1077">
        <v>8298541</v>
      </c>
      <c r="IMY236" s="1077">
        <v>8298541</v>
      </c>
      <c r="IMZ236" s="1077">
        <v>8298541</v>
      </c>
      <c r="INA236" s="1077">
        <v>8298541</v>
      </c>
      <c r="INB236" s="1077">
        <v>8298541</v>
      </c>
      <c r="INC236" s="1077">
        <v>8298541</v>
      </c>
      <c r="IND236" s="1077">
        <v>8298541</v>
      </c>
      <c r="INE236" s="1077">
        <v>8298541</v>
      </c>
      <c r="INF236" s="1077">
        <v>8298541</v>
      </c>
      <c r="ING236" s="1077">
        <v>8298541</v>
      </c>
      <c r="INH236" s="1077">
        <v>8298541</v>
      </c>
      <c r="INI236" s="1077">
        <v>8298541</v>
      </c>
      <c r="INJ236" s="1077">
        <v>8298541</v>
      </c>
      <c r="INK236" s="1077">
        <v>8298541</v>
      </c>
      <c r="INL236" s="1077">
        <v>8298541</v>
      </c>
      <c r="INM236" s="1077">
        <v>8298541</v>
      </c>
      <c r="INN236" s="1077">
        <v>8298541</v>
      </c>
      <c r="INO236" s="1077">
        <v>8298541</v>
      </c>
      <c r="INP236" s="1077">
        <v>8298541</v>
      </c>
      <c r="INQ236" s="1077">
        <v>8298541</v>
      </c>
      <c r="INR236" s="1077">
        <v>8298541</v>
      </c>
      <c r="INS236" s="1077">
        <v>8298541</v>
      </c>
      <c r="INT236" s="1077">
        <v>8298541</v>
      </c>
      <c r="INU236" s="1077">
        <v>8298541</v>
      </c>
      <c r="INV236" s="1077">
        <v>8298541</v>
      </c>
      <c r="INW236" s="1077">
        <v>8298541</v>
      </c>
      <c r="INX236" s="1077">
        <v>8298541</v>
      </c>
      <c r="INY236" s="1077">
        <v>8298541</v>
      </c>
      <c r="INZ236" s="1077">
        <v>8298541</v>
      </c>
      <c r="IOA236" s="1077">
        <v>8298541</v>
      </c>
      <c r="IOB236" s="1077">
        <v>8298541</v>
      </c>
      <c r="IOC236" s="1077">
        <v>8298541</v>
      </c>
      <c r="IOD236" s="1077">
        <v>8298541</v>
      </c>
      <c r="IOE236" s="1077">
        <v>8298541</v>
      </c>
      <c r="IOF236" s="1077">
        <v>8298541</v>
      </c>
      <c r="IOG236" s="1077">
        <v>8298541</v>
      </c>
      <c r="IOH236" s="1077">
        <v>8298541</v>
      </c>
      <c r="IOI236" s="1077">
        <v>8298541</v>
      </c>
      <c r="IOJ236" s="1077">
        <v>8298541</v>
      </c>
      <c r="IOK236" s="1077">
        <v>8298541</v>
      </c>
      <c r="IOL236" s="1077">
        <v>8298541</v>
      </c>
      <c r="IOM236" s="1077">
        <v>8298541</v>
      </c>
      <c r="ION236" s="1077">
        <v>8298541</v>
      </c>
      <c r="IOO236" s="1077">
        <v>8298541</v>
      </c>
      <c r="IOP236" s="1077">
        <v>8298541</v>
      </c>
      <c r="IOQ236" s="1077">
        <v>8298541</v>
      </c>
      <c r="IOR236" s="1077">
        <v>8298541</v>
      </c>
      <c r="IOS236" s="1077">
        <v>8298541</v>
      </c>
      <c r="IOT236" s="1077">
        <v>8298541</v>
      </c>
      <c r="IOU236" s="1077">
        <v>8298541</v>
      </c>
      <c r="IOV236" s="1077">
        <v>8298541</v>
      </c>
      <c r="IOW236" s="1077">
        <v>8298541</v>
      </c>
      <c r="IOX236" s="1077">
        <v>8298541</v>
      </c>
      <c r="IOY236" s="1077">
        <v>8298541</v>
      </c>
      <c r="IOZ236" s="1077">
        <v>8298541</v>
      </c>
      <c r="IPA236" s="1077">
        <v>8298541</v>
      </c>
      <c r="IPB236" s="1077">
        <v>8298541</v>
      </c>
      <c r="IPC236" s="1077">
        <v>8298541</v>
      </c>
      <c r="IPD236" s="1077">
        <v>8298541</v>
      </c>
      <c r="IPE236" s="1077">
        <v>8298541</v>
      </c>
      <c r="IPF236" s="1077">
        <v>8298541</v>
      </c>
      <c r="IPG236" s="1077">
        <v>8298541</v>
      </c>
      <c r="IPH236" s="1077">
        <v>8298541</v>
      </c>
      <c r="IPI236" s="1077">
        <v>8298541</v>
      </c>
      <c r="IPJ236" s="1077">
        <v>8298541</v>
      </c>
      <c r="IPK236" s="1077">
        <v>8298541</v>
      </c>
      <c r="IPL236" s="1077">
        <v>8298541</v>
      </c>
      <c r="IPM236" s="1077">
        <v>8298541</v>
      </c>
      <c r="IPN236" s="1077">
        <v>8298541</v>
      </c>
      <c r="IPO236" s="1077">
        <v>8298541</v>
      </c>
      <c r="IPP236" s="1077">
        <v>8298541</v>
      </c>
      <c r="IPQ236" s="1077">
        <v>8298541</v>
      </c>
      <c r="IPR236" s="1077">
        <v>8298541</v>
      </c>
      <c r="IPS236" s="1077">
        <v>8298541</v>
      </c>
      <c r="IPT236" s="1077">
        <v>8298541</v>
      </c>
      <c r="IPU236" s="1077">
        <v>8298541</v>
      </c>
      <c r="IPV236" s="1077">
        <v>8298541</v>
      </c>
      <c r="IPW236" s="1077">
        <v>8298541</v>
      </c>
      <c r="IPX236" s="1077">
        <v>8298541</v>
      </c>
      <c r="IPY236" s="1077">
        <v>8298541</v>
      </c>
      <c r="IPZ236" s="1077">
        <v>8298541</v>
      </c>
      <c r="IQA236" s="1077">
        <v>8298541</v>
      </c>
      <c r="IQB236" s="1077">
        <v>8298541</v>
      </c>
      <c r="IQC236" s="1077">
        <v>8298541</v>
      </c>
      <c r="IQD236" s="1077">
        <v>8298541</v>
      </c>
      <c r="IQE236" s="1077">
        <v>8298541</v>
      </c>
      <c r="IQF236" s="1077">
        <v>8298541</v>
      </c>
      <c r="IQG236" s="1077">
        <v>8298541</v>
      </c>
      <c r="IQH236" s="1077">
        <v>8298541</v>
      </c>
      <c r="IQI236" s="1077">
        <v>8298541</v>
      </c>
      <c r="IQJ236" s="1077">
        <v>8298541</v>
      </c>
      <c r="IQK236" s="1077">
        <v>8298541</v>
      </c>
      <c r="IQL236" s="1077">
        <v>8298541</v>
      </c>
      <c r="IQM236" s="1077">
        <v>8298541</v>
      </c>
      <c r="IQN236" s="1077">
        <v>8298541</v>
      </c>
      <c r="IQO236" s="1077">
        <v>8298541</v>
      </c>
      <c r="IQP236" s="1077">
        <v>8298541</v>
      </c>
      <c r="IQQ236" s="1077">
        <v>8298541</v>
      </c>
      <c r="IQR236" s="1077">
        <v>8298541</v>
      </c>
      <c r="IQS236" s="1077">
        <v>8298541</v>
      </c>
      <c r="IQT236" s="1077">
        <v>8298541</v>
      </c>
      <c r="IQU236" s="1077">
        <v>8298541</v>
      </c>
      <c r="IQV236" s="1077">
        <v>8298541</v>
      </c>
      <c r="IQW236" s="1077">
        <v>8298541</v>
      </c>
      <c r="IQX236" s="1077">
        <v>8298541</v>
      </c>
      <c r="IQY236" s="1077">
        <v>8298541</v>
      </c>
      <c r="IQZ236" s="1077">
        <v>8298541</v>
      </c>
      <c r="IRA236" s="1077">
        <v>8298541</v>
      </c>
      <c r="IRB236" s="1077">
        <v>8298541</v>
      </c>
      <c r="IRC236" s="1077">
        <v>8298541</v>
      </c>
      <c r="IRD236" s="1077">
        <v>8298541</v>
      </c>
      <c r="IRE236" s="1077">
        <v>8298541</v>
      </c>
      <c r="IRF236" s="1077">
        <v>8298541</v>
      </c>
      <c r="IRG236" s="1077">
        <v>8298541</v>
      </c>
      <c r="IRH236" s="1077">
        <v>8298541</v>
      </c>
      <c r="IRI236" s="1077">
        <v>8298541</v>
      </c>
      <c r="IRJ236" s="1077">
        <v>8298541</v>
      </c>
      <c r="IRK236" s="1077">
        <v>8298541</v>
      </c>
      <c r="IRL236" s="1077">
        <v>8298541</v>
      </c>
      <c r="IRM236" s="1077">
        <v>8298541</v>
      </c>
      <c r="IRN236" s="1077">
        <v>8298541</v>
      </c>
      <c r="IRO236" s="1077">
        <v>8298541</v>
      </c>
      <c r="IRP236" s="1077">
        <v>8298541</v>
      </c>
      <c r="IRQ236" s="1077">
        <v>8298541</v>
      </c>
      <c r="IRR236" s="1077">
        <v>8298541</v>
      </c>
      <c r="IRS236" s="1077">
        <v>8298541</v>
      </c>
      <c r="IRT236" s="1077">
        <v>8298541</v>
      </c>
      <c r="IRU236" s="1077">
        <v>8298541</v>
      </c>
      <c r="IRV236" s="1077">
        <v>8298541</v>
      </c>
      <c r="IRW236" s="1077">
        <v>8298541</v>
      </c>
      <c r="IRX236" s="1077">
        <v>8298541</v>
      </c>
      <c r="IRY236" s="1077">
        <v>8298541</v>
      </c>
      <c r="IRZ236" s="1077">
        <v>8298541</v>
      </c>
      <c r="ISA236" s="1077">
        <v>8298541</v>
      </c>
      <c r="ISB236" s="1077">
        <v>8298541</v>
      </c>
      <c r="ISC236" s="1077">
        <v>8298541</v>
      </c>
      <c r="ISD236" s="1077">
        <v>8298541</v>
      </c>
      <c r="ISE236" s="1077">
        <v>8298541</v>
      </c>
      <c r="ISF236" s="1077">
        <v>8298541</v>
      </c>
      <c r="ISG236" s="1077">
        <v>8298541</v>
      </c>
      <c r="ISH236" s="1077">
        <v>8298541</v>
      </c>
      <c r="ISI236" s="1077">
        <v>8298541</v>
      </c>
      <c r="ISJ236" s="1077">
        <v>8298541</v>
      </c>
      <c r="ISK236" s="1077">
        <v>8298541</v>
      </c>
      <c r="ISL236" s="1077">
        <v>8298541</v>
      </c>
      <c r="ISM236" s="1077">
        <v>8298541</v>
      </c>
      <c r="ISN236" s="1077">
        <v>8298541</v>
      </c>
      <c r="ISO236" s="1077">
        <v>8298541</v>
      </c>
      <c r="ISP236" s="1077">
        <v>8298541</v>
      </c>
      <c r="ISQ236" s="1077">
        <v>8298541</v>
      </c>
      <c r="ISR236" s="1077">
        <v>8298541</v>
      </c>
      <c r="ISS236" s="1077">
        <v>8298541</v>
      </c>
      <c r="IST236" s="1077">
        <v>8298541</v>
      </c>
      <c r="ISU236" s="1077">
        <v>8298541</v>
      </c>
      <c r="ISV236" s="1077">
        <v>8298541</v>
      </c>
      <c r="ISW236" s="1077">
        <v>8298541</v>
      </c>
      <c r="ISX236" s="1077">
        <v>8298541</v>
      </c>
      <c r="ISY236" s="1077">
        <v>8298541</v>
      </c>
      <c r="ISZ236" s="1077">
        <v>8298541</v>
      </c>
      <c r="ITA236" s="1077">
        <v>8298541</v>
      </c>
      <c r="ITB236" s="1077">
        <v>8298541</v>
      </c>
      <c r="ITC236" s="1077">
        <v>8298541</v>
      </c>
      <c r="ITD236" s="1077">
        <v>8298541</v>
      </c>
      <c r="ITE236" s="1077">
        <v>8298541</v>
      </c>
      <c r="ITF236" s="1077">
        <v>8298541</v>
      </c>
      <c r="ITG236" s="1077">
        <v>8298541</v>
      </c>
      <c r="ITH236" s="1077">
        <v>8298541</v>
      </c>
      <c r="ITI236" s="1077">
        <v>8298541</v>
      </c>
      <c r="ITJ236" s="1077">
        <v>8298541</v>
      </c>
      <c r="ITK236" s="1077">
        <v>8298541</v>
      </c>
      <c r="ITL236" s="1077">
        <v>8298541</v>
      </c>
      <c r="ITM236" s="1077">
        <v>8298541</v>
      </c>
      <c r="ITN236" s="1077">
        <v>8298541</v>
      </c>
      <c r="ITO236" s="1077">
        <v>8298541</v>
      </c>
      <c r="ITP236" s="1077">
        <v>8298541</v>
      </c>
      <c r="ITQ236" s="1077">
        <v>8298541</v>
      </c>
      <c r="ITR236" s="1077">
        <v>8298541</v>
      </c>
      <c r="ITS236" s="1077">
        <v>8298541</v>
      </c>
      <c r="ITT236" s="1077">
        <v>8298541</v>
      </c>
      <c r="ITU236" s="1077">
        <v>8298541</v>
      </c>
      <c r="ITV236" s="1077">
        <v>8298541</v>
      </c>
      <c r="ITW236" s="1077">
        <v>8298541</v>
      </c>
      <c r="ITX236" s="1077">
        <v>8298541</v>
      </c>
      <c r="ITY236" s="1077">
        <v>8298541</v>
      </c>
      <c r="ITZ236" s="1077">
        <v>8298541</v>
      </c>
      <c r="IUA236" s="1077">
        <v>8298541</v>
      </c>
      <c r="IUB236" s="1077">
        <v>8298541</v>
      </c>
      <c r="IUC236" s="1077">
        <v>8298541</v>
      </c>
      <c r="IUD236" s="1077">
        <v>8298541</v>
      </c>
      <c r="IUE236" s="1077">
        <v>8298541</v>
      </c>
      <c r="IUF236" s="1077">
        <v>8298541</v>
      </c>
      <c r="IUG236" s="1077">
        <v>8298541</v>
      </c>
      <c r="IUH236" s="1077">
        <v>8298541</v>
      </c>
      <c r="IUI236" s="1077">
        <v>8298541</v>
      </c>
      <c r="IUJ236" s="1077">
        <v>8298541</v>
      </c>
      <c r="IUK236" s="1077">
        <v>8298541</v>
      </c>
      <c r="IUL236" s="1077">
        <v>8298541</v>
      </c>
      <c r="IUM236" s="1077">
        <v>8298541</v>
      </c>
      <c r="IUN236" s="1077">
        <v>8298541</v>
      </c>
      <c r="IUO236" s="1077">
        <v>8298541</v>
      </c>
      <c r="IUP236" s="1077">
        <v>8298541</v>
      </c>
      <c r="IUQ236" s="1077">
        <v>8298541</v>
      </c>
      <c r="IUR236" s="1077">
        <v>8298541</v>
      </c>
      <c r="IUS236" s="1077">
        <v>8298541</v>
      </c>
      <c r="IUT236" s="1077">
        <v>8298541</v>
      </c>
      <c r="IUU236" s="1077">
        <v>8298541</v>
      </c>
      <c r="IUV236" s="1077">
        <v>8298541</v>
      </c>
      <c r="IUW236" s="1077">
        <v>8298541</v>
      </c>
      <c r="IUX236" s="1077">
        <v>8298541</v>
      </c>
      <c r="IUY236" s="1077">
        <v>8298541</v>
      </c>
      <c r="IUZ236" s="1077">
        <v>8298541</v>
      </c>
      <c r="IVA236" s="1077">
        <v>8298541</v>
      </c>
      <c r="IVB236" s="1077">
        <v>8298541</v>
      </c>
      <c r="IVC236" s="1077">
        <v>8298541</v>
      </c>
      <c r="IVD236" s="1077">
        <v>8298541</v>
      </c>
      <c r="IVE236" s="1077">
        <v>8298541</v>
      </c>
      <c r="IVF236" s="1077">
        <v>8298541</v>
      </c>
      <c r="IVG236" s="1077">
        <v>8298541</v>
      </c>
      <c r="IVH236" s="1077">
        <v>8298541</v>
      </c>
      <c r="IVI236" s="1077">
        <v>8298541</v>
      </c>
      <c r="IVJ236" s="1077">
        <v>8298541</v>
      </c>
      <c r="IVK236" s="1077">
        <v>8298541</v>
      </c>
      <c r="IVL236" s="1077">
        <v>8298541</v>
      </c>
      <c r="IVM236" s="1077">
        <v>8298541</v>
      </c>
      <c r="IVN236" s="1077">
        <v>8298541</v>
      </c>
      <c r="IVO236" s="1077">
        <v>8298541</v>
      </c>
      <c r="IVP236" s="1077">
        <v>8298541</v>
      </c>
      <c r="IVQ236" s="1077">
        <v>8298541</v>
      </c>
      <c r="IVR236" s="1077">
        <v>8298541</v>
      </c>
      <c r="IVS236" s="1077">
        <v>8298541</v>
      </c>
      <c r="IVT236" s="1077">
        <v>8298541</v>
      </c>
      <c r="IVU236" s="1077">
        <v>8298541</v>
      </c>
      <c r="IVV236" s="1077">
        <v>8298541</v>
      </c>
      <c r="IVW236" s="1077">
        <v>8298541</v>
      </c>
      <c r="IVX236" s="1077">
        <v>8298541</v>
      </c>
      <c r="IVY236" s="1077">
        <v>8298541</v>
      </c>
      <c r="IVZ236" s="1077">
        <v>8298541</v>
      </c>
      <c r="IWA236" s="1077">
        <v>8298541</v>
      </c>
      <c r="IWB236" s="1077">
        <v>8298541</v>
      </c>
      <c r="IWC236" s="1077">
        <v>8298541</v>
      </c>
      <c r="IWD236" s="1077">
        <v>8298541</v>
      </c>
      <c r="IWE236" s="1077">
        <v>8298541</v>
      </c>
      <c r="IWF236" s="1077">
        <v>8298541</v>
      </c>
      <c r="IWG236" s="1077">
        <v>8298541</v>
      </c>
      <c r="IWH236" s="1077">
        <v>8298541</v>
      </c>
      <c r="IWI236" s="1077">
        <v>8298541</v>
      </c>
      <c r="IWJ236" s="1077">
        <v>8298541</v>
      </c>
      <c r="IWK236" s="1077">
        <v>8298541</v>
      </c>
      <c r="IWL236" s="1077">
        <v>8298541</v>
      </c>
      <c r="IWM236" s="1077">
        <v>8298541</v>
      </c>
      <c r="IWN236" s="1077">
        <v>8298541</v>
      </c>
      <c r="IWO236" s="1077">
        <v>8298541</v>
      </c>
      <c r="IWP236" s="1077">
        <v>8298541</v>
      </c>
      <c r="IWQ236" s="1077">
        <v>8298541</v>
      </c>
      <c r="IWR236" s="1077">
        <v>8298541</v>
      </c>
      <c r="IWS236" s="1077">
        <v>8298541</v>
      </c>
      <c r="IWT236" s="1077">
        <v>8298541</v>
      </c>
      <c r="IWU236" s="1077">
        <v>8298541</v>
      </c>
      <c r="IWV236" s="1077">
        <v>8298541</v>
      </c>
      <c r="IWW236" s="1077">
        <v>8298541</v>
      </c>
      <c r="IWX236" s="1077">
        <v>8298541</v>
      </c>
      <c r="IWY236" s="1077">
        <v>8298541</v>
      </c>
      <c r="IWZ236" s="1077">
        <v>8298541</v>
      </c>
      <c r="IXA236" s="1077">
        <v>8298541</v>
      </c>
      <c r="IXB236" s="1077">
        <v>8298541</v>
      </c>
      <c r="IXC236" s="1077">
        <v>8298541</v>
      </c>
      <c r="IXD236" s="1077">
        <v>8298541</v>
      </c>
      <c r="IXE236" s="1077">
        <v>8298541</v>
      </c>
      <c r="IXF236" s="1077">
        <v>8298541</v>
      </c>
      <c r="IXG236" s="1077">
        <v>8298541</v>
      </c>
      <c r="IXH236" s="1077">
        <v>8298541</v>
      </c>
      <c r="IXI236" s="1077">
        <v>8298541</v>
      </c>
      <c r="IXJ236" s="1077">
        <v>8298541</v>
      </c>
      <c r="IXK236" s="1077">
        <v>8298541</v>
      </c>
      <c r="IXL236" s="1077">
        <v>8298541</v>
      </c>
      <c r="IXM236" s="1077">
        <v>8298541</v>
      </c>
      <c r="IXN236" s="1077">
        <v>8298541</v>
      </c>
      <c r="IXO236" s="1077">
        <v>8298541</v>
      </c>
      <c r="IXP236" s="1077">
        <v>8298541</v>
      </c>
      <c r="IXQ236" s="1077">
        <v>8298541</v>
      </c>
      <c r="IXR236" s="1077">
        <v>8298541</v>
      </c>
      <c r="IXS236" s="1077">
        <v>8298541</v>
      </c>
      <c r="IXT236" s="1077">
        <v>8298541</v>
      </c>
      <c r="IXU236" s="1077">
        <v>8298541</v>
      </c>
      <c r="IXV236" s="1077">
        <v>8298541</v>
      </c>
      <c r="IXW236" s="1077">
        <v>8298541</v>
      </c>
      <c r="IXX236" s="1077">
        <v>8298541</v>
      </c>
      <c r="IXY236" s="1077">
        <v>8298541</v>
      </c>
      <c r="IXZ236" s="1077">
        <v>8298541</v>
      </c>
      <c r="IYA236" s="1077">
        <v>8298541</v>
      </c>
      <c r="IYB236" s="1077">
        <v>8298541</v>
      </c>
      <c r="IYC236" s="1077">
        <v>8298541</v>
      </c>
      <c r="IYD236" s="1077">
        <v>8298541</v>
      </c>
      <c r="IYE236" s="1077">
        <v>8298541</v>
      </c>
      <c r="IYF236" s="1077">
        <v>8298541</v>
      </c>
      <c r="IYG236" s="1077">
        <v>8298541</v>
      </c>
      <c r="IYH236" s="1077">
        <v>8298541</v>
      </c>
      <c r="IYI236" s="1077">
        <v>8298541</v>
      </c>
      <c r="IYJ236" s="1077">
        <v>8298541</v>
      </c>
      <c r="IYK236" s="1077">
        <v>8298541</v>
      </c>
      <c r="IYL236" s="1077">
        <v>8298541</v>
      </c>
      <c r="IYM236" s="1077">
        <v>8298541</v>
      </c>
      <c r="IYN236" s="1077">
        <v>8298541</v>
      </c>
      <c r="IYO236" s="1077">
        <v>8298541</v>
      </c>
      <c r="IYP236" s="1077">
        <v>8298541</v>
      </c>
      <c r="IYQ236" s="1077">
        <v>8298541</v>
      </c>
      <c r="IYR236" s="1077">
        <v>8298541</v>
      </c>
      <c r="IYS236" s="1077">
        <v>8298541</v>
      </c>
      <c r="IYT236" s="1077">
        <v>8298541</v>
      </c>
      <c r="IYU236" s="1077">
        <v>8298541</v>
      </c>
      <c r="IYV236" s="1077">
        <v>8298541</v>
      </c>
      <c r="IYW236" s="1077">
        <v>8298541</v>
      </c>
      <c r="IYX236" s="1077">
        <v>8298541</v>
      </c>
      <c r="IYY236" s="1077">
        <v>8298541</v>
      </c>
      <c r="IYZ236" s="1077">
        <v>8298541</v>
      </c>
      <c r="IZA236" s="1077">
        <v>8298541</v>
      </c>
      <c r="IZB236" s="1077">
        <v>8298541</v>
      </c>
      <c r="IZC236" s="1077">
        <v>8298541</v>
      </c>
      <c r="IZD236" s="1077">
        <v>8298541</v>
      </c>
      <c r="IZE236" s="1077">
        <v>8298541</v>
      </c>
      <c r="IZF236" s="1077">
        <v>8298541</v>
      </c>
      <c r="IZG236" s="1077">
        <v>8298541</v>
      </c>
      <c r="IZH236" s="1077">
        <v>8298541</v>
      </c>
      <c r="IZI236" s="1077">
        <v>8298541</v>
      </c>
      <c r="IZJ236" s="1077">
        <v>8298541</v>
      </c>
      <c r="IZK236" s="1077">
        <v>8298541</v>
      </c>
      <c r="IZL236" s="1077">
        <v>8298541</v>
      </c>
      <c r="IZM236" s="1077">
        <v>8298541</v>
      </c>
      <c r="IZN236" s="1077">
        <v>8298541</v>
      </c>
      <c r="IZO236" s="1077">
        <v>8298541</v>
      </c>
      <c r="IZP236" s="1077">
        <v>8298541</v>
      </c>
      <c r="IZQ236" s="1077">
        <v>8298541</v>
      </c>
      <c r="IZR236" s="1077">
        <v>8298541</v>
      </c>
      <c r="IZS236" s="1077">
        <v>8298541</v>
      </c>
      <c r="IZT236" s="1077">
        <v>8298541</v>
      </c>
      <c r="IZU236" s="1077">
        <v>8298541</v>
      </c>
      <c r="IZV236" s="1077">
        <v>8298541</v>
      </c>
      <c r="IZW236" s="1077">
        <v>8298541</v>
      </c>
      <c r="IZX236" s="1077">
        <v>8298541</v>
      </c>
      <c r="IZY236" s="1077">
        <v>8298541</v>
      </c>
      <c r="IZZ236" s="1077">
        <v>8298541</v>
      </c>
      <c r="JAA236" s="1077">
        <v>8298541</v>
      </c>
      <c r="JAB236" s="1077">
        <v>8298541</v>
      </c>
      <c r="JAC236" s="1077">
        <v>8298541</v>
      </c>
      <c r="JAD236" s="1077">
        <v>8298541</v>
      </c>
      <c r="JAE236" s="1077">
        <v>8298541</v>
      </c>
      <c r="JAF236" s="1077">
        <v>8298541</v>
      </c>
      <c r="JAG236" s="1077">
        <v>8298541</v>
      </c>
      <c r="JAH236" s="1077">
        <v>8298541</v>
      </c>
      <c r="JAI236" s="1077">
        <v>8298541</v>
      </c>
      <c r="JAJ236" s="1077">
        <v>8298541</v>
      </c>
      <c r="JAK236" s="1077">
        <v>8298541</v>
      </c>
      <c r="JAL236" s="1077">
        <v>8298541</v>
      </c>
      <c r="JAM236" s="1077">
        <v>8298541</v>
      </c>
      <c r="JAN236" s="1077">
        <v>8298541</v>
      </c>
      <c r="JAO236" s="1077">
        <v>8298541</v>
      </c>
      <c r="JAP236" s="1077">
        <v>8298541</v>
      </c>
      <c r="JAQ236" s="1077">
        <v>8298541</v>
      </c>
      <c r="JAR236" s="1077">
        <v>8298541</v>
      </c>
      <c r="JAS236" s="1077">
        <v>8298541</v>
      </c>
      <c r="JAT236" s="1077">
        <v>8298541</v>
      </c>
      <c r="JAU236" s="1077">
        <v>8298541</v>
      </c>
      <c r="JAV236" s="1077">
        <v>8298541</v>
      </c>
      <c r="JAW236" s="1077">
        <v>8298541</v>
      </c>
      <c r="JAX236" s="1077">
        <v>8298541</v>
      </c>
      <c r="JAY236" s="1077">
        <v>8298541</v>
      </c>
      <c r="JAZ236" s="1077">
        <v>8298541</v>
      </c>
      <c r="JBA236" s="1077">
        <v>8298541</v>
      </c>
      <c r="JBB236" s="1077">
        <v>8298541</v>
      </c>
      <c r="JBC236" s="1077">
        <v>8298541</v>
      </c>
      <c r="JBD236" s="1077">
        <v>8298541</v>
      </c>
      <c r="JBE236" s="1077">
        <v>8298541</v>
      </c>
      <c r="JBF236" s="1077">
        <v>8298541</v>
      </c>
      <c r="JBG236" s="1077">
        <v>8298541</v>
      </c>
      <c r="JBH236" s="1077">
        <v>8298541</v>
      </c>
      <c r="JBI236" s="1077">
        <v>8298541</v>
      </c>
      <c r="JBJ236" s="1077">
        <v>8298541</v>
      </c>
      <c r="JBK236" s="1077">
        <v>8298541</v>
      </c>
      <c r="JBL236" s="1077">
        <v>8298541</v>
      </c>
      <c r="JBM236" s="1077">
        <v>8298541</v>
      </c>
      <c r="JBN236" s="1077">
        <v>8298541</v>
      </c>
      <c r="JBO236" s="1077">
        <v>8298541</v>
      </c>
      <c r="JBP236" s="1077">
        <v>8298541</v>
      </c>
      <c r="JBQ236" s="1077">
        <v>8298541</v>
      </c>
      <c r="JBR236" s="1077">
        <v>8298541</v>
      </c>
      <c r="JBS236" s="1077">
        <v>8298541</v>
      </c>
      <c r="JBT236" s="1077">
        <v>8298541</v>
      </c>
      <c r="JBU236" s="1077">
        <v>8298541</v>
      </c>
      <c r="JBV236" s="1077">
        <v>8298541</v>
      </c>
      <c r="JBW236" s="1077">
        <v>8298541</v>
      </c>
      <c r="JBX236" s="1077">
        <v>8298541</v>
      </c>
      <c r="JBY236" s="1077">
        <v>8298541</v>
      </c>
      <c r="JBZ236" s="1077">
        <v>8298541</v>
      </c>
      <c r="JCA236" s="1077">
        <v>8298541</v>
      </c>
      <c r="JCB236" s="1077">
        <v>8298541</v>
      </c>
      <c r="JCC236" s="1077">
        <v>8298541</v>
      </c>
      <c r="JCD236" s="1077">
        <v>8298541</v>
      </c>
      <c r="JCE236" s="1077">
        <v>8298541</v>
      </c>
      <c r="JCF236" s="1077">
        <v>8298541</v>
      </c>
      <c r="JCG236" s="1077">
        <v>8298541</v>
      </c>
      <c r="JCH236" s="1077">
        <v>8298541</v>
      </c>
      <c r="JCI236" s="1077">
        <v>8298541</v>
      </c>
      <c r="JCJ236" s="1077">
        <v>8298541</v>
      </c>
      <c r="JCK236" s="1077">
        <v>8298541</v>
      </c>
      <c r="JCL236" s="1077">
        <v>8298541</v>
      </c>
      <c r="JCM236" s="1077">
        <v>8298541</v>
      </c>
      <c r="JCN236" s="1077">
        <v>8298541</v>
      </c>
      <c r="JCO236" s="1077">
        <v>8298541</v>
      </c>
      <c r="JCP236" s="1077">
        <v>8298541</v>
      </c>
      <c r="JCQ236" s="1077">
        <v>8298541</v>
      </c>
      <c r="JCR236" s="1077">
        <v>8298541</v>
      </c>
      <c r="JCS236" s="1077">
        <v>8298541</v>
      </c>
      <c r="JCT236" s="1077">
        <v>8298541</v>
      </c>
      <c r="JCU236" s="1077">
        <v>8298541</v>
      </c>
      <c r="JCV236" s="1077">
        <v>8298541</v>
      </c>
      <c r="JCW236" s="1077">
        <v>8298541</v>
      </c>
      <c r="JCX236" s="1077">
        <v>8298541</v>
      </c>
      <c r="JCY236" s="1077">
        <v>8298541</v>
      </c>
      <c r="JCZ236" s="1077">
        <v>8298541</v>
      </c>
      <c r="JDA236" s="1077">
        <v>8298541</v>
      </c>
      <c r="JDB236" s="1077">
        <v>8298541</v>
      </c>
      <c r="JDC236" s="1077">
        <v>8298541</v>
      </c>
      <c r="JDD236" s="1077">
        <v>8298541</v>
      </c>
      <c r="JDE236" s="1077">
        <v>8298541</v>
      </c>
      <c r="JDF236" s="1077">
        <v>8298541</v>
      </c>
      <c r="JDG236" s="1077">
        <v>8298541</v>
      </c>
      <c r="JDH236" s="1077">
        <v>8298541</v>
      </c>
      <c r="JDI236" s="1077">
        <v>8298541</v>
      </c>
      <c r="JDJ236" s="1077">
        <v>8298541</v>
      </c>
      <c r="JDK236" s="1077">
        <v>8298541</v>
      </c>
      <c r="JDL236" s="1077">
        <v>8298541</v>
      </c>
      <c r="JDM236" s="1077">
        <v>8298541</v>
      </c>
      <c r="JDN236" s="1077">
        <v>8298541</v>
      </c>
      <c r="JDO236" s="1077">
        <v>8298541</v>
      </c>
      <c r="JDP236" s="1077">
        <v>8298541</v>
      </c>
      <c r="JDQ236" s="1077">
        <v>8298541</v>
      </c>
      <c r="JDR236" s="1077">
        <v>8298541</v>
      </c>
      <c r="JDS236" s="1077">
        <v>8298541</v>
      </c>
      <c r="JDT236" s="1077">
        <v>8298541</v>
      </c>
      <c r="JDU236" s="1077">
        <v>8298541</v>
      </c>
      <c r="JDV236" s="1077">
        <v>8298541</v>
      </c>
      <c r="JDW236" s="1077">
        <v>8298541</v>
      </c>
      <c r="JDX236" s="1077">
        <v>8298541</v>
      </c>
      <c r="JDY236" s="1077">
        <v>8298541</v>
      </c>
      <c r="JDZ236" s="1077">
        <v>8298541</v>
      </c>
      <c r="JEA236" s="1077">
        <v>8298541</v>
      </c>
      <c r="JEB236" s="1077">
        <v>8298541</v>
      </c>
      <c r="JEC236" s="1077">
        <v>8298541</v>
      </c>
      <c r="JED236" s="1077">
        <v>8298541</v>
      </c>
      <c r="JEE236" s="1077">
        <v>8298541</v>
      </c>
      <c r="JEF236" s="1077">
        <v>8298541</v>
      </c>
      <c r="JEG236" s="1077">
        <v>8298541</v>
      </c>
      <c r="JEH236" s="1077">
        <v>8298541</v>
      </c>
      <c r="JEI236" s="1077">
        <v>8298541</v>
      </c>
      <c r="JEJ236" s="1077">
        <v>8298541</v>
      </c>
      <c r="JEK236" s="1077">
        <v>8298541</v>
      </c>
      <c r="JEL236" s="1077">
        <v>8298541</v>
      </c>
      <c r="JEM236" s="1077">
        <v>8298541</v>
      </c>
      <c r="JEN236" s="1077">
        <v>8298541</v>
      </c>
      <c r="JEO236" s="1077">
        <v>8298541</v>
      </c>
      <c r="JEP236" s="1077">
        <v>8298541</v>
      </c>
      <c r="JEQ236" s="1077">
        <v>8298541</v>
      </c>
      <c r="JER236" s="1077">
        <v>8298541</v>
      </c>
      <c r="JES236" s="1077">
        <v>8298541</v>
      </c>
      <c r="JET236" s="1077">
        <v>8298541</v>
      </c>
      <c r="JEU236" s="1077">
        <v>8298541</v>
      </c>
      <c r="JEV236" s="1077">
        <v>8298541</v>
      </c>
      <c r="JEW236" s="1077">
        <v>8298541</v>
      </c>
      <c r="JEX236" s="1077">
        <v>8298541</v>
      </c>
      <c r="JEY236" s="1077">
        <v>8298541</v>
      </c>
      <c r="JEZ236" s="1077">
        <v>8298541</v>
      </c>
      <c r="JFA236" s="1077">
        <v>8298541</v>
      </c>
      <c r="JFB236" s="1077">
        <v>8298541</v>
      </c>
      <c r="JFC236" s="1077">
        <v>8298541</v>
      </c>
      <c r="JFD236" s="1077">
        <v>8298541</v>
      </c>
      <c r="JFE236" s="1077">
        <v>8298541</v>
      </c>
      <c r="JFF236" s="1077">
        <v>8298541</v>
      </c>
      <c r="JFG236" s="1077">
        <v>8298541</v>
      </c>
      <c r="JFH236" s="1077">
        <v>8298541</v>
      </c>
      <c r="JFI236" s="1077">
        <v>8298541</v>
      </c>
      <c r="JFJ236" s="1077">
        <v>8298541</v>
      </c>
      <c r="JFK236" s="1077">
        <v>8298541</v>
      </c>
      <c r="JFL236" s="1077">
        <v>8298541</v>
      </c>
      <c r="JFM236" s="1077">
        <v>8298541</v>
      </c>
      <c r="JFN236" s="1077">
        <v>8298541</v>
      </c>
      <c r="JFO236" s="1077">
        <v>8298541</v>
      </c>
      <c r="JFP236" s="1077">
        <v>8298541</v>
      </c>
      <c r="JFQ236" s="1077">
        <v>8298541</v>
      </c>
      <c r="JFR236" s="1077">
        <v>8298541</v>
      </c>
      <c r="JFS236" s="1077">
        <v>8298541</v>
      </c>
      <c r="JFT236" s="1077">
        <v>8298541</v>
      </c>
      <c r="JFU236" s="1077">
        <v>8298541</v>
      </c>
      <c r="JFV236" s="1077">
        <v>8298541</v>
      </c>
      <c r="JFW236" s="1077">
        <v>8298541</v>
      </c>
      <c r="JFX236" s="1077">
        <v>8298541</v>
      </c>
      <c r="JFY236" s="1077">
        <v>8298541</v>
      </c>
      <c r="JFZ236" s="1077">
        <v>8298541</v>
      </c>
      <c r="JGA236" s="1077">
        <v>8298541</v>
      </c>
      <c r="JGB236" s="1077">
        <v>8298541</v>
      </c>
      <c r="JGC236" s="1077">
        <v>8298541</v>
      </c>
      <c r="JGD236" s="1077">
        <v>8298541</v>
      </c>
      <c r="JGE236" s="1077">
        <v>8298541</v>
      </c>
      <c r="JGF236" s="1077">
        <v>8298541</v>
      </c>
      <c r="JGG236" s="1077">
        <v>8298541</v>
      </c>
      <c r="JGH236" s="1077">
        <v>8298541</v>
      </c>
      <c r="JGI236" s="1077">
        <v>8298541</v>
      </c>
      <c r="JGJ236" s="1077">
        <v>8298541</v>
      </c>
      <c r="JGK236" s="1077">
        <v>8298541</v>
      </c>
      <c r="JGL236" s="1077">
        <v>8298541</v>
      </c>
      <c r="JGM236" s="1077">
        <v>8298541</v>
      </c>
      <c r="JGN236" s="1077">
        <v>8298541</v>
      </c>
      <c r="JGO236" s="1077">
        <v>8298541</v>
      </c>
      <c r="JGP236" s="1077">
        <v>8298541</v>
      </c>
      <c r="JGQ236" s="1077">
        <v>8298541</v>
      </c>
      <c r="JGR236" s="1077">
        <v>8298541</v>
      </c>
      <c r="JGS236" s="1077">
        <v>8298541</v>
      </c>
      <c r="JGT236" s="1077">
        <v>8298541</v>
      </c>
      <c r="JGU236" s="1077">
        <v>8298541</v>
      </c>
      <c r="JGV236" s="1077">
        <v>8298541</v>
      </c>
      <c r="JGW236" s="1077">
        <v>8298541</v>
      </c>
      <c r="JGX236" s="1077">
        <v>8298541</v>
      </c>
      <c r="JGY236" s="1077">
        <v>8298541</v>
      </c>
      <c r="JGZ236" s="1077">
        <v>8298541</v>
      </c>
      <c r="JHA236" s="1077">
        <v>8298541</v>
      </c>
      <c r="JHB236" s="1077">
        <v>8298541</v>
      </c>
      <c r="JHC236" s="1077">
        <v>8298541</v>
      </c>
      <c r="JHD236" s="1077">
        <v>8298541</v>
      </c>
      <c r="JHE236" s="1077">
        <v>8298541</v>
      </c>
      <c r="JHF236" s="1077">
        <v>8298541</v>
      </c>
      <c r="JHG236" s="1077">
        <v>8298541</v>
      </c>
      <c r="JHH236" s="1077">
        <v>8298541</v>
      </c>
      <c r="JHI236" s="1077">
        <v>8298541</v>
      </c>
      <c r="JHJ236" s="1077">
        <v>8298541</v>
      </c>
      <c r="JHK236" s="1077">
        <v>8298541</v>
      </c>
      <c r="JHL236" s="1077">
        <v>8298541</v>
      </c>
      <c r="JHM236" s="1077">
        <v>8298541</v>
      </c>
      <c r="JHN236" s="1077">
        <v>8298541</v>
      </c>
      <c r="JHO236" s="1077">
        <v>8298541</v>
      </c>
      <c r="JHP236" s="1077">
        <v>8298541</v>
      </c>
      <c r="JHQ236" s="1077">
        <v>8298541</v>
      </c>
      <c r="JHR236" s="1077">
        <v>8298541</v>
      </c>
      <c r="JHS236" s="1077">
        <v>8298541</v>
      </c>
      <c r="JHT236" s="1077">
        <v>8298541</v>
      </c>
      <c r="JHU236" s="1077">
        <v>8298541</v>
      </c>
      <c r="JHV236" s="1077">
        <v>8298541</v>
      </c>
      <c r="JHW236" s="1077">
        <v>8298541</v>
      </c>
      <c r="JHX236" s="1077">
        <v>8298541</v>
      </c>
      <c r="JHY236" s="1077">
        <v>8298541</v>
      </c>
      <c r="JHZ236" s="1077">
        <v>8298541</v>
      </c>
      <c r="JIA236" s="1077">
        <v>8298541</v>
      </c>
      <c r="JIB236" s="1077">
        <v>8298541</v>
      </c>
      <c r="JIC236" s="1077">
        <v>8298541</v>
      </c>
      <c r="JID236" s="1077">
        <v>8298541</v>
      </c>
      <c r="JIE236" s="1077">
        <v>8298541</v>
      </c>
      <c r="JIF236" s="1077">
        <v>8298541</v>
      </c>
      <c r="JIG236" s="1077">
        <v>8298541</v>
      </c>
      <c r="JIH236" s="1077">
        <v>8298541</v>
      </c>
      <c r="JII236" s="1077">
        <v>8298541</v>
      </c>
      <c r="JIJ236" s="1077">
        <v>8298541</v>
      </c>
      <c r="JIK236" s="1077">
        <v>8298541</v>
      </c>
      <c r="JIL236" s="1077">
        <v>8298541</v>
      </c>
      <c r="JIM236" s="1077">
        <v>8298541</v>
      </c>
      <c r="JIN236" s="1077">
        <v>8298541</v>
      </c>
      <c r="JIO236" s="1077">
        <v>8298541</v>
      </c>
      <c r="JIP236" s="1077">
        <v>8298541</v>
      </c>
      <c r="JIQ236" s="1077">
        <v>8298541</v>
      </c>
      <c r="JIR236" s="1077">
        <v>8298541</v>
      </c>
      <c r="JIS236" s="1077">
        <v>8298541</v>
      </c>
      <c r="JIT236" s="1077">
        <v>8298541</v>
      </c>
      <c r="JIU236" s="1077">
        <v>8298541</v>
      </c>
      <c r="JIV236" s="1077">
        <v>8298541</v>
      </c>
      <c r="JIW236" s="1077">
        <v>8298541</v>
      </c>
      <c r="JIX236" s="1077">
        <v>8298541</v>
      </c>
      <c r="JIY236" s="1077">
        <v>8298541</v>
      </c>
      <c r="JIZ236" s="1077">
        <v>8298541</v>
      </c>
      <c r="JJA236" s="1077">
        <v>8298541</v>
      </c>
      <c r="JJB236" s="1077">
        <v>8298541</v>
      </c>
      <c r="JJC236" s="1077">
        <v>8298541</v>
      </c>
      <c r="JJD236" s="1077">
        <v>8298541</v>
      </c>
      <c r="JJE236" s="1077">
        <v>8298541</v>
      </c>
      <c r="JJF236" s="1077">
        <v>8298541</v>
      </c>
      <c r="JJG236" s="1077">
        <v>8298541</v>
      </c>
      <c r="JJH236" s="1077">
        <v>8298541</v>
      </c>
      <c r="JJI236" s="1077">
        <v>8298541</v>
      </c>
      <c r="JJJ236" s="1077">
        <v>8298541</v>
      </c>
      <c r="JJK236" s="1077">
        <v>8298541</v>
      </c>
      <c r="JJL236" s="1077">
        <v>8298541</v>
      </c>
      <c r="JJM236" s="1077">
        <v>8298541</v>
      </c>
      <c r="JJN236" s="1077">
        <v>8298541</v>
      </c>
      <c r="JJO236" s="1077">
        <v>8298541</v>
      </c>
      <c r="JJP236" s="1077">
        <v>8298541</v>
      </c>
      <c r="JJQ236" s="1077">
        <v>8298541</v>
      </c>
      <c r="JJR236" s="1077">
        <v>8298541</v>
      </c>
      <c r="JJS236" s="1077">
        <v>8298541</v>
      </c>
      <c r="JJT236" s="1077">
        <v>8298541</v>
      </c>
      <c r="JJU236" s="1077">
        <v>8298541</v>
      </c>
      <c r="JJV236" s="1077">
        <v>8298541</v>
      </c>
      <c r="JJW236" s="1077">
        <v>8298541</v>
      </c>
      <c r="JJX236" s="1077">
        <v>8298541</v>
      </c>
      <c r="JJY236" s="1077">
        <v>8298541</v>
      </c>
      <c r="JJZ236" s="1077">
        <v>8298541</v>
      </c>
      <c r="JKA236" s="1077">
        <v>8298541</v>
      </c>
      <c r="JKB236" s="1077">
        <v>8298541</v>
      </c>
      <c r="JKC236" s="1077">
        <v>8298541</v>
      </c>
      <c r="JKD236" s="1077">
        <v>8298541</v>
      </c>
      <c r="JKE236" s="1077">
        <v>8298541</v>
      </c>
      <c r="JKF236" s="1077">
        <v>8298541</v>
      </c>
      <c r="JKG236" s="1077">
        <v>8298541</v>
      </c>
      <c r="JKH236" s="1077">
        <v>8298541</v>
      </c>
      <c r="JKI236" s="1077">
        <v>8298541</v>
      </c>
      <c r="JKJ236" s="1077">
        <v>8298541</v>
      </c>
      <c r="JKK236" s="1077">
        <v>8298541</v>
      </c>
      <c r="JKL236" s="1077">
        <v>8298541</v>
      </c>
      <c r="JKM236" s="1077">
        <v>8298541</v>
      </c>
      <c r="JKN236" s="1077">
        <v>8298541</v>
      </c>
      <c r="JKO236" s="1077">
        <v>8298541</v>
      </c>
      <c r="JKP236" s="1077">
        <v>8298541</v>
      </c>
      <c r="JKQ236" s="1077">
        <v>8298541</v>
      </c>
      <c r="JKR236" s="1077">
        <v>8298541</v>
      </c>
      <c r="JKS236" s="1077">
        <v>8298541</v>
      </c>
      <c r="JKT236" s="1077">
        <v>8298541</v>
      </c>
      <c r="JKU236" s="1077">
        <v>8298541</v>
      </c>
      <c r="JKV236" s="1077">
        <v>8298541</v>
      </c>
      <c r="JKW236" s="1077">
        <v>8298541</v>
      </c>
      <c r="JKX236" s="1077">
        <v>8298541</v>
      </c>
      <c r="JKY236" s="1077">
        <v>8298541</v>
      </c>
      <c r="JKZ236" s="1077">
        <v>8298541</v>
      </c>
      <c r="JLA236" s="1077">
        <v>8298541</v>
      </c>
      <c r="JLB236" s="1077">
        <v>8298541</v>
      </c>
      <c r="JLC236" s="1077">
        <v>8298541</v>
      </c>
      <c r="JLD236" s="1077">
        <v>8298541</v>
      </c>
      <c r="JLE236" s="1077">
        <v>8298541</v>
      </c>
      <c r="JLF236" s="1077">
        <v>8298541</v>
      </c>
      <c r="JLG236" s="1077">
        <v>8298541</v>
      </c>
      <c r="JLH236" s="1077">
        <v>8298541</v>
      </c>
      <c r="JLI236" s="1077">
        <v>8298541</v>
      </c>
      <c r="JLJ236" s="1077">
        <v>8298541</v>
      </c>
      <c r="JLK236" s="1077">
        <v>8298541</v>
      </c>
      <c r="JLL236" s="1077">
        <v>8298541</v>
      </c>
      <c r="JLM236" s="1077">
        <v>8298541</v>
      </c>
      <c r="JLN236" s="1077">
        <v>8298541</v>
      </c>
      <c r="JLO236" s="1077">
        <v>8298541</v>
      </c>
      <c r="JLP236" s="1077">
        <v>8298541</v>
      </c>
      <c r="JLQ236" s="1077">
        <v>8298541</v>
      </c>
      <c r="JLR236" s="1077">
        <v>8298541</v>
      </c>
      <c r="JLS236" s="1077">
        <v>8298541</v>
      </c>
      <c r="JLT236" s="1077">
        <v>8298541</v>
      </c>
      <c r="JLU236" s="1077">
        <v>8298541</v>
      </c>
      <c r="JLV236" s="1077">
        <v>8298541</v>
      </c>
      <c r="JLW236" s="1077">
        <v>8298541</v>
      </c>
      <c r="JLX236" s="1077">
        <v>8298541</v>
      </c>
      <c r="JLY236" s="1077">
        <v>8298541</v>
      </c>
      <c r="JLZ236" s="1077">
        <v>8298541</v>
      </c>
      <c r="JMA236" s="1077">
        <v>8298541</v>
      </c>
      <c r="JMB236" s="1077">
        <v>8298541</v>
      </c>
      <c r="JMC236" s="1077">
        <v>8298541</v>
      </c>
      <c r="JMD236" s="1077">
        <v>8298541</v>
      </c>
      <c r="JME236" s="1077">
        <v>8298541</v>
      </c>
      <c r="JMF236" s="1077">
        <v>8298541</v>
      </c>
      <c r="JMG236" s="1077">
        <v>8298541</v>
      </c>
      <c r="JMH236" s="1077">
        <v>8298541</v>
      </c>
      <c r="JMI236" s="1077">
        <v>8298541</v>
      </c>
      <c r="JMJ236" s="1077">
        <v>8298541</v>
      </c>
      <c r="JMK236" s="1077">
        <v>8298541</v>
      </c>
      <c r="JML236" s="1077">
        <v>8298541</v>
      </c>
      <c r="JMM236" s="1077">
        <v>8298541</v>
      </c>
      <c r="JMN236" s="1077">
        <v>8298541</v>
      </c>
      <c r="JMO236" s="1077">
        <v>8298541</v>
      </c>
      <c r="JMP236" s="1077">
        <v>8298541</v>
      </c>
      <c r="JMQ236" s="1077">
        <v>8298541</v>
      </c>
      <c r="JMR236" s="1077">
        <v>8298541</v>
      </c>
      <c r="JMS236" s="1077">
        <v>8298541</v>
      </c>
      <c r="JMT236" s="1077">
        <v>8298541</v>
      </c>
      <c r="JMU236" s="1077">
        <v>8298541</v>
      </c>
      <c r="JMV236" s="1077">
        <v>8298541</v>
      </c>
      <c r="JMW236" s="1077">
        <v>8298541</v>
      </c>
      <c r="JMX236" s="1077">
        <v>8298541</v>
      </c>
      <c r="JMY236" s="1077">
        <v>8298541</v>
      </c>
      <c r="JMZ236" s="1077">
        <v>8298541</v>
      </c>
      <c r="JNA236" s="1077">
        <v>8298541</v>
      </c>
      <c r="JNB236" s="1077">
        <v>8298541</v>
      </c>
      <c r="JNC236" s="1077">
        <v>8298541</v>
      </c>
      <c r="JND236" s="1077">
        <v>8298541</v>
      </c>
      <c r="JNE236" s="1077">
        <v>8298541</v>
      </c>
      <c r="JNF236" s="1077">
        <v>8298541</v>
      </c>
      <c r="JNG236" s="1077">
        <v>8298541</v>
      </c>
      <c r="JNH236" s="1077">
        <v>8298541</v>
      </c>
      <c r="JNI236" s="1077">
        <v>8298541</v>
      </c>
      <c r="JNJ236" s="1077">
        <v>8298541</v>
      </c>
      <c r="JNK236" s="1077">
        <v>8298541</v>
      </c>
      <c r="JNL236" s="1077">
        <v>8298541</v>
      </c>
      <c r="JNM236" s="1077">
        <v>8298541</v>
      </c>
      <c r="JNN236" s="1077">
        <v>8298541</v>
      </c>
      <c r="JNO236" s="1077">
        <v>8298541</v>
      </c>
      <c r="JNP236" s="1077">
        <v>8298541</v>
      </c>
      <c r="JNQ236" s="1077">
        <v>8298541</v>
      </c>
      <c r="JNR236" s="1077">
        <v>8298541</v>
      </c>
      <c r="JNS236" s="1077">
        <v>8298541</v>
      </c>
      <c r="JNT236" s="1077">
        <v>8298541</v>
      </c>
      <c r="JNU236" s="1077">
        <v>8298541</v>
      </c>
      <c r="JNV236" s="1077">
        <v>8298541</v>
      </c>
      <c r="JNW236" s="1077">
        <v>8298541</v>
      </c>
      <c r="JNX236" s="1077">
        <v>8298541</v>
      </c>
      <c r="JNY236" s="1077">
        <v>8298541</v>
      </c>
      <c r="JNZ236" s="1077">
        <v>8298541</v>
      </c>
      <c r="JOA236" s="1077">
        <v>8298541</v>
      </c>
      <c r="JOB236" s="1077">
        <v>8298541</v>
      </c>
      <c r="JOC236" s="1077">
        <v>8298541</v>
      </c>
      <c r="JOD236" s="1077">
        <v>8298541</v>
      </c>
      <c r="JOE236" s="1077">
        <v>8298541</v>
      </c>
      <c r="JOF236" s="1077">
        <v>8298541</v>
      </c>
      <c r="JOG236" s="1077">
        <v>8298541</v>
      </c>
      <c r="JOH236" s="1077">
        <v>8298541</v>
      </c>
      <c r="JOI236" s="1077">
        <v>8298541</v>
      </c>
      <c r="JOJ236" s="1077">
        <v>8298541</v>
      </c>
      <c r="JOK236" s="1077">
        <v>8298541</v>
      </c>
      <c r="JOL236" s="1077">
        <v>8298541</v>
      </c>
      <c r="JOM236" s="1077">
        <v>8298541</v>
      </c>
      <c r="JON236" s="1077">
        <v>8298541</v>
      </c>
      <c r="JOO236" s="1077">
        <v>8298541</v>
      </c>
      <c r="JOP236" s="1077">
        <v>8298541</v>
      </c>
      <c r="JOQ236" s="1077">
        <v>8298541</v>
      </c>
      <c r="JOR236" s="1077">
        <v>8298541</v>
      </c>
      <c r="JOS236" s="1077">
        <v>8298541</v>
      </c>
      <c r="JOT236" s="1077">
        <v>8298541</v>
      </c>
      <c r="JOU236" s="1077">
        <v>8298541</v>
      </c>
      <c r="JOV236" s="1077">
        <v>8298541</v>
      </c>
      <c r="JOW236" s="1077">
        <v>8298541</v>
      </c>
      <c r="JOX236" s="1077">
        <v>8298541</v>
      </c>
      <c r="JOY236" s="1077">
        <v>8298541</v>
      </c>
      <c r="JOZ236" s="1077">
        <v>8298541</v>
      </c>
      <c r="JPA236" s="1077">
        <v>8298541</v>
      </c>
      <c r="JPB236" s="1077">
        <v>8298541</v>
      </c>
      <c r="JPC236" s="1077">
        <v>8298541</v>
      </c>
      <c r="JPD236" s="1077">
        <v>8298541</v>
      </c>
      <c r="JPE236" s="1077">
        <v>8298541</v>
      </c>
      <c r="JPF236" s="1077">
        <v>8298541</v>
      </c>
      <c r="JPG236" s="1077">
        <v>8298541</v>
      </c>
      <c r="JPH236" s="1077">
        <v>8298541</v>
      </c>
      <c r="JPI236" s="1077">
        <v>8298541</v>
      </c>
      <c r="JPJ236" s="1077">
        <v>8298541</v>
      </c>
      <c r="JPK236" s="1077">
        <v>8298541</v>
      </c>
      <c r="JPL236" s="1077">
        <v>8298541</v>
      </c>
      <c r="JPM236" s="1077">
        <v>8298541</v>
      </c>
      <c r="JPN236" s="1077">
        <v>8298541</v>
      </c>
      <c r="JPO236" s="1077">
        <v>8298541</v>
      </c>
      <c r="JPP236" s="1077">
        <v>8298541</v>
      </c>
      <c r="JPQ236" s="1077">
        <v>8298541</v>
      </c>
      <c r="JPR236" s="1077">
        <v>8298541</v>
      </c>
      <c r="JPS236" s="1077">
        <v>8298541</v>
      </c>
      <c r="JPT236" s="1077">
        <v>8298541</v>
      </c>
      <c r="JPU236" s="1077">
        <v>8298541</v>
      </c>
      <c r="JPV236" s="1077">
        <v>8298541</v>
      </c>
      <c r="JPW236" s="1077">
        <v>8298541</v>
      </c>
      <c r="JPX236" s="1077">
        <v>8298541</v>
      </c>
      <c r="JPY236" s="1077">
        <v>8298541</v>
      </c>
      <c r="JPZ236" s="1077">
        <v>8298541</v>
      </c>
      <c r="JQA236" s="1077">
        <v>8298541</v>
      </c>
      <c r="JQB236" s="1077">
        <v>8298541</v>
      </c>
      <c r="JQC236" s="1077">
        <v>8298541</v>
      </c>
      <c r="JQD236" s="1077">
        <v>8298541</v>
      </c>
      <c r="JQE236" s="1077">
        <v>8298541</v>
      </c>
      <c r="JQF236" s="1077">
        <v>8298541</v>
      </c>
      <c r="JQG236" s="1077">
        <v>8298541</v>
      </c>
      <c r="JQH236" s="1077">
        <v>8298541</v>
      </c>
      <c r="JQI236" s="1077">
        <v>8298541</v>
      </c>
      <c r="JQJ236" s="1077">
        <v>8298541</v>
      </c>
      <c r="JQK236" s="1077">
        <v>8298541</v>
      </c>
      <c r="JQL236" s="1077">
        <v>8298541</v>
      </c>
      <c r="JQM236" s="1077">
        <v>8298541</v>
      </c>
      <c r="JQN236" s="1077">
        <v>8298541</v>
      </c>
      <c r="JQO236" s="1077">
        <v>8298541</v>
      </c>
      <c r="JQP236" s="1077">
        <v>8298541</v>
      </c>
      <c r="JQQ236" s="1077">
        <v>8298541</v>
      </c>
      <c r="JQR236" s="1077">
        <v>8298541</v>
      </c>
      <c r="JQS236" s="1077">
        <v>8298541</v>
      </c>
      <c r="JQT236" s="1077">
        <v>8298541</v>
      </c>
      <c r="JQU236" s="1077">
        <v>8298541</v>
      </c>
      <c r="JQV236" s="1077">
        <v>8298541</v>
      </c>
      <c r="JQW236" s="1077">
        <v>8298541</v>
      </c>
      <c r="JQX236" s="1077">
        <v>8298541</v>
      </c>
      <c r="JQY236" s="1077">
        <v>8298541</v>
      </c>
      <c r="JQZ236" s="1077">
        <v>8298541</v>
      </c>
      <c r="JRA236" s="1077">
        <v>8298541</v>
      </c>
      <c r="JRB236" s="1077">
        <v>8298541</v>
      </c>
      <c r="JRC236" s="1077">
        <v>8298541</v>
      </c>
      <c r="JRD236" s="1077">
        <v>8298541</v>
      </c>
      <c r="JRE236" s="1077">
        <v>8298541</v>
      </c>
      <c r="JRF236" s="1077">
        <v>8298541</v>
      </c>
      <c r="JRG236" s="1077">
        <v>8298541</v>
      </c>
      <c r="JRH236" s="1077">
        <v>8298541</v>
      </c>
      <c r="JRI236" s="1077">
        <v>8298541</v>
      </c>
      <c r="JRJ236" s="1077">
        <v>8298541</v>
      </c>
      <c r="JRK236" s="1077">
        <v>8298541</v>
      </c>
      <c r="JRL236" s="1077">
        <v>8298541</v>
      </c>
      <c r="JRM236" s="1077">
        <v>8298541</v>
      </c>
      <c r="JRN236" s="1077">
        <v>8298541</v>
      </c>
      <c r="JRO236" s="1077">
        <v>8298541</v>
      </c>
      <c r="JRP236" s="1077">
        <v>8298541</v>
      </c>
      <c r="JRQ236" s="1077">
        <v>8298541</v>
      </c>
      <c r="JRR236" s="1077">
        <v>8298541</v>
      </c>
      <c r="JRS236" s="1077">
        <v>8298541</v>
      </c>
      <c r="JRT236" s="1077">
        <v>8298541</v>
      </c>
      <c r="JRU236" s="1077">
        <v>8298541</v>
      </c>
      <c r="JRV236" s="1077">
        <v>8298541</v>
      </c>
      <c r="JRW236" s="1077">
        <v>8298541</v>
      </c>
      <c r="JRX236" s="1077">
        <v>8298541</v>
      </c>
      <c r="JRY236" s="1077">
        <v>8298541</v>
      </c>
      <c r="JRZ236" s="1077">
        <v>8298541</v>
      </c>
      <c r="JSA236" s="1077">
        <v>8298541</v>
      </c>
      <c r="JSB236" s="1077">
        <v>8298541</v>
      </c>
      <c r="JSC236" s="1077">
        <v>8298541</v>
      </c>
      <c r="JSD236" s="1077">
        <v>8298541</v>
      </c>
      <c r="JSE236" s="1077">
        <v>8298541</v>
      </c>
      <c r="JSF236" s="1077">
        <v>8298541</v>
      </c>
      <c r="JSG236" s="1077">
        <v>8298541</v>
      </c>
      <c r="JSH236" s="1077">
        <v>8298541</v>
      </c>
      <c r="JSI236" s="1077">
        <v>8298541</v>
      </c>
      <c r="JSJ236" s="1077">
        <v>8298541</v>
      </c>
      <c r="JSK236" s="1077">
        <v>8298541</v>
      </c>
      <c r="JSL236" s="1077">
        <v>8298541</v>
      </c>
      <c r="JSM236" s="1077">
        <v>8298541</v>
      </c>
      <c r="JSN236" s="1077">
        <v>8298541</v>
      </c>
      <c r="JSO236" s="1077">
        <v>8298541</v>
      </c>
      <c r="JSP236" s="1077">
        <v>8298541</v>
      </c>
      <c r="JSQ236" s="1077">
        <v>8298541</v>
      </c>
      <c r="JSR236" s="1077">
        <v>8298541</v>
      </c>
      <c r="JSS236" s="1077">
        <v>8298541</v>
      </c>
      <c r="JST236" s="1077">
        <v>8298541</v>
      </c>
      <c r="JSU236" s="1077">
        <v>8298541</v>
      </c>
      <c r="JSV236" s="1077">
        <v>8298541</v>
      </c>
      <c r="JSW236" s="1077">
        <v>8298541</v>
      </c>
      <c r="JSX236" s="1077">
        <v>8298541</v>
      </c>
      <c r="JSY236" s="1077">
        <v>8298541</v>
      </c>
      <c r="JSZ236" s="1077">
        <v>8298541</v>
      </c>
      <c r="JTA236" s="1077">
        <v>8298541</v>
      </c>
      <c r="JTB236" s="1077">
        <v>8298541</v>
      </c>
      <c r="JTC236" s="1077">
        <v>8298541</v>
      </c>
      <c r="JTD236" s="1077">
        <v>8298541</v>
      </c>
      <c r="JTE236" s="1077">
        <v>8298541</v>
      </c>
      <c r="JTF236" s="1077">
        <v>8298541</v>
      </c>
      <c r="JTG236" s="1077">
        <v>8298541</v>
      </c>
      <c r="JTH236" s="1077">
        <v>8298541</v>
      </c>
      <c r="JTI236" s="1077">
        <v>8298541</v>
      </c>
      <c r="JTJ236" s="1077">
        <v>8298541</v>
      </c>
      <c r="JTK236" s="1077">
        <v>8298541</v>
      </c>
      <c r="JTL236" s="1077">
        <v>8298541</v>
      </c>
      <c r="JTM236" s="1077">
        <v>8298541</v>
      </c>
      <c r="JTN236" s="1077">
        <v>8298541</v>
      </c>
      <c r="JTO236" s="1077">
        <v>8298541</v>
      </c>
      <c r="JTP236" s="1077">
        <v>8298541</v>
      </c>
      <c r="JTQ236" s="1077">
        <v>8298541</v>
      </c>
      <c r="JTR236" s="1077">
        <v>8298541</v>
      </c>
      <c r="JTS236" s="1077">
        <v>8298541</v>
      </c>
      <c r="JTT236" s="1077">
        <v>8298541</v>
      </c>
      <c r="JTU236" s="1077">
        <v>8298541</v>
      </c>
      <c r="JTV236" s="1077">
        <v>8298541</v>
      </c>
      <c r="JTW236" s="1077">
        <v>8298541</v>
      </c>
      <c r="JTX236" s="1077">
        <v>8298541</v>
      </c>
      <c r="JTY236" s="1077">
        <v>8298541</v>
      </c>
      <c r="JTZ236" s="1077">
        <v>8298541</v>
      </c>
      <c r="JUA236" s="1077">
        <v>8298541</v>
      </c>
      <c r="JUB236" s="1077">
        <v>8298541</v>
      </c>
      <c r="JUC236" s="1077">
        <v>8298541</v>
      </c>
      <c r="JUD236" s="1077">
        <v>8298541</v>
      </c>
      <c r="JUE236" s="1077">
        <v>8298541</v>
      </c>
      <c r="JUF236" s="1077">
        <v>8298541</v>
      </c>
      <c r="JUG236" s="1077">
        <v>8298541</v>
      </c>
      <c r="JUH236" s="1077">
        <v>8298541</v>
      </c>
      <c r="JUI236" s="1077">
        <v>8298541</v>
      </c>
      <c r="JUJ236" s="1077">
        <v>8298541</v>
      </c>
      <c r="JUK236" s="1077">
        <v>8298541</v>
      </c>
      <c r="JUL236" s="1077">
        <v>8298541</v>
      </c>
      <c r="JUM236" s="1077">
        <v>8298541</v>
      </c>
      <c r="JUN236" s="1077">
        <v>8298541</v>
      </c>
      <c r="JUO236" s="1077">
        <v>8298541</v>
      </c>
      <c r="JUP236" s="1077">
        <v>8298541</v>
      </c>
      <c r="JUQ236" s="1077">
        <v>8298541</v>
      </c>
      <c r="JUR236" s="1077">
        <v>8298541</v>
      </c>
      <c r="JUS236" s="1077">
        <v>8298541</v>
      </c>
      <c r="JUT236" s="1077">
        <v>8298541</v>
      </c>
      <c r="JUU236" s="1077">
        <v>8298541</v>
      </c>
      <c r="JUV236" s="1077">
        <v>8298541</v>
      </c>
      <c r="JUW236" s="1077">
        <v>8298541</v>
      </c>
      <c r="JUX236" s="1077">
        <v>8298541</v>
      </c>
      <c r="JUY236" s="1077">
        <v>8298541</v>
      </c>
      <c r="JUZ236" s="1077">
        <v>8298541</v>
      </c>
      <c r="JVA236" s="1077">
        <v>8298541</v>
      </c>
      <c r="JVB236" s="1077">
        <v>8298541</v>
      </c>
      <c r="JVC236" s="1077">
        <v>8298541</v>
      </c>
      <c r="JVD236" s="1077">
        <v>8298541</v>
      </c>
      <c r="JVE236" s="1077">
        <v>8298541</v>
      </c>
      <c r="JVF236" s="1077">
        <v>8298541</v>
      </c>
      <c r="JVG236" s="1077">
        <v>8298541</v>
      </c>
      <c r="JVH236" s="1077">
        <v>8298541</v>
      </c>
      <c r="JVI236" s="1077">
        <v>8298541</v>
      </c>
      <c r="JVJ236" s="1077">
        <v>8298541</v>
      </c>
      <c r="JVK236" s="1077">
        <v>8298541</v>
      </c>
      <c r="JVL236" s="1077">
        <v>8298541</v>
      </c>
      <c r="JVM236" s="1077">
        <v>8298541</v>
      </c>
      <c r="JVN236" s="1077">
        <v>8298541</v>
      </c>
      <c r="JVO236" s="1077">
        <v>8298541</v>
      </c>
      <c r="JVP236" s="1077">
        <v>8298541</v>
      </c>
      <c r="JVQ236" s="1077">
        <v>8298541</v>
      </c>
      <c r="JVR236" s="1077">
        <v>8298541</v>
      </c>
      <c r="JVS236" s="1077">
        <v>8298541</v>
      </c>
      <c r="JVT236" s="1077">
        <v>8298541</v>
      </c>
      <c r="JVU236" s="1077">
        <v>8298541</v>
      </c>
      <c r="JVV236" s="1077">
        <v>8298541</v>
      </c>
      <c r="JVW236" s="1077">
        <v>8298541</v>
      </c>
      <c r="JVX236" s="1077">
        <v>8298541</v>
      </c>
      <c r="JVY236" s="1077">
        <v>8298541</v>
      </c>
      <c r="JVZ236" s="1077">
        <v>8298541</v>
      </c>
      <c r="JWA236" s="1077">
        <v>8298541</v>
      </c>
      <c r="JWB236" s="1077">
        <v>8298541</v>
      </c>
      <c r="JWC236" s="1077">
        <v>8298541</v>
      </c>
      <c r="JWD236" s="1077">
        <v>8298541</v>
      </c>
      <c r="JWE236" s="1077">
        <v>8298541</v>
      </c>
      <c r="JWF236" s="1077">
        <v>8298541</v>
      </c>
      <c r="JWG236" s="1077">
        <v>8298541</v>
      </c>
      <c r="JWH236" s="1077">
        <v>8298541</v>
      </c>
      <c r="JWI236" s="1077">
        <v>8298541</v>
      </c>
      <c r="JWJ236" s="1077">
        <v>8298541</v>
      </c>
      <c r="JWK236" s="1077">
        <v>8298541</v>
      </c>
      <c r="JWL236" s="1077">
        <v>8298541</v>
      </c>
      <c r="JWM236" s="1077">
        <v>8298541</v>
      </c>
      <c r="JWN236" s="1077">
        <v>8298541</v>
      </c>
      <c r="JWO236" s="1077">
        <v>8298541</v>
      </c>
      <c r="JWP236" s="1077">
        <v>8298541</v>
      </c>
      <c r="JWQ236" s="1077">
        <v>8298541</v>
      </c>
      <c r="JWR236" s="1077">
        <v>8298541</v>
      </c>
      <c r="JWS236" s="1077">
        <v>8298541</v>
      </c>
      <c r="JWT236" s="1077">
        <v>8298541</v>
      </c>
      <c r="JWU236" s="1077">
        <v>8298541</v>
      </c>
      <c r="JWV236" s="1077">
        <v>8298541</v>
      </c>
      <c r="JWW236" s="1077">
        <v>8298541</v>
      </c>
      <c r="JWX236" s="1077">
        <v>8298541</v>
      </c>
      <c r="JWY236" s="1077">
        <v>8298541</v>
      </c>
      <c r="JWZ236" s="1077">
        <v>8298541</v>
      </c>
      <c r="JXA236" s="1077">
        <v>8298541</v>
      </c>
      <c r="JXB236" s="1077">
        <v>8298541</v>
      </c>
      <c r="JXC236" s="1077">
        <v>8298541</v>
      </c>
      <c r="JXD236" s="1077">
        <v>8298541</v>
      </c>
      <c r="JXE236" s="1077">
        <v>8298541</v>
      </c>
      <c r="JXF236" s="1077">
        <v>8298541</v>
      </c>
      <c r="JXG236" s="1077">
        <v>8298541</v>
      </c>
      <c r="JXH236" s="1077">
        <v>8298541</v>
      </c>
      <c r="JXI236" s="1077">
        <v>8298541</v>
      </c>
      <c r="JXJ236" s="1077">
        <v>8298541</v>
      </c>
      <c r="JXK236" s="1077">
        <v>8298541</v>
      </c>
      <c r="JXL236" s="1077">
        <v>8298541</v>
      </c>
      <c r="JXM236" s="1077">
        <v>8298541</v>
      </c>
      <c r="JXN236" s="1077">
        <v>8298541</v>
      </c>
      <c r="JXO236" s="1077">
        <v>8298541</v>
      </c>
      <c r="JXP236" s="1077">
        <v>8298541</v>
      </c>
      <c r="JXQ236" s="1077">
        <v>8298541</v>
      </c>
      <c r="JXR236" s="1077">
        <v>8298541</v>
      </c>
      <c r="JXS236" s="1077">
        <v>8298541</v>
      </c>
      <c r="JXT236" s="1077">
        <v>8298541</v>
      </c>
      <c r="JXU236" s="1077">
        <v>8298541</v>
      </c>
      <c r="JXV236" s="1077">
        <v>8298541</v>
      </c>
      <c r="JXW236" s="1077">
        <v>8298541</v>
      </c>
      <c r="JXX236" s="1077">
        <v>8298541</v>
      </c>
      <c r="JXY236" s="1077">
        <v>8298541</v>
      </c>
      <c r="JXZ236" s="1077">
        <v>8298541</v>
      </c>
      <c r="JYA236" s="1077">
        <v>8298541</v>
      </c>
      <c r="JYB236" s="1077">
        <v>8298541</v>
      </c>
      <c r="JYC236" s="1077">
        <v>8298541</v>
      </c>
      <c r="JYD236" s="1077">
        <v>8298541</v>
      </c>
      <c r="JYE236" s="1077">
        <v>8298541</v>
      </c>
      <c r="JYF236" s="1077">
        <v>8298541</v>
      </c>
      <c r="JYG236" s="1077">
        <v>8298541</v>
      </c>
      <c r="JYH236" s="1077">
        <v>8298541</v>
      </c>
      <c r="JYI236" s="1077">
        <v>8298541</v>
      </c>
      <c r="JYJ236" s="1077">
        <v>8298541</v>
      </c>
      <c r="JYK236" s="1077">
        <v>8298541</v>
      </c>
      <c r="JYL236" s="1077">
        <v>8298541</v>
      </c>
      <c r="JYM236" s="1077">
        <v>8298541</v>
      </c>
      <c r="JYN236" s="1077">
        <v>8298541</v>
      </c>
      <c r="JYO236" s="1077">
        <v>8298541</v>
      </c>
      <c r="JYP236" s="1077">
        <v>8298541</v>
      </c>
      <c r="JYQ236" s="1077">
        <v>8298541</v>
      </c>
      <c r="JYR236" s="1077">
        <v>8298541</v>
      </c>
      <c r="JYS236" s="1077">
        <v>8298541</v>
      </c>
      <c r="JYT236" s="1077">
        <v>8298541</v>
      </c>
      <c r="JYU236" s="1077">
        <v>8298541</v>
      </c>
      <c r="JYV236" s="1077">
        <v>8298541</v>
      </c>
      <c r="JYW236" s="1077">
        <v>8298541</v>
      </c>
      <c r="JYX236" s="1077">
        <v>8298541</v>
      </c>
      <c r="JYY236" s="1077">
        <v>8298541</v>
      </c>
      <c r="JYZ236" s="1077">
        <v>8298541</v>
      </c>
      <c r="JZA236" s="1077">
        <v>8298541</v>
      </c>
      <c r="JZB236" s="1077">
        <v>8298541</v>
      </c>
      <c r="JZC236" s="1077">
        <v>8298541</v>
      </c>
      <c r="JZD236" s="1077">
        <v>8298541</v>
      </c>
      <c r="JZE236" s="1077">
        <v>8298541</v>
      </c>
      <c r="JZF236" s="1077">
        <v>8298541</v>
      </c>
      <c r="JZG236" s="1077">
        <v>8298541</v>
      </c>
      <c r="JZH236" s="1077">
        <v>8298541</v>
      </c>
      <c r="JZI236" s="1077">
        <v>8298541</v>
      </c>
      <c r="JZJ236" s="1077">
        <v>8298541</v>
      </c>
      <c r="JZK236" s="1077">
        <v>8298541</v>
      </c>
      <c r="JZL236" s="1077">
        <v>8298541</v>
      </c>
      <c r="JZM236" s="1077">
        <v>8298541</v>
      </c>
      <c r="JZN236" s="1077">
        <v>8298541</v>
      </c>
      <c r="JZO236" s="1077">
        <v>8298541</v>
      </c>
      <c r="JZP236" s="1077">
        <v>8298541</v>
      </c>
      <c r="JZQ236" s="1077">
        <v>8298541</v>
      </c>
      <c r="JZR236" s="1077">
        <v>8298541</v>
      </c>
      <c r="JZS236" s="1077">
        <v>8298541</v>
      </c>
      <c r="JZT236" s="1077">
        <v>8298541</v>
      </c>
      <c r="JZU236" s="1077">
        <v>8298541</v>
      </c>
      <c r="JZV236" s="1077">
        <v>8298541</v>
      </c>
      <c r="JZW236" s="1077">
        <v>8298541</v>
      </c>
      <c r="JZX236" s="1077">
        <v>8298541</v>
      </c>
      <c r="JZY236" s="1077">
        <v>8298541</v>
      </c>
      <c r="JZZ236" s="1077">
        <v>8298541</v>
      </c>
      <c r="KAA236" s="1077">
        <v>8298541</v>
      </c>
      <c r="KAB236" s="1077">
        <v>8298541</v>
      </c>
      <c r="KAC236" s="1077">
        <v>8298541</v>
      </c>
      <c r="KAD236" s="1077">
        <v>8298541</v>
      </c>
      <c r="KAE236" s="1077">
        <v>8298541</v>
      </c>
      <c r="KAF236" s="1077">
        <v>8298541</v>
      </c>
      <c r="KAG236" s="1077">
        <v>8298541</v>
      </c>
      <c r="KAH236" s="1077">
        <v>8298541</v>
      </c>
      <c r="KAI236" s="1077">
        <v>8298541</v>
      </c>
      <c r="KAJ236" s="1077">
        <v>8298541</v>
      </c>
      <c r="KAK236" s="1077">
        <v>8298541</v>
      </c>
      <c r="KAL236" s="1077">
        <v>8298541</v>
      </c>
      <c r="KAM236" s="1077">
        <v>8298541</v>
      </c>
      <c r="KAN236" s="1077">
        <v>8298541</v>
      </c>
      <c r="KAO236" s="1077">
        <v>8298541</v>
      </c>
      <c r="KAP236" s="1077">
        <v>8298541</v>
      </c>
      <c r="KAQ236" s="1077">
        <v>8298541</v>
      </c>
      <c r="KAR236" s="1077">
        <v>8298541</v>
      </c>
      <c r="KAS236" s="1077">
        <v>8298541</v>
      </c>
      <c r="KAT236" s="1077">
        <v>8298541</v>
      </c>
      <c r="KAU236" s="1077">
        <v>8298541</v>
      </c>
      <c r="KAV236" s="1077">
        <v>8298541</v>
      </c>
      <c r="KAW236" s="1077">
        <v>8298541</v>
      </c>
      <c r="KAX236" s="1077">
        <v>8298541</v>
      </c>
      <c r="KAY236" s="1077">
        <v>8298541</v>
      </c>
      <c r="KAZ236" s="1077">
        <v>8298541</v>
      </c>
      <c r="KBA236" s="1077">
        <v>8298541</v>
      </c>
      <c r="KBB236" s="1077">
        <v>8298541</v>
      </c>
      <c r="KBC236" s="1077">
        <v>8298541</v>
      </c>
      <c r="KBD236" s="1077">
        <v>8298541</v>
      </c>
      <c r="KBE236" s="1077">
        <v>8298541</v>
      </c>
      <c r="KBF236" s="1077">
        <v>8298541</v>
      </c>
      <c r="KBG236" s="1077">
        <v>8298541</v>
      </c>
      <c r="KBH236" s="1077">
        <v>8298541</v>
      </c>
      <c r="KBI236" s="1077">
        <v>8298541</v>
      </c>
      <c r="KBJ236" s="1077">
        <v>8298541</v>
      </c>
      <c r="KBK236" s="1077">
        <v>8298541</v>
      </c>
      <c r="KBL236" s="1077">
        <v>8298541</v>
      </c>
      <c r="KBM236" s="1077">
        <v>8298541</v>
      </c>
      <c r="KBN236" s="1077">
        <v>8298541</v>
      </c>
      <c r="KBO236" s="1077">
        <v>8298541</v>
      </c>
      <c r="KBP236" s="1077">
        <v>8298541</v>
      </c>
      <c r="KBQ236" s="1077">
        <v>8298541</v>
      </c>
      <c r="KBR236" s="1077">
        <v>8298541</v>
      </c>
      <c r="KBS236" s="1077">
        <v>8298541</v>
      </c>
      <c r="KBT236" s="1077">
        <v>8298541</v>
      </c>
      <c r="KBU236" s="1077">
        <v>8298541</v>
      </c>
      <c r="KBV236" s="1077">
        <v>8298541</v>
      </c>
      <c r="KBW236" s="1077">
        <v>8298541</v>
      </c>
      <c r="KBX236" s="1077">
        <v>8298541</v>
      </c>
      <c r="KBY236" s="1077">
        <v>8298541</v>
      </c>
      <c r="KBZ236" s="1077">
        <v>8298541</v>
      </c>
      <c r="KCA236" s="1077">
        <v>8298541</v>
      </c>
      <c r="KCB236" s="1077">
        <v>8298541</v>
      </c>
      <c r="KCC236" s="1077">
        <v>8298541</v>
      </c>
      <c r="KCD236" s="1077">
        <v>8298541</v>
      </c>
      <c r="KCE236" s="1077">
        <v>8298541</v>
      </c>
      <c r="KCF236" s="1077">
        <v>8298541</v>
      </c>
      <c r="KCG236" s="1077">
        <v>8298541</v>
      </c>
      <c r="KCH236" s="1077">
        <v>8298541</v>
      </c>
      <c r="KCI236" s="1077">
        <v>8298541</v>
      </c>
      <c r="KCJ236" s="1077">
        <v>8298541</v>
      </c>
      <c r="KCK236" s="1077">
        <v>8298541</v>
      </c>
      <c r="KCL236" s="1077">
        <v>8298541</v>
      </c>
      <c r="KCM236" s="1077">
        <v>8298541</v>
      </c>
      <c r="KCN236" s="1077">
        <v>8298541</v>
      </c>
      <c r="KCO236" s="1077">
        <v>8298541</v>
      </c>
      <c r="KCP236" s="1077">
        <v>8298541</v>
      </c>
      <c r="KCQ236" s="1077">
        <v>8298541</v>
      </c>
      <c r="KCR236" s="1077">
        <v>8298541</v>
      </c>
      <c r="KCS236" s="1077">
        <v>8298541</v>
      </c>
      <c r="KCT236" s="1077">
        <v>8298541</v>
      </c>
      <c r="KCU236" s="1077">
        <v>8298541</v>
      </c>
      <c r="KCV236" s="1077">
        <v>8298541</v>
      </c>
      <c r="KCW236" s="1077">
        <v>8298541</v>
      </c>
      <c r="KCX236" s="1077">
        <v>8298541</v>
      </c>
      <c r="KCY236" s="1077">
        <v>8298541</v>
      </c>
      <c r="KCZ236" s="1077">
        <v>8298541</v>
      </c>
      <c r="KDA236" s="1077">
        <v>8298541</v>
      </c>
      <c r="KDB236" s="1077">
        <v>8298541</v>
      </c>
      <c r="KDC236" s="1077">
        <v>8298541</v>
      </c>
      <c r="KDD236" s="1077">
        <v>8298541</v>
      </c>
      <c r="KDE236" s="1077">
        <v>8298541</v>
      </c>
      <c r="KDF236" s="1077">
        <v>8298541</v>
      </c>
      <c r="KDG236" s="1077">
        <v>8298541</v>
      </c>
      <c r="KDH236" s="1077">
        <v>8298541</v>
      </c>
      <c r="KDI236" s="1077">
        <v>8298541</v>
      </c>
      <c r="KDJ236" s="1077">
        <v>8298541</v>
      </c>
      <c r="KDK236" s="1077">
        <v>8298541</v>
      </c>
      <c r="KDL236" s="1077">
        <v>8298541</v>
      </c>
      <c r="KDM236" s="1077">
        <v>8298541</v>
      </c>
      <c r="KDN236" s="1077">
        <v>8298541</v>
      </c>
      <c r="KDO236" s="1077">
        <v>8298541</v>
      </c>
      <c r="KDP236" s="1077">
        <v>8298541</v>
      </c>
      <c r="KDQ236" s="1077">
        <v>8298541</v>
      </c>
      <c r="KDR236" s="1077">
        <v>8298541</v>
      </c>
      <c r="KDS236" s="1077">
        <v>8298541</v>
      </c>
      <c r="KDT236" s="1077">
        <v>8298541</v>
      </c>
      <c r="KDU236" s="1077">
        <v>8298541</v>
      </c>
      <c r="KDV236" s="1077">
        <v>8298541</v>
      </c>
      <c r="KDW236" s="1077">
        <v>8298541</v>
      </c>
      <c r="KDX236" s="1077">
        <v>8298541</v>
      </c>
      <c r="KDY236" s="1077">
        <v>8298541</v>
      </c>
      <c r="KDZ236" s="1077">
        <v>8298541</v>
      </c>
      <c r="KEA236" s="1077">
        <v>8298541</v>
      </c>
      <c r="KEB236" s="1077">
        <v>8298541</v>
      </c>
      <c r="KEC236" s="1077">
        <v>8298541</v>
      </c>
      <c r="KED236" s="1077">
        <v>8298541</v>
      </c>
      <c r="KEE236" s="1077">
        <v>8298541</v>
      </c>
      <c r="KEF236" s="1077">
        <v>8298541</v>
      </c>
      <c r="KEG236" s="1077">
        <v>8298541</v>
      </c>
      <c r="KEH236" s="1077">
        <v>8298541</v>
      </c>
      <c r="KEI236" s="1077">
        <v>8298541</v>
      </c>
      <c r="KEJ236" s="1077">
        <v>8298541</v>
      </c>
      <c r="KEK236" s="1077">
        <v>8298541</v>
      </c>
      <c r="KEL236" s="1077">
        <v>8298541</v>
      </c>
      <c r="KEM236" s="1077">
        <v>8298541</v>
      </c>
      <c r="KEN236" s="1077">
        <v>8298541</v>
      </c>
      <c r="KEO236" s="1077">
        <v>8298541</v>
      </c>
      <c r="KEP236" s="1077">
        <v>8298541</v>
      </c>
      <c r="KEQ236" s="1077">
        <v>8298541</v>
      </c>
      <c r="KER236" s="1077">
        <v>8298541</v>
      </c>
      <c r="KES236" s="1077">
        <v>8298541</v>
      </c>
      <c r="KET236" s="1077">
        <v>8298541</v>
      </c>
      <c r="KEU236" s="1077">
        <v>8298541</v>
      </c>
      <c r="KEV236" s="1077">
        <v>8298541</v>
      </c>
      <c r="KEW236" s="1077">
        <v>8298541</v>
      </c>
      <c r="KEX236" s="1077">
        <v>8298541</v>
      </c>
      <c r="KEY236" s="1077">
        <v>8298541</v>
      </c>
      <c r="KEZ236" s="1077">
        <v>8298541</v>
      </c>
      <c r="KFA236" s="1077">
        <v>8298541</v>
      </c>
      <c r="KFB236" s="1077">
        <v>8298541</v>
      </c>
      <c r="KFC236" s="1077">
        <v>8298541</v>
      </c>
      <c r="KFD236" s="1077">
        <v>8298541</v>
      </c>
      <c r="KFE236" s="1077">
        <v>8298541</v>
      </c>
      <c r="KFF236" s="1077">
        <v>8298541</v>
      </c>
      <c r="KFG236" s="1077">
        <v>8298541</v>
      </c>
      <c r="KFH236" s="1077">
        <v>8298541</v>
      </c>
      <c r="KFI236" s="1077">
        <v>8298541</v>
      </c>
      <c r="KFJ236" s="1077">
        <v>8298541</v>
      </c>
      <c r="KFK236" s="1077">
        <v>8298541</v>
      </c>
      <c r="KFL236" s="1077">
        <v>8298541</v>
      </c>
      <c r="KFM236" s="1077">
        <v>8298541</v>
      </c>
      <c r="KFN236" s="1077">
        <v>8298541</v>
      </c>
      <c r="KFO236" s="1077">
        <v>8298541</v>
      </c>
      <c r="KFP236" s="1077">
        <v>8298541</v>
      </c>
      <c r="KFQ236" s="1077">
        <v>8298541</v>
      </c>
      <c r="KFR236" s="1077">
        <v>8298541</v>
      </c>
      <c r="KFS236" s="1077">
        <v>8298541</v>
      </c>
      <c r="KFT236" s="1077">
        <v>8298541</v>
      </c>
      <c r="KFU236" s="1077">
        <v>8298541</v>
      </c>
      <c r="KFV236" s="1077">
        <v>8298541</v>
      </c>
      <c r="KFW236" s="1077">
        <v>8298541</v>
      </c>
      <c r="KFX236" s="1077">
        <v>8298541</v>
      </c>
      <c r="KFY236" s="1077">
        <v>8298541</v>
      </c>
      <c r="KFZ236" s="1077">
        <v>8298541</v>
      </c>
      <c r="KGA236" s="1077">
        <v>8298541</v>
      </c>
      <c r="KGB236" s="1077">
        <v>8298541</v>
      </c>
      <c r="KGC236" s="1077">
        <v>8298541</v>
      </c>
      <c r="KGD236" s="1077">
        <v>8298541</v>
      </c>
      <c r="KGE236" s="1077">
        <v>8298541</v>
      </c>
      <c r="KGF236" s="1077">
        <v>8298541</v>
      </c>
      <c r="KGG236" s="1077">
        <v>8298541</v>
      </c>
      <c r="KGH236" s="1077">
        <v>8298541</v>
      </c>
      <c r="KGI236" s="1077">
        <v>8298541</v>
      </c>
      <c r="KGJ236" s="1077">
        <v>8298541</v>
      </c>
      <c r="KGK236" s="1077">
        <v>8298541</v>
      </c>
      <c r="KGL236" s="1077">
        <v>8298541</v>
      </c>
      <c r="KGM236" s="1077">
        <v>8298541</v>
      </c>
      <c r="KGN236" s="1077">
        <v>8298541</v>
      </c>
      <c r="KGO236" s="1077">
        <v>8298541</v>
      </c>
      <c r="KGP236" s="1077">
        <v>8298541</v>
      </c>
      <c r="KGQ236" s="1077">
        <v>8298541</v>
      </c>
      <c r="KGR236" s="1077">
        <v>8298541</v>
      </c>
      <c r="KGS236" s="1077">
        <v>8298541</v>
      </c>
      <c r="KGT236" s="1077">
        <v>8298541</v>
      </c>
      <c r="KGU236" s="1077">
        <v>8298541</v>
      </c>
      <c r="KGV236" s="1077">
        <v>8298541</v>
      </c>
      <c r="KGW236" s="1077">
        <v>8298541</v>
      </c>
      <c r="KGX236" s="1077">
        <v>8298541</v>
      </c>
      <c r="KGY236" s="1077">
        <v>8298541</v>
      </c>
      <c r="KGZ236" s="1077">
        <v>8298541</v>
      </c>
      <c r="KHA236" s="1077">
        <v>8298541</v>
      </c>
      <c r="KHB236" s="1077">
        <v>8298541</v>
      </c>
      <c r="KHC236" s="1077">
        <v>8298541</v>
      </c>
      <c r="KHD236" s="1077">
        <v>8298541</v>
      </c>
      <c r="KHE236" s="1077">
        <v>8298541</v>
      </c>
      <c r="KHF236" s="1077">
        <v>8298541</v>
      </c>
      <c r="KHG236" s="1077">
        <v>8298541</v>
      </c>
      <c r="KHH236" s="1077">
        <v>8298541</v>
      </c>
      <c r="KHI236" s="1077">
        <v>8298541</v>
      </c>
      <c r="KHJ236" s="1077">
        <v>8298541</v>
      </c>
      <c r="KHK236" s="1077">
        <v>8298541</v>
      </c>
      <c r="KHL236" s="1077">
        <v>8298541</v>
      </c>
      <c r="KHM236" s="1077">
        <v>8298541</v>
      </c>
      <c r="KHN236" s="1077">
        <v>8298541</v>
      </c>
      <c r="KHO236" s="1077">
        <v>8298541</v>
      </c>
      <c r="KHP236" s="1077">
        <v>8298541</v>
      </c>
      <c r="KHQ236" s="1077">
        <v>8298541</v>
      </c>
      <c r="KHR236" s="1077">
        <v>8298541</v>
      </c>
      <c r="KHS236" s="1077">
        <v>8298541</v>
      </c>
      <c r="KHT236" s="1077">
        <v>8298541</v>
      </c>
      <c r="KHU236" s="1077">
        <v>8298541</v>
      </c>
      <c r="KHV236" s="1077">
        <v>8298541</v>
      </c>
      <c r="KHW236" s="1077">
        <v>8298541</v>
      </c>
      <c r="KHX236" s="1077">
        <v>8298541</v>
      </c>
      <c r="KHY236" s="1077">
        <v>8298541</v>
      </c>
      <c r="KHZ236" s="1077">
        <v>8298541</v>
      </c>
      <c r="KIA236" s="1077">
        <v>8298541</v>
      </c>
      <c r="KIB236" s="1077">
        <v>8298541</v>
      </c>
      <c r="KIC236" s="1077">
        <v>8298541</v>
      </c>
      <c r="KID236" s="1077">
        <v>8298541</v>
      </c>
      <c r="KIE236" s="1077">
        <v>8298541</v>
      </c>
      <c r="KIF236" s="1077">
        <v>8298541</v>
      </c>
      <c r="KIG236" s="1077">
        <v>8298541</v>
      </c>
      <c r="KIH236" s="1077">
        <v>8298541</v>
      </c>
      <c r="KII236" s="1077">
        <v>8298541</v>
      </c>
      <c r="KIJ236" s="1077">
        <v>8298541</v>
      </c>
      <c r="KIK236" s="1077">
        <v>8298541</v>
      </c>
      <c r="KIL236" s="1077">
        <v>8298541</v>
      </c>
      <c r="KIM236" s="1077">
        <v>8298541</v>
      </c>
      <c r="KIN236" s="1077">
        <v>8298541</v>
      </c>
      <c r="KIO236" s="1077">
        <v>8298541</v>
      </c>
      <c r="KIP236" s="1077">
        <v>8298541</v>
      </c>
      <c r="KIQ236" s="1077">
        <v>8298541</v>
      </c>
      <c r="KIR236" s="1077">
        <v>8298541</v>
      </c>
      <c r="KIS236" s="1077">
        <v>8298541</v>
      </c>
      <c r="KIT236" s="1077">
        <v>8298541</v>
      </c>
      <c r="KIU236" s="1077">
        <v>8298541</v>
      </c>
      <c r="KIV236" s="1077">
        <v>8298541</v>
      </c>
      <c r="KIW236" s="1077">
        <v>8298541</v>
      </c>
      <c r="KIX236" s="1077">
        <v>8298541</v>
      </c>
      <c r="KIY236" s="1077">
        <v>8298541</v>
      </c>
      <c r="KIZ236" s="1077">
        <v>8298541</v>
      </c>
      <c r="KJA236" s="1077">
        <v>8298541</v>
      </c>
      <c r="KJB236" s="1077">
        <v>8298541</v>
      </c>
      <c r="KJC236" s="1077">
        <v>8298541</v>
      </c>
      <c r="KJD236" s="1077">
        <v>8298541</v>
      </c>
      <c r="KJE236" s="1077">
        <v>8298541</v>
      </c>
      <c r="KJF236" s="1077">
        <v>8298541</v>
      </c>
      <c r="KJG236" s="1077">
        <v>8298541</v>
      </c>
      <c r="KJH236" s="1077">
        <v>8298541</v>
      </c>
      <c r="KJI236" s="1077">
        <v>8298541</v>
      </c>
      <c r="KJJ236" s="1077">
        <v>8298541</v>
      </c>
      <c r="KJK236" s="1077">
        <v>8298541</v>
      </c>
      <c r="KJL236" s="1077">
        <v>8298541</v>
      </c>
      <c r="KJM236" s="1077">
        <v>8298541</v>
      </c>
      <c r="KJN236" s="1077">
        <v>8298541</v>
      </c>
      <c r="KJO236" s="1077">
        <v>8298541</v>
      </c>
      <c r="KJP236" s="1077">
        <v>8298541</v>
      </c>
      <c r="KJQ236" s="1077">
        <v>8298541</v>
      </c>
      <c r="KJR236" s="1077">
        <v>8298541</v>
      </c>
      <c r="KJS236" s="1077">
        <v>8298541</v>
      </c>
      <c r="KJT236" s="1077">
        <v>8298541</v>
      </c>
      <c r="KJU236" s="1077">
        <v>8298541</v>
      </c>
      <c r="KJV236" s="1077">
        <v>8298541</v>
      </c>
      <c r="KJW236" s="1077">
        <v>8298541</v>
      </c>
      <c r="KJX236" s="1077">
        <v>8298541</v>
      </c>
      <c r="KJY236" s="1077">
        <v>8298541</v>
      </c>
      <c r="KJZ236" s="1077">
        <v>8298541</v>
      </c>
      <c r="KKA236" s="1077">
        <v>8298541</v>
      </c>
      <c r="KKB236" s="1077">
        <v>8298541</v>
      </c>
      <c r="KKC236" s="1077">
        <v>8298541</v>
      </c>
      <c r="KKD236" s="1077">
        <v>8298541</v>
      </c>
      <c r="KKE236" s="1077">
        <v>8298541</v>
      </c>
      <c r="KKF236" s="1077">
        <v>8298541</v>
      </c>
      <c r="KKG236" s="1077">
        <v>8298541</v>
      </c>
      <c r="KKH236" s="1077">
        <v>8298541</v>
      </c>
      <c r="KKI236" s="1077">
        <v>8298541</v>
      </c>
      <c r="KKJ236" s="1077">
        <v>8298541</v>
      </c>
      <c r="KKK236" s="1077">
        <v>8298541</v>
      </c>
      <c r="KKL236" s="1077">
        <v>8298541</v>
      </c>
      <c r="KKM236" s="1077">
        <v>8298541</v>
      </c>
      <c r="KKN236" s="1077">
        <v>8298541</v>
      </c>
      <c r="KKO236" s="1077">
        <v>8298541</v>
      </c>
      <c r="KKP236" s="1077">
        <v>8298541</v>
      </c>
      <c r="KKQ236" s="1077">
        <v>8298541</v>
      </c>
      <c r="KKR236" s="1077">
        <v>8298541</v>
      </c>
      <c r="KKS236" s="1077">
        <v>8298541</v>
      </c>
      <c r="KKT236" s="1077">
        <v>8298541</v>
      </c>
      <c r="KKU236" s="1077">
        <v>8298541</v>
      </c>
      <c r="KKV236" s="1077">
        <v>8298541</v>
      </c>
      <c r="KKW236" s="1077">
        <v>8298541</v>
      </c>
      <c r="KKX236" s="1077">
        <v>8298541</v>
      </c>
      <c r="KKY236" s="1077">
        <v>8298541</v>
      </c>
      <c r="KKZ236" s="1077">
        <v>8298541</v>
      </c>
      <c r="KLA236" s="1077">
        <v>8298541</v>
      </c>
      <c r="KLB236" s="1077">
        <v>8298541</v>
      </c>
      <c r="KLC236" s="1077">
        <v>8298541</v>
      </c>
      <c r="KLD236" s="1077">
        <v>8298541</v>
      </c>
      <c r="KLE236" s="1077">
        <v>8298541</v>
      </c>
      <c r="KLF236" s="1077">
        <v>8298541</v>
      </c>
      <c r="KLG236" s="1077">
        <v>8298541</v>
      </c>
      <c r="KLH236" s="1077">
        <v>8298541</v>
      </c>
      <c r="KLI236" s="1077">
        <v>8298541</v>
      </c>
      <c r="KLJ236" s="1077">
        <v>8298541</v>
      </c>
      <c r="KLK236" s="1077">
        <v>8298541</v>
      </c>
      <c r="KLL236" s="1077">
        <v>8298541</v>
      </c>
      <c r="KLM236" s="1077">
        <v>8298541</v>
      </c>
      <c r="KLN236" s="1077">
        <v>8298541</v>
      </c>
      <c r="KLO236" s="1077">
        <v>8298541</v>
      </c>
      <c r="KLP236" s="1077">
        <v>8298541</v>
      </c>
      <c r="KLQ236" s="1077">
        <v>8298541</v>
      </c>
      <c r="KLR236" s="1077">
        <v>8298541</v>
      </c>
      <c r="KLS236" s="1077">
        <v>8298541</v>
      </c>
      <c r="KLT236" s="1077">
        <v>8298541</v>
      </c>
      <c r="KLU236" s="1077">
        <v>8298541</v>
      </c>
      <c r="KLV236" s="1077">
        <v>8298541</v>
      </c>
      <c r="KLW236" s="1077">
        <v>8298541</v>
      </c>
      <c r="KLX236" s="1077">
        <v>8298541</v>
      </c>
      <c r="KLY236" s="1077">
        <v>8298541</v>
      </c>
      <c r="KLZ236" s="1077">
        <v>8298541</v>
      </c>
      <c r="KMA236" s="1077">
        <v>8298541</v>
      </c>
      <c r="KMB236" s="1077">
        <v>8298541</v>
      </c>
      <c r="KMC236" s="1077">
        <v>8298541</v>
      </c>
      <c r="KMD236" s="1077">
        <v>8298541</v>
      </c>
      <c r="KME236" s="1077">
        <v>8298541</v>
      </c>
      <c r="KMF236" s="1077">
        <v>8298541</v>
      </c>
      <c r="KMG236" s="1077">
        <v>8298541</v>
      </c>
      <c r="KMH236" s="1077">
        <v>8298541</v>
      </c>
      <c r="KMI236" s="1077">
        <v>8298541</v>
      </c>
      <c r="KMJ236" s="1077">
        <v>8298541</v>
      </c>
      <c r="KMK236" s="1077">
        <v>8298541</v>
      </c>
      <c r="KML236" s="1077">
        <v>8298541</v>
      </c>
      <c r="KMM236" s="1077">
        <v>8298541</v>
      </c>
      <c r="KMN236" s="1077">
        <v>8298541</v>
      </c>
      <c r="KMO236" s="1077">
        <v>8298541</v>
      </c>
      <c r="KMP236" s="1077">
        <v>8298541</v>
      </c>
      <c r="KMQ236" s="1077">
        <v>8298541</v>
      </c>
      <c r="KMR236" s="1077">
        <v>8298541</v>
      </c>
      <c r="KMS236" s="1077">
        <v>8298541</v>
      </c>
      <c r="KMT236" s="1077">
        <v>8298541</v>
      </c>
      <c r="KMU236" s="1077">
        <v>8298541</v>
      </c>
      <c r="KMV236" s="1077">
        <v>8298541</v>
      </c>
      <c r="KMW236" s="1077">
        <v>8298541</v>
      </c>
      <c r="KMX236" s="1077">
        <v>8298541</v>
      </c>
      <c r="KMY236" s="1077">
        <v>8298541</v>
      </c>
      <c r="KMZ236" s="1077">
        <v>8298541</v>
      </c>
      <c r="KNA236" s="1077">
        <v>8298541</v>
      </c>
      <c r="KNB236" s="1077">
        <v>8298541</v>
      </c>
      <c r="KNC236" s="1077">
        <v>8298541</v>
      </c>
      <c r="KND236" s="1077">
        <v>8298541</v>
      </c>
      <c r="KNE236" s="1077">
        <v>8298541</v>
      </c>
      <c r="KNF236" s="1077">
        <v>8298541</v>
      </c>
      <c r="KNG236" s="1077">
        <v>8298541</v>
      </c>
      <c r="KNH236" s="1077">
        <v>8298541</v>
      </c>
      <c r="KNI236" s="1077">
        <v>8298541</v>
      </c>
      <c r="KNJ236" s="1077">
        <v>8298541</v>
      </c>
      <c r="KNK236" s="1077">
        <v>8298541</v>
      </c>
      <c r="KNL236" s="1077">
        <v>8298541</v>
      </c>
      <c r="KNM236" s="1077">
        <v>8298541</v>
      </c>
      <c r="KNN236" s="1077">
        <v>8298541</v>
      </c>
      <c r="KNO236" s="1077">
        <v>8298541</v>
      </c>
      <c r="KNP236" s="1077">
        <v>8298541</v>
      </c>
      <c r="KNQ236" s="1077">
        <v>8298541</v>
      </c>
      <c r="KNR236" s="1077">
        <v>8298541</v>
      </c>
      <c r="KNS236" s="1077">
        <v>8298541</v>
      </c>
      <c r="KNT236" s="1077">
        <v>8298541</v>
      </c>
      <c r="KNU236" s="1077">
        <v>8298541</v>
      </c>
      <c r="KNV236" s="1077">
        <v>8298541</v>
      </c>
      <c r="KNW236" s="1077">
        <v>8298541</v>
      </c>
      <c r="KNX236" s="1077">
        <v>8298541</v>
      </c>
      <c r="KNY236" s="1077">
        <v>8298541</v>
      </c>
      <c r="KNZ236" s="1077">
        <v>8298541</v>
      </c>
      <c r="KOA236" s="1077">
        <v>8298541</v>
      </c>
      <c r="KOB236" s="1077">
        <v>8298541</v>
      </c>
      <c r="KOC236" s="1077">
        <v>8298541</v>
      </c>
      <c r="KOD236" s="1077">
        <v>8298541</v>
      </c>
      <c r="KOE236" s="1077">
        <v>8298541</v>
      </c>
      <c r="KOF236" s="1077">
        <v>8298541</v>
      </c>
      <c r="KOG236" s="1077">
        <v>8298541</v>
      </c>
      <c r="KOH236" s="1077">
        <v>8298541</v>
      </c>
      <c r="KOI236" s="1077">
        <v>8298541</v>
      </c>
      <c r="KOJ236" s="1077">
        <v>8298541</v>
      </c>
      <c r="KOK236" s="1077">
        <v>8298541</v>
      </c>
      <c r="KOL236" s="1077">
        <v>8298541</v>
      </c>
      <c r="KOM236" s="1077">
        <v>8298541</v>
      </c>
      <c r="KON236" s="1077">
        <v>8298541</v>
      </c>
      <c r="KOO236" s="1077">
        <v>8298541</v>
      </c>
      <c r="KOP236" s="1077">
        <v>8298541</v>
      </c>
      <c r="KOQ236" s="1077">
        <v>8298541</v>
      </c>
      <c r="KOR236" s="1077">
        <v>8298541</v>
      </c>
      <c r="KOS236" s="1077">
        <v>8298541</v>
      </c>
      <c r="KOT236" s="1077">
        <v>8298541</v>
      </c>
      <c r="KOU236" s="1077">
        <v>8298541</v>
      </c>
      <c r="KOV236" s="1077">
        <v>8298541</v>
      </c>
      <c r="KOW236" s="1077">
        <v>8298541</v>
      </c>
      <c r="KOX236" s="1077">
        <v>8298541</v>
      </c>
      <c r="KOY236" s="1077">
        <v>8298541</v>
      </c>
      <c r="KOZ236" s="1077">
        <v>8298541</v>
      </c>
      <c r="KPA236" s="1077">
        <v>8298541</v>
      </c>
      <c r="KPB236" s="1077">
        <v>8298541</v>
      </c>
      <c r="KPC236" s="1077">
        <v>8298541</v>
      </c>
      <c r="KPD236" s="1077">
        <v>8298541</v>
      </c>
      <c r="KPE236" s="1077">
        <v>8298541</v>
      </c>
      <c r="KPF236" s="1077">
        <v>8298541</v>
      </c>
      <c r="KPG236" s="1077">
        <v>8298541</v>
      </c>
      <c r="KPH236" s="1077">
        <v>8298541</v>
      </c>
      <c r="KPI236" s="1077">
        <v>8298541</v>
      </c>
      <c r="KPJ236" s="1077">
        <v>8298541</v>
      </c>
      <c r="KPK236" s="1077">
        <v>8298541</v>
      </c>
      <c r="KPL236" s="1077">
        <v>8298541</v>
      </c>
      <c r="KPM236" s="1077">
        <v>8298541</v>
      </c>
      <c r="KPN236" s="1077">
        <v>8298541</v>
      </c>
      <c r="KPO236" s="1077">
        <v>8298541</v>
      </c>
      <c r="KPP236" s="1077">
        <v>8298541</v>
      </c>
      <c r="KPQ236" s="1077">
        <v>8298541</v>
      </c>
      <c r="KPR236" s="1077">
        <v>8298541</v>
      </c>
      <c r="KPS236" s="1077">
        <v>8298541</v>
      </c>
      <c r="KPT236" s="1077">
        <v>8298541</v>
      </c>
      <c r="KPU236" s="1077">
        <v>8298541</v>
      </c>
      <c r="KPV236" s="1077">
        <v>8298541</v>
      </c>
      <c r="KPW236" s="1077">
        <v>8298541</v>
      </c>
      <c r="KPX236" s="1077">
        <v>8298541</v>
      </c>
      <c r="KPY236" s="1077">
        <v>8298541</v>
      </c>
      <c r="KPZ236" s="1077">
        <v>8298541</v>
      </c>
      <c r="KQA236" s="1077">
        <v>8298541</v>
      </c>
      <c r="KQB236" s="1077">
        <v>8298541</v>
      </c>
      <c r="KQC236" s="1077">
        <v>8298541</v>
      </c>
      <c r="KQD236" s="1077">
        <v>8298541</v>
      </c>
      <c r="KQE236" s="1077">
        <v>8298541</v>
      </c>
      <c r="KQF236" s="1077">
        <v>8298541</v>
      </c>
      <c r="KQG236" s="1077">
        <v>8298541</v>
      </c>
      <c r="KQH236" s="1077">
        <v>8298541</v>
      </c>
      <c r="KQI236" s="1077">
        <v>8298541</v>
      </c>
      <c r="KQJ236" s="1077">
        <v>8298541</v>
      </c>
      <c r="KQK236" s="1077">
        <v>8298541</v>
      </c>
      <c r="KQL236" s="1077">
        <v>8298541</v>
      </c>
      <c r="KQM236" s="1077">
        <v>8298541</v>
      </c>
      <c r="KQN236" s="1077">
        <v>8298541</v>
      </c>
      <c r="KQO236" s="1077">
        <v>8298541</v>
      </c>
      <c r="KQP236" s="1077">
        <v>8298541</v>
      </c>
      <c r="KQQ236" s="1077">
        <v>8298541</v>
      </c>
      <c r="KQR236" s="1077">
        <v>8298541</v>
      </c>
      <c r="KQS236" s="1077">
        <v>8298541</v>
      </c>
      <c r="KQT236" s="1077">
        <v>8298541</v>
      </c>
      <c r="KQU236" s="1077">
        <v>8298541</v>
      </c>
      <c r="KQV236" s="1077">
        <v>8298541</v>
      </c>
      <c r="KQW236" s="1077">
        <v>8298541</v>
      </c>
      <c r="KQX236" s="1077">
        <v>8298541</v>
      </c>
      <c r="KQY236" s="1077">
        <v>8298541</v>
      </c>
      <c r="KQZ236" s="1077">
        <v>8298541</v>
      </c>
      <c r="KRA236" s="1077">
        <v>8298541</v>
      </c>
      <c r="KRB236" s="1077">
        <v>8298541</v>
      </c>
      <c r="KRC236" s="1077">
        <v>8298541</v>
      </c>
      <c r="KRD236" s="1077">
        <v>8298541</v>
      </c>
      <c r="KRE236" s="1077">
        <v>8298541</v>
      </c>
      <c r="KRF236" s="1077">
        <v>8298541</v>
      </c>
      <c r="KRG236" s="1077">
        <v>8298541</v>
      </c>
      <c r="KRH236" s="1077">
        <v>8298541</v>
      </c>
      <c r="KRI236" s="1077">
        <v>8298541</v>
      </c>
      <c r="KRJ236" s="1077">
        <v>8298541</v>
      </c>
      <c r="KRK236" s="1077">
        <v>8298541</v>
      </c>
      <c r="KRL236" s="1077">
        <v>8298541</v>
      </c>
      <c r="KRM236" s="1077">
        <v>8298541</v>
      </c>
      <c r="KRN236" s="1077">
        <v>8298541</v>
      </c>
      <c r="KRO236" s="1077">
        <v>8298541</v>
      </c>
      <c r="KRP236" s="1077">
        <v>8298541</v>
      </c>
      <c r="KRQ236" s="1077">
        <v>8298541</v>
      </c>
      <c r="KRR236" s="1077">
        <v>8298541</v>
      </c>
      <c r="KRS236" s="1077">
        <v>8298541</v>
      </c>
      <c r="KRT236" s="1077">
        <v>8298541</v>
      </c>
      <c r="KRU236" s="1077">
        <v>8298541</v>
      </c>
      <c r="KRV236" s="1077">
        <v>8298541</v>
      </c>
      <c r="KRW236" s="1077">
        <v>8298541</v>
      </c>
      <c r="KRX236" s="1077">
        <v>8298541</v>
      </c>
      <c r="KRY236" s="1077">
        <v>8298541</v>
      </c>
      <c r="KRZ236" s="1077">
        <v>8298541</v>
      </c>
      <c r="KSA236" s="1077">
        <v>8298541</v>
      </c>
      <c r="KSB236" s="1077">
        <v>8298541</v>
      </c>
      <c r="KSC236" s="1077">
        <v>8298541</v>
      </c>
      <c r="KSD236" s="1077">
        <v>8298541</v>
      </c>
      <c r="KSE236" s="1077">
        <v>8298541</v>
      </c>
      <c r="KSF236" s="1077">
        <v>8298541</v>
      </c>
      <c r="KSG236" s="1077">
        <v>8298541</v>
      </c>
      <c r="KSH236" s="1077">
        <v>8298541</v>
      </c>
      <c r="KSI236" s="1077">
        <v>8298541</v>
      </c>
      <c r="KSJ236" s="1077">
        <v>8298541</v>
      </c>
      <c r="KSK236" s="1077">
        <v>8298541</v>
      </c>
      <c r="KSL236" s="1077">
        <v>8298541</v>
      </c>
      <c r="KSM236" s="1077">
        <v>8298541</v>
      </c>
      <c r="KSN236" s="1077">
        <v>8298541</v>
      </c>
      <c r="KSO236" s="1077">
        <v>8298541</v>
      </c>
      <c r="KSP236" s="1077">
        <v>8298541</v>
      </c>
      <c r="KSQ236" s="1077">
        <v>8298541</v>
      </c>
      <c r="KSR236" s="1077">
        <v>8298541</v>
      </c>
      <c r="KSS236" s="1077">
        <v>8298541</v>
      </c>
      <c r="KST236" s="1077">
        <v>8298541</v>
      </c>
      <c r="KSU236" s="1077">
        <v>8298541</v>
      </c>
      <c r="KSV236" s="1077">
        <v>8298541</v>
      </c>
      <c r="KSW236" s="1077">
        <v>8298541</v>
      </c>
      <c r="KSX236" s="1077">
        <v>8298541</v>
      </c>
      <c r="KSY236" s="1077">
        <v>8298541</v>
      </c>
      <c r="KSZ236" s="1077">
        <v>8298541</v>
      </c>
      <c r="KTA236" s="1077">
        <v>8298541</v>
      </c>
      <c r="KTB236" s="1077">
        <v>8298541</v>
      </c>
      <c r="KTC236" s="1077">
        <v>8298541</v>
      </c>
      <c r="KTD236" s="1077">
        <v>8298541</v>
      </c>
      <c r="KTE236" s="1077">
        <v>8298541</v>
      </c>
      <c r="KTF236" s="1077">
        <v>8298541</v>
      </c>
      <c r="KTG236" s="1077">
        <v>8298541</v>
      </c>
      <c r="KTH236" s="1077">
        <v>8298541</v>
      </c>
      <c r="KTI236" s="1077">
        <v>8298541</v>
      </c>
      <c r="KTJ236" s="1077">
        <v>8298541</v>
      </c>
      <c r="KTK236" s="1077">
        <v>8298541</v>
      </c>
      <c r="KTL236" s="1077">
        <v>8298541</v>
      </c>
      <c r="KTM236" s="1077">
        <v>8298541</v>
      </c>
      <c r="KTN236" s="1077">
        <v>8298541</v>
      </c>
      <c r="KTO236" s="1077">
        <v>8298541</v>
      </c>
      <c r="KTP236" s="1077">
        <v>8298541</v>
      </c>
      <c r="KTQ236" s="1077">
        <v>8298541</v>
      </c>
      <c r="KTR236" s="1077">
        <v>8298541</v>
      </c>
      <c r="KTS236" s="1077">
        <v>8298541</v>
      </c>
      <c r="KTT236" s="1077">
        <v>8298541</v>
      </c>
      <c r="KTU236" s="1077">
        <v>8298541</v>
      </c>
      <c r="KTV236" s="1077">
        <v>8298541</v>
      </c>
      <c r="KTW236" s="1077">
        <v>8298541</v>
      </c>
      <c r="KTX236" s="1077">
        <v>8298541</v>
      </c>
      <c r="KTY236" s="1077">
        <v>8298541</v>
      </c>
      <c r="KTZ236" s="1077">
        <v>8298541</v>
      </c>
      <c r="KUA236" s="1077">
        <v>8298541</v>
      </c>
      <c r="KUB236" s="1077">
        <v>8298541</v>
      </c>
      <c r="KUC236" s="1077">
        <v>8298541</v>
      </c>
      <c r="KUD236" s="1077">
        <v>8298541</v>
      </c>
      <c r="KUE236" s="1077">
        <v>8298541</v>
      </c>
      <c r="KUF236" s="1077">
        <v>8298541</v>
      </c>
      <c r="KUG236" s="1077">
        <v>8298541</v>
      </c>
      <c r="KUH236" s="1077">
        <v>8298541</v>
      </c>
      <c r="KUI236" s="1077">
        <v>8298541</v>
      </c>
      <c r="KUJ236" s="1077">
        <v>8298541</v>
      </c>
      <c r="KUK236" s="1077">
        <v>8298541</v>
      </c>
      <c r="KUL236" s="1077">
        <v>8298541</v>
      </c>
      <c r="KUM236" s="1077">
        <v>8298541</v>
      </c>
      <c r="KUN236" s="1077">
        <v>8298541</v>
      </c>
      <c r="KUO236" s="1077">
        <v>8298541</v>
      </c>
      <c r="KUP236" s="1077">
        <v>8298541</v>
      </c>
      <c r="KUQ236" s="1077">
        <v>8298541</v>
      </c>
      <c r="KUR236" s="1077">
        <v>8298541</v>
      </c>
      <c r="KUS236" s="1077">
        <v>8298541</v>
      </c>
      <c r="KUT236" s="1077">
        <v>8298541</v>
      </c>
      <c r="KUU236" s="1077">
        <v>8298541</v>
      </c>
      <c r="KUV236" s="1077">
        <v>8298541</v>
      </c>
      <c r="KUW236" s="1077">
        <v>8298541</v>
      </c>
      <c r="KUX236" s="1077">
        <v>8298541</v>
      </c>
      <c r="KUY236" s="1077">
        <v>8298541</v>
      </c>
      <c r="KUZ236" s="1077">
        <v>8298541</v>
      </c>
      <c r="KVA236" s="1077">
        <v>8298541</v>
      </c>
      <c r="KVB236" s="1077">
        <v>8298541</v>
      </c>
      <c r="KVC236" s="1077">
        <v>8298541</v>
      </c>
      <c r="KVD236" s="1077">
        <v>8298541</v>
      </c>
      <c r="KVE236" s="1077">
        <v>8298541</v>
      </c>
      <c r="KVF236" s="1077">
        <v>8298541</v>
      </c>
      <c r="KVG236" s="1077">
        <v>8298541</v>
      </c>
      <c r="KVH236" s="1077">
        <v>8298541</v>
      </c>
      <c r="KVI236" s="1077">
        <v>8298541</v>
      </c>
      <c r="KVJ236" s="1077">
        <v>8298541</v>
      </c>
      <c r="KVK236" s="1077">
        <v>8298541</v>
      </c>
      <c r="KVL236" s="1077">
        <v>8298541</v>
      </c>
      <c r="KVM236" s="1077">
        <v>8298541</v>
      </c>
      <c r="KVN236" s="1077">
        <v>8298541</v>
      </c>
      <c r="KVO236" s="1077">
        <v>8298541</v>
      </c>
      <c r="KVP236" s="1077">
        <v>8298541</v>
      </c>
      <c r="KVQ236" s="1077">
        <v>8298541</v>
      </c>
      <c r="KVR236" s="1077">
        <v>8298541</v>
      </c>
      <c r="KVS236" s="1077">
        <v>8298541</v>
      </c>
      <c r="KVT236" s="1077">
        <v>8298541</v>
      </c>
      <c r="KVU236" s="1077">
        <v>8298541</v>
      </c>
      <c r="KVV236" s="1077">
        <v>8298541</v>
      </c>
      <c r="KVW236" s="1077">
        <v>8298541</v>
      </c>
      <c r="KVX236" s="1077">
        <v>8298541</v>
      </c>
      <c r="KVY236" s="1077">
        <v>8298541</v>
      </c>
      <c r="KVZ236" s="1077">
        <v>8298541</v>
      </c>
      <c r="KWA236" s="1077">
        <v>8298541</v>
      </c>
      <c r="KWB236" s="1077">
        <v>8298541</v>
      </c>
      <c r="KWC236" s="1077">
        <v>8298541</v>
      </c>
      <c r="KWD236" s="1077">
        <v>8298541</v>
      </c>
      <c r="KWE236" s="1077">
        <v>8298541</v>
      </c>
      <c r="KWF236" s="1077">
        <v>8298541</v>
      </c>
      <c r="KWG236" s="1077">
        <v>8298541</v>
      </c>
      <c r="KWH236" s="1077">
        <v>8298541</v>
      </c>
      <c r="KWI236" s="1077">
        <v>8298541</v>
      </c>
      <c r="KWJ236" s="1077">
        <v>8298541</v>
      </c>
      <c r="KWK236" s="1077">
        <v>8298541</v>
      </c>
      <c r="KWL236" s="1077">
        <v>8298541</v>
      </c>
      <c r="KWM236" s="1077">
        <v>8298541</v>
      </c>
      <c r="KWN236" s="1077">
        <v>8298541</v>
      </c>
      <c r="KWO236" s="1077">
        <v>8298541</v>
      </c>
      <c r="KWP236" s="1077">
        <v>8298541</v>
      </c>
      <c r="KWQ236" s="1077">
        <v>8298541</v>
      </c>
      <c r="KWR236" s="1077">
        <v>8298541</v>
      </c>
      <c r="KWS236" s="1077">
        <v>8298541</v>
      </c>
      <c r="KWT236" s="1077">
        <v>8298541</v>
      </c>
      <c r="KWU236" s="1077">
        <v>8298541</v>
      </c>
      <c r="KWV236" s="1077">
        <v>8298541</v>
      </c>
      <c r="KWW236" s="1077">
        <v>8298541</v>
      </c>
      <c r="KWX236" s="1077">
        <v>8298541</v>
      </c>
      <c r="KWY236" s="1077">
        <v>8298541</v>
      </c>
      <c r="KWZ236" s="1077">
        <v>8298541</v>
      </c>
      <c r="KXA236" s="1077">
        <v>8298541</v>
      </c>
      <c r="KXB236" s="1077">
        <v>8298541</v>
      </c>
      <c r="KXC236" s="1077">
        <v>8298541</v>
      </c>
      <c r="KXD236" s="1077">
        <v>8298541</v>
      </c>
      <c r="KXE236" s="1077">
        <v>8298541</v>
      </c>
      <c r="KXF236" s="1077">
        <v>8298541</v>
      </c>
      <c r="KXG236" s="1077">
        <v>8298541</v>
      </c>
      <c r="KXH236" s="1077">
        <v>8298541</v>
      </c>
      <c r="KXI236" s="1077">
        <v>8298541</v>
      </c>
      <c r="KXJ236" s="1077">
        <v>8298541</v>
      </c>
      <c r="KXK236" s="1077">
        <v>8298541</v>
      </c>
      <c r="KXL236" s="1077">
        <v>8298541</v>
      </c>
      <c r="KXM236" s="1077">
        <v>8298541</v>
      </c>
      <c r="KXN236" s="1077">
        <v>8298541</v>
      </c>
      <c r="KXO236" s="1077">
        <v>8298541</v>
      </c>
      <c r="KXP236" s="1077">
        <v>8298541</v>
      </c>
      <c r="KXQ236" s="1077">
        <v>8298541</v>
      </c>
      <c r="KXR236" s="1077">
        <v>8298541</v>
      </c>
      <c r="KXS236" s="1077">
        <v>8298541</v>
      </c>
      <c r="KXT236" s="1077">
        <v>8298541</v>
      </c>
      <c r="KXU236" s="1077">
        <v>8298541</v>
      </c>
      <c r="KXV236" s="1077">
        <v>8298541</v>
      </c>
      <c r="KXW236" s="1077">
        <v>8298541</v>
      </c>
      <c r="KXX236" s="1077">
        <v>8298541</v>
      </c>
      <c r="KXY236" s="1077">
        <v>8298541</v>
      </c>
      <c r="KXZ236" s="1077">
        <v>8298541</v>
      </c>
      <c r="KYA236" s="1077">
        <v>8298541</v>
      </c>
      <c r="KYB236" s="1077">
        <v>8298541</v>
      </c>
      <c r="KYC236" s="1077">
        <v>8298541</v>
      </c>
      <c r="KYD236" s="1077">
        <v>8298541</v>
      </c>
      <c r="KYE236" s="1077">
        <v>8298541</v>
      </c>
      <c r="KYF236" s="1077">
        <v>8298541</v>
      </c>
      <c r="KYG236" s="1077">
        <v>8298541</v>
      </c>
      <c r="KYH236" s="1077">
        <v>8298541</v>
      </c>
      <c r="KYI236" s="1077">
        <v>8298541</v>
      </c>
      <c r="KYJ236" s="1077">
        <v>8298541</v>
      </c>
      <c r="KYK236" s="1077">
        <v>8298541</v>
      </c>
      <c r="KYL236" s="1077">
        <v>8298541</v>
      </c>
      <c r="KYM236" s="1077">
        <v>8298541</v>
      </c>
      <c r="KYN236" s="1077">
        <v>8298541</v>
      </c>
      <c r="KYO236" s="1077">
        <v>8298541</v>
      </c>
      <c r="KYP236" s="1077">
        <v>8298541</v>
      </c>
      <c r="KYQ236" s="1077">
        <v>8298541</v>
      </c>
      <c r="KYR236" s="1077">
        <v>8298541</v>
      </c>
      <c r="KYS236" s="1077">
        <v>8298541</v>
      </c>
      <c r="KYT236" s="1077">
        <v>8298541</v>
      </c>
      <c r="KYU236" s="1077">
        <v>8298541</v>
      </c>
      <c r="KYV236" s="1077">
        <v>8298541</v>
      </c>
      <c r="KYW236" s="1077">
        <v>8298541</v>
      </c>
      <c r="KYX236" s="1077">
        <v>8298541</v>
      </c>
      <c r="KYY236" s="1077">
        <v>8298541</v>
      </c>
      <c r="KYZ236" s="1077">
        <v>8298541</v>
      </c>
      <c r="KZA236" s="1077">
        <v>8298541</v>
      </c>
      <c r="KZB236" s="1077">
        <v>8298541</v>
      </c>
      <c r="KZC236" s="1077">
        <v>8298541</v>
      </c>
      <c r="KZD236" s="1077">
        <v>8298541</v>
      </c>
      <c r="KZE236" s="1077">
        <v>8298541</v>
      </c>
      <c r="KZF236" s="1077">
        <v>8298541</v>
      </c>
      <c r="KZG236" s="1077">
        <v>8298541</v>
      </c>
      <c r="KZH236" s="1077">
        <v>8298541</v>
      </c>
      <c r="KZI236" s="1077">
        <v>8298541</v>
      </c>
      <c r="KZJ236" s="1077">
        <v>8298541</v>
      </c>
      <c r="KZK236" s="1077">
        <v>8298541</v>
      </c>
      <c r="KZL236" s="1077">
        <v>8298541</v>
      </c>
      <c r="KZM236" s="1077">
        <v>8298541</v>
      </c>
      <c r="KZN236" s="1077">
        <v>8298541</v>
      </c>
      <c r="KZO236" s="1077">
        <v>8298541</v>
      </c>
      <c r="KZP236" s="1077">
        <v>8298541</v>
      </c>
      <c r="KZQ236" s="1077">
        <v>8298541</v>
      </c>
      <c r="KZR236" s="1077">
        <v>8298541</v>
      </c>
      <c r="KZS236" s="1077">
        <v>8298541</v>
      </c>
      <c r="KZT236" s="1077">
        <v>8298541</v>
      </c>
      <c r="KZU236" s="1077">
        <v>8298541</v>
      </c>
      <c r="KZV236" s="1077">
        <v>8298541</v>
      </c>
      <c r="KZW236" s="1077">
        <v>8298541</v>
      </c>
      <c r="KZX236" s="1077">
        <v>8298541</v>
      </c>
      <c r="KZY236" s="1077">
        <v>8298541</v>
      </c>
      <c r="KZZ236" s="1077">
        <v>8298541</v>
      </c>
      <c r="LAA236" s="1077">
        <v>8298541</v>
      </c>
      <c r="LAB236" s="1077">
        <v>8298541</v>
      </c>
      <c r="LAC236" s="1077">
        <v>8298541</v>
      </c>
      <c r="LAD236" s="1077">
        <v>8298541</v>
      </c>
      <c r="LAE236" s="1077">
        <v>8298541</v>
      </c>
      <c r="LAF236" s="1077">
        <v>8298541</v>
      </c>
      <c r="LAG236" s="1077">
        <v>8298541</v>
      </c>
      <c r="LAH236" s="1077">
        <v>8298541</v>
      </c>
      <c r="LAI236" s="1077">
        <v>8298541</v>
      </c>
      <c r="LAJ236" s="1077">
        <v>8298541</v>
      </c>
      <c r="LAK236" s="1077">
        <v>8298541</v>
      </c>
      <c r="LAL236" s="1077">
        <v>8298541</v>
      </c>
      <c r="LAM236" s="1077">
        <v>8298541</v>
      </c>
      <c r="LAN236" s="1077">
        <v>8298541</v>
      </c>
      <c r="LAO236" s="1077">
        <v>8298541</v>
      </c>
      <c r="LAP236" s="1077">
        <v>8298541</v>
      </c>
      <c r="LAQ236" s="1077">
        <v>8298541</v>
      </c>
      <c r="LAR236" s="1077">
        <v>8298541</v>
      </c>
      <c r="LAS236" s="1077">
        <v>8298541</v>
      </c>
      <c r="LAT236" s="1077">
        <v>8298541</v>
      </c>
      <c r="LAU236" s="1077">
        <v>8298541</v>
      </c>
      <c r="LAV236" s="1077">
        <v>8298541</v>
      </c>
      <c r="LAW236" s="1077">
        <v>8298541</v>
      </c>
      <c r="LAX236" s="1077">
        <v>8298541</v>
      </c>
      <c r="LAY236" s="1077">
        <v>8298541</v>
      </c>
      <c r="LAZ236" s="1077">
        <v>8298541</v>
      </c>
      <c r="LBA236" s="1077">
        <v>8298541</v>
      </c>
      <c r="LBB236" s="1077">
        <v>8298541</v>
      </c>
      <c r="LBC236" s="1077">
        <v>8298541</v>
      </c>
      <c r="LBD236" s="1077">
        <v>8298541</v>
      </c>
      <c r="LBE236" s="1077">
        <v>8298541</v>
      </c>
      <c r="LBF236" s="1077">
        <v>8298541</v>
      </c>
      <c r="LBG236" s="1077">
        <v>8298541</v>
      </c>
      <c r="LBH236" s="1077">
        <v>8298541</v>
      </c>
      <c r="LBI236" s="1077">
        <v>8298541</v>
      </c>
      <c r="LBJ236" s="1077">
        <v>8298541</v>
      </c>
      <c r="LBK236" s="1077">
        <v>8298541</v>
      </c>
      <c r="LBL236" s="1077">
        <v>8298541</v>
      </c>
      <c r="LBM236" s="1077">
        <v>8298541</v>
      </c>
      <c r="LBN236" s="1077">
        <v>8298541</v>
      </c>
      <c r="LBO236" s="1077">
        <v>8298541</v>
      </c>
      <c r="LBP236" s="1077">
        <v>8298541</v>
      </c>
      <c r="LBQ236" s="1077">
        <v>8298541</v>
      </c>
      <c r="LBR236" s="1077">
        <v>8298541</v>
      </c>
      <c r="LBS236" s="1077">
        <v>8298541</v>
      </c>
      <c r="LBT236" s="1077">
        <v>8298541</v>
      </c>
      <c r="LBU236" s="1077">
        <v>8298541</v>
      </c>
      <c r="LBV236" s="1077">
        <v>8298541</v>
      </c>
      <c r="LBW236" s="1077">
        <v>8298541</v>
      </c>
      <c r="LBX236" s="1077">
        <v>8298541</v>
      </c>
      <c r="LBY236" s="1077">
        <v>8298541</v>
      </c>
      <c r="LBZ236" s="1077">
        <v>8298541</v>
      </c>
      <c r="LCA236" s="1077">
        <v>8298541</v>
      </c>
      <c r="LCB236" s="1077">
        <v>8298541</v>
      </c>
      <c r="LCC236" s="1077">
        <v>8298541</v>
      </c>
      <c r="LCD236" s="1077">
        <v>8298541</v>
      </c>
      <c r="LCE236" s="1077">
        <v>8298541</v>
      </c>
      <c r="LCF236" s="1077">
        <v>8298541</v>
      </c>
      <c r="LCG236" s="1077">
        <v>8298541</v>
      </c>
      <c r="LCH236" s="1077">
        <v>8298541</v>
      </c>
      <c r="LCI236" s="1077">
        <v>8298541</v>
      </c>
      <c r="LCJ236" s="1077">
        <v>8298541</v>
      </c>
      <c r="LCK236" s="1077">
        <v>8298541</v>
      </c>
      <c r="LCL236" s="1077">
        <v>8298541</v>
      </c>
      <c r="LCM236" s="1077">
        <v>8298541</v>
      </c>
      <c r="LCN236" s="1077">
        <v>8298541</v>
      </c>
      <c r="LCO236" s="1077">
        <v>8298541</v>
      </c>
      <c r="LCP236" s="1077">
        <v>8298541</v>
      </c>
      <c r="LCQ236" s="1077">
        <v>8298541</v>
      </c>
      <c r="LCR236" s="1077">
        <v>8298541</v>
      </c>
      <c r="LCS236" s="1077">
        <v>8298541</v>
      </c>
      <c r="LCT236" s="1077">
        <v>8298541</v>
      </c>
      <c r="LCU236" s="1077">
        <v>8298541</v>
      </c>
      <c r="LCV236" s="1077">
        <v>8298541</v>
      </c>
      <c r="LCW236" s="1077">
        <v>8298541</v>
      </c>
      <c r="LCX236" s="1077">
        <v>8298541</v>
      </c>
      <c r="LCY236" s="1077">
        <v>8298541</v>
      </c>
      <c r="LCZ236" s="1077">
        <v>8298541</v>
      </c>
      <c r="LDA236" s="1077">
        <v>8298541</v>
      </c>
      <c r="LDB236" s="1077">
        <v>8298541</v>
      </c>
      <c r="LDC236" s="1077">
        <v>8298541</v>
      </c>
      <c r="LDD236" s="1077">
        <v>8298541</v>
      </c>
      <c r="LDE236" s="1077">
        <v>8298541</v>
      </c>
      <c r="LDF236" s="1077">
        <v>8298541</v>
      </c>
      <c r="LDG236" s="1077">
        <v>8298541</v>
      </c>
      <c r="LDH236" s="1077">
        <v>8298541</v>
      </c>
      <c r="LDI236" s="1077">
        <v>8298541</v>
      </c>
      <c r="LDJ236" s="1077">
        <v>8298541</v>
      </c>
      <c r="LDK236" s="1077">
        <v>8298541</v>
      </c>
      <c r="LDL236" s="1077">
        <v>8298541</v>
      </c>
      <c r="LDM236" s="1077">
        <v>8298541</v>
      </c>
      <c r="LDN236" s="1077">
        <v>8298541</v>
      </c>
      <c r="LDO236" s="1077">
        <v>8298541</v>
      </c>
      <c r="LDP236" s="1077">
        <v>8298541</v>
      </c>
      <c r="LDQ236" s="1077">
        <v>8298541</v>
      </c>
      <c r="LDR236" s="1077">
        <v>8298541</v>
      </c>
      <c r="LDS236" s="1077">
        <v>8298541</v>
      </c>
      <c r="LDT236" s="1077">
        <v>8298541</v>
      </c>
      <c r="LDU236" s="1077">
        <v>8298541</v>
      </c>
      <c r="LDV236" s="1077">
        <v>8298541</v>
      </c>
      <c r="LDW236" s="1077">
        <v>8298541</v>
      </c>
      <c r="LDX236" s="1077">
        <v>8298541</v>
      </c>
      <c r="LDY236" s="1077">
        <v>8298541</v>
      </c>
      <c r="LDZ236" s="1077">
        <v>8298541</v>
      </c>
      <c r="LEA236" s="1077">
        <v>8298541</v>
      </c>
      <c r="LEB236" s="1077">
        <v>8298541</v>
      </c>
      <c r="LEC236" s="1077">
        <v>8298541</v>
      </c>
      <c r="LED236" s="1077">
        <v>8298541</v>
      </c>
      <c r="LEE236" s="1077">
        <v>8298541</v>
      </c>
      <c r="LEF236" s="1077">
        <v>8298541</v>
      </c>
      <c r="LEG236" s="1077">
        <v>8298541</v>
      </c>
      <c r="LEH236" s="1077">
        <v>8298541</v>
      </c>
      <c r="LEI236" s="1077">
        <v>8298541</v>
      </c>
      <c r="LEJ236" s="1077">
        <v>8298541</v>
      </c>
      <c r="LEK236" s="1077">
        <v>8298541</v>
      </c>
      <c r="LEL236" s="1077">
        <v>8298541</v>
      </c>
      <c r="LEM236" s="1077">
        <v>8298541</v>
      </c>
      <c r="LEN236" s="1077">
        <v>8298541</v>
      </c>
      <c r="LEO236" s="1077">
        <v>8298541</v>
      </c>
      <c r="LEP236" s="1077">
        <v>8298541</v>
      </c>
      <c r="LEQ236" s="1077">
        <v>8298541</v>
      </c>
      <c r="LER236" s="1077">
        <v>8298541</v>
      </c>
      <c r="LES236" s="1077">
        <v>8298541</v>
      </c>
      <c r="LET236" s="1077">
        <v>8298541</v>
      </c>
      <c r="LEU236" s="1077">
        <v>8298541</v>
      </c>
      <c r="LEV236" s="1077">
        <v>8298541</v>
      </c>
      <c r="LEW236" s="1077">
        <v>8298541</v>
      </c>
      <c r="LEX236" s="1077">
        <v>8298541</v>
      </c>
      <c r="LEY236" s="1077">
        <v>8298541</v>
      </c>
      <c r="LEZ236" s="1077">
        <v>8298541</v>
      </c>
      <c r="LFA236" s="1077">
        <v>8298541</v>
      </c>
      <c r="LFB236" s="1077">
        <v>8298541</v>
      </c>
      <c r="LFC236" s="1077">
        <v>8298541</v>
      </c>
      <c r="LFD236" s="1077">
        <v>8298541</v>
      </c>
      <c r="LFE236" s="1077">
        <v>8298541</v>
      </c>
      <c r="LFF236" s="1077">
        <v>8298541</v>
      </c>
      <c r="LFG236" s="1077">
        <v>8298541</v>
      </c>
      <c r="LFH236" s="1077">
        <v>8298541</v>
      </c>
      <c r="LFI236" s="1077">
        <v>8298541</v>
      </c>
      <c r="LFJ236" s="1077">
        <v>8298541</v>
      </c>
      <c r="LFK236" s="1077">
        <v>8298541</v>
      </c>
      <c r="LFL236" s="1077">
        <v>8298541</v>
      </c>
      <c r="LFM236" s="1077">
        <v>8298541</v>
      </c>
      <c r="LFN236" s="1077">
        <v>8298541</v>
      </c>
      <c r="LFO236" s="1077">
        <v>8298541</v>
      </c>
      <c r="LFP236" s="1077">
        <v>8298541</v>
      </c>
      <c r="LFQ236" s="1077">
        <v>8298541</v>
      </c>
      <c r="LFR236" s="1077">
        <v>8298541</v>
      </c>
      <c r="LFS236" s="1077">
        <v>8298541</v>
      </c>
      <c r="LFT236" s="1077">
        <v>8298541</v>
      </c>
      <c r="LFU236" s="1077">
        <v>8298541</v>
      </c>
      <c r="LFV236" s="1077">
        <v>8298541</v>
      </c>
      <c r="LFW236" s="1077">
        <v>8298541</v>
      </c>
      <c r="LFX236" s="1077">
        <v>8298541</v>
      </c>
      <c r="LFY236" s="1077">
        <v>8298541</v>
      </c>
      <c r="LFZ236" s="1077">
        <v>8298541</v>
      </c>
      <c r="LGA236" s="1077">
        <v>8298541</v>
      </c>
      <c r="LGB236" s="1077">
        <v>8298541</v>
      </c>
      <c r="LGC236" s="1077">
        <v>8298541</v>
      </c>
      <c r="LGD236" s="1077">
        <v>8298541</v>
      </c>
      <c r="LGE236" s="1077">
        <v>8298541</v>
      </c>
      <c r="LGF236" s="1077">
        <v>8298541</v>
      </c>
      <c r="LGG236" s="1077">
        <v>8298541</v>
      </c>
      <c r="LGH236" s="1077">
        <v>8298541</v>
      </c>
      <c r="LGI236" s="1077">
        <v>8298541</v>
      </c>
      <c r="LGJ236" s="1077">
        <v>8298541</v>
      </c>
      <c r="LGK236" s="1077">
        <v>8298541</v>
      </c>
      <c r="LGL236" s="1077">
        <v>8298541</v>
      </c>
      <c r="LGM236" s="1077">
        <v>8298541</v>
      </c>
      <c r="LGN236" s="1077">
        <v>8298541</v>
      </c>
      <c r="LGO236" s="1077">
        <v>8298541</v>
      </c>
      <c r="LGP236" s="1077">
        <v>8298541</v>
      </c>
      <c r="LGQ236" s="1077">
        <v>8298541</v>
      </c>
      <c r="LGR236" s="1077">
        <v>8298541</v>
      </c>
      <c r="LGS236" s="1077">
        <v>8298541</v>
      </c>
      <c r="LGT236" s="1077">
        <v>8298541</v>
      </c>
      <c r="LGU236" s="1077">
        <v>8298541</v>
      </c>
      <c r="LGV236" s="1077">
        <v>8298541</v>
      </c>
      <c r="LGW236" s="1077">
        <v>8298541</v>
      </c>
      <c r="LGX236" s="1077">
        <v>8298541</v>
      </c>
      <c r="LGY236" s="1077">
        <v>8298541</v>
      </c>
      <c r="LGZ236" s="1077">
        <v>8298541</v>
      </c>
      <c r="LHA236" s="1077">
        <v>8298541</v>
      </c>
      <c r="LHB236" s="1077">
        <v>8298541</v>
      </c>
      <c r="LHC236" s="1077">
        <v>8298541</v>
      </c>
      <c r="LHD236" s="1077">
        <v>8298541</v>
      </c>
      <c r="LHE236" s="1077">
        <v>8298541</v>
      </c>
      <c r="LHF236" s="1077">
        <v>8298541</v>
      </c>
      <c r="LHG236" s="1077">
        <v>8298541</v>
      </c>
      <c r="LHH236" s="1077">
        <v>8298541</v>
      </c>
      <c r="LHI236" s="1077">
        <v>8298541</v>
      </c>
      <c r="LHJ236" s="1077">
        <v>8298541</v>
      </c>
      <c r="LHK236" s="1077">
        <v>8298541</v>
      </c>
      <c r="LHL236" s="1077">
        <v>8298541</v>
      </c>
      <c r="LHM236" s="1077">
        <v>8298541</v>
      </c>
      <c r="LHN236" s="1077">
        <v>8298541</v>
      </c>
      <c r="LHO236" s="1077">
        <v>8298541</v>
      </c>
      <c r="LHP236" s="1077">
        <v>8298541</v>
      </c>
      <c r="LHQ236" s="1077">
        <v>8298541</v>
      </c>
      <c r="LHR236" s="1077">
        <v>8298541</v>
      </c>
      <c r="LHS236" s="1077">
        <v>8298541</v>
      </c>
      <c r="LHT236" s="1077">
        <v>8298541</v>
      </c>
      <c r="LHU236" s="1077">
        <v>8298541</v>
      </c>
      <c r="LHV236" s="1077">
        <v>8298541</v>
      </c>
      <c r="LHW236" s="1077">
        <v>8298541</v>
      </c>
      <c r="LHX236" s="1077">
        <v>8298541</v>
      </c>
      <c r="LHY236" s="1077">
        <v>8298541</v>
      </c>
      <c r="LHZ236" s="1077">
        <v>8298541</v>
      </c>
      <c r="LIA236" s="1077">
        <v>8298541</v>
      </c>
      <c r="LIB236" s="1077">
        <v>8298541</v>
      </c>
      <c r="LIC236" s="1077">
        <v>8298541</v>
      </c>
      <c r="LID236" s="1077">
        <v>8298541</v>
      </c>
      <c r="LIE236" s="1077">
        <v>8298541</v>
      </c>
      <c r="LIF236" s="1077">
        <v>8298541</v>
      </c>
      <c r="LIG236" s="1077">
        <v>8298541</v>
      </c>
      <c r="LIH236" s="1077">
        <v>8298541</v>
      </c>
      <c r="LII236" s="1077">
        <v>8298541</v>
      </c>
      <c r="LIJ236" s="1077">
        <v>8298541</v>
      </c>
      <c r="LIK236" s="1077">
        <v>8298541</v>
      </c>
      <c r="LIL236" s="1077">
        <v>8298541</v>
      </c>
      <c r="LIM236" s="1077">
        <v>8298541</v>
      </c>
      <c r="LIN236" s="1077">
        <v>8298541</v>
      </c>
      <c r="LIO236" s="1077">
        <v>8298541</v>
      </c>
      <c r="LIP236" s="1077">
        <v>8298541</v>
      </c>
      <c r="LIQ236" s="1077">
        <v>8298541</v>
      </c>
      <c r="LIR236" s="1077">
        <v>8298541</v>
      </c>
      <c r="LIS236" s="1077">
        <v>8298541</v>
      </c>
      <c r="LIT236" s="1077">
        <v>8298541</v>
      </c>
      <c r="LIU236" s="1077">
        <v>8298541</v>
      </c>
      <c r="LIV236" s="1077">
        <v>8298541</v>
      </c>
      <c r="LIW236" s="1077">
        <v>8298541</v>
      </c>
      <c r="LIX236" s="1077">
        <v>8298541</v>
      </c>
      <c r="LIY236" s="1077">
        <v>8298541</v>
      </c>
      <c r="LIZ236" s="1077">
        <v>8298541</v>
      </c>
      <c r="LJA236" s="1077">
        <v>8298541</v>
      </c>
      <c r="LJB236" s="1077">
        <v>8298541</v>
      </c>
      <c r="LJC236" s="1077">
        <v>8298541</v>
      </c>
      <c r="LJD236" s="1077">
        <v>8298541</v>
      </c>
      <c r="LJE236" s="1077">
        <v>8298541</v>
      </c>
      <c r="LJF236" s="1077">
        <v>8298541</v>
      </c>
      <c r="LJG236" s="1077">
        <v>8298541</v>
      </c>
      <c r="LJH236" s="1077">
        <v>8298541</v>
      </c>
      <c r="LJI236" s="1077">
        <v>8298541</v>
      </c>
      <c r="LJJ236" s="1077">
        <v>8298541</v>
      </c>
      <c r="LJK236" s="1077">
        <v>8298541</v>
      </c>
      <c r="LJL236" s="1077">
        <v>8298541</v>
      </c>
      <c r="LJM236" s="1077">
        <v>8298541</v>
      </c>
      <c r="LJN236" s="1077">
        <v>8298541</v>
      </c>
      <c r="LJO236" s="1077">
        <v>8298541</v>
      </c>
      <c r="LJP236" s="1077">
        <v>8298541</v>
      </c>
      <c r="LJQ236" s="1077">
        <v>8298541</v>
      </c>
      <c r="LJR236" s="1077">
        <v>8298541</v>
      </c>
      <c r="LJS236" s="1077">
        <v>8298541</v>
      </c>
      <c r="LJT236" s="1077">
        <v>8298541</v>
      </c>
      <c r="LJU236" s="1077">
        <v>8298541</v>
      </c>
      <c r="LJV236" s="1077">
        <v>8298541</v>
      </c>
      <c r="LJW236" s="1077">
        <v>8298541</v>
      </c>
      <c r="LJX236" s="1077">
        <v>8298541</v>
      </c>
      <c r="LJY236" s="1077">
        <v>8298541</v>
      </c>
      <c r="LJZ236" s="1077">
        <v>8298541</v>
      </c>
      <c r="LKA236" s="1077">
        <v>8298541</v>
      </c>
      <c r="LKB236" s="1077">
        <v>8298541</v>
      </c>
      <c r="LKC236" s="1077">
        <v>8298541</v>
      </c>
      <c r="LKD236" s="1077">
        <v>8298541</v>
      </c>
      <c r="LKE236" s="1077">
        <v>8298541</v>
      </c>
      <c r="LKF236" s="1077">
        <v>8298541</v>
      </c>
      <c r="LKG236" s="1077">
        <v>8298541</v>
      </c>
      <c r="LKH236" s="1077">
        <v>8298541</v>
      </c>
      <c r="LKI236" s="1077">
        <v>8298541</v>
      </c>
      <c r="LKJ236" s="1077">
        <v>8298541</v>
      </c>
      <c r="LKK236" s="1077">
        <v>8298541</v>
      </c>
      <c r="LKL236" s="1077">
        <v>8298541</v>
      </c>
      <c r="LKM236" s="1077">
        <v>8298541</v>
      </c>
      <c r="LKN236" s="1077">
        <v>8298541</v>
      </c>
      <c r="LKO236" s="1077">
        <v>8298541</v>
      </c>
      <c r="LKP236" s="1077">
        <v>8298541</v>
      </c>
      <c r="LKQ236" s="1077">
        <v>8298541</v>
      </c>
      <c r="LKR236" s="1077">
        <v>8298541</v>
      </c>
      <c r="LKS236" s="1077">
        <v>8298541</v>
      </c>
      <c r="LKT236" s="1077">
        <v>8298541</v>
      </c>
      <c r="LKU236" s="1077">
        <v>8298541</v>
      </c>
      <c r="LKV236" s="1077">
        <v>8298541</v>
      </c>
      <c r="LKW236" s="1077">
        <v>8298541</v>
      </c>
      <c r="LKX236" s="1077">
        <v>8298541</v>
      </c>
      <c r="LKY236" s="1077">
        <v>8298541</v>
      </c>
      <c r="LKZ236" s="1077">
        <v>8298541</v>
      </c>
      <c r="LLA236" s="1077">
        <v>8298541</v>
      </c>
      <c r="LLB236" s="1077">
        <v>8298541</v>
      </c>
      <c r="LLC236" s="1077">
        <v>8298541</v>
      </c>
      <c r="LLD236" s="1077">
        <v>8298541</v>
      </c>
      <c r="LLE236" s="1077">
        <v>8298541</v>
      </c>
      <c r="LLF236" s="1077">
        <v>8298541</v>
      </c>
      <c r="LLG236" s="1077">
        <v>8298541</v>
      </c>
      <c r="LLH236" s="1077">
        <v>8298541</v>
      </c>
      <c r="LLI236" s="1077">
        <v>8298541</v>
      </c>
      <c r="LLJ236" s="1077">
        <v>8298541</v>
      </c>
      <c r="LLK236" s="1077">
        <v>8298541</v>
      </c>
      <c r="LLL236" s="1077">
        <v>8298541</v>
      </c>
      <c r="LLM236" s="1077">
        <v>8298541</v>
      </c>
      <c r="LLN236" s="1077">
        <v>8298541</v>
      </c>
      <c r="LLO236" s="1077">
        <v>8298541</v>
      </c>
      <c r="LLP236" s="1077">
        <v>8298541</v>
      </c>
      <c r="LLQ236" s="1077">
        <v>8298541</v>
      </c>
      <c r="LLR236" s="1077">
        <v>8298541</v>
      </c>
      <c r="LLS236" s="1077">
        <v>8298541</v>
      </c>
      <c r="LLT236" s="1077">
        <v>8298541</v>
      </c>
      <c r="LLU236" s="1077">
        <v>8298541</v>
      </c>
      <c r="LLV236" s="1077">
        <v>8298541</v>
      </c>
      <c r="LLW236" s="1077">
        <v>8298541</v>
      </c>
      <c r="LLX236" s="1077">
        <v>8298541</v>
      </c>
      <c r="LLY236" s="1077">
        <v>8298541</v>
      </c>
      <c r="LLZ236" s="1077">
        <v>8298541</v>
      </c>
      <c r="LMA236" s="1077">
        <v>8298541</v>
      </c>
      <c r="LMB236" s="1077">
        <v>8298541</v>
      </c>
      <c r="LMC236" s="1077">
        <v>8298541</v>
      </c>
      <c r="LMD236" s="1077">
        <v>8298541</v>
      </c>
      <c r="LME236" s="1077">
        <v>8298541</v>
      </c>
      <c r="LMF236" s="1077">
        <v>8298541</v>
      </c>
      <c r="LMG236" s="1077">
        <v>8298541</v>
      </c>
      <c r="LMH236" s="1077">
        <v>8298541</v>
      </c>
      <c r="LMI236" s="1077">
        <v>8298541</v>
      </c>
      <c r="LMJ236" s="1077">
        <v>8298541</v>
      </c>
      <c r="LMK236" s="1077">
        <v>8298541</v>
      </c>
      <c r="LML236" s="1077">
        <v>8298541</v>
      </c>
      <c r="LMM236" s="1077">
        <v>8298541</v>
      </c>
      <c r="LMN236" s="1077">
        <v>8298541</v>
      </c>
      <c r="LMO236" s="1077">
        <v>8298541</v>
      </c>
      <c r="LMP236" s="1077">
        <v>8298541</v>
      </c>
      <c r="LMQ236" s="1077">
        <v>8298541</v>
      </c>
      <c r="LMR236" s="1077">
        <v>8298541</v>
      </c>
      <c r="LMS236" s="1077">
        <v>8298541</v>
      </c>
      <c r="LMT236" s="1077">
        <v>8298541</v>
      </c>
      <c r="LMU236" s="1077">
        <v>8298541</v>
      </c>
      <c r="LMV236" s="1077">
        <v>8298541</v>
      </c>
      <c r="LMW236" s="1077">
        <v>8298541</v>
      </c>
      <c r="LMX236" s="1077">
        <v>8298541</v>
      </c>
      <c r="LMY236" s="1077">
        <v>8298541</v>
      </c>
      <c r="LMZ236" s="1077">
        <v>8298541</v>
      </c>
      <c r="LNA236" s="1077">
        <v>8298541</v>
      </c>
      <c r="LNB236" s="1077">
        <v>8298541</v>
      </c>
      <c r="LNC236" s="1077">
        <v>8298541</v>
      </c>
      <c r="LND236" s="1077">
        <v>8298541</v>
      </c>
      <c r="LNE236" s="1077">
        <v>8298541</v>
      </c>
      <c r="LNF236" s="1077">
        <v>8298541</v>
      </c>
      <c r="LNG236" s="1077">
        <v>8298541</v>
      </c>
      <c r="LNH236" s="1077">
        <v>8298541</v>
      </c>
      <c r="LNI236" s="1077">
        <v>8298541</v>
      </c>
      <c r="LNJ236" s="1077">
        <v>8298541</v>
      </c>
      <c r="LNK236" s="1077">
        <v>8298541</v>
      </c>
      <c r="LNL236" s="1077">
        <v>8298541</v>
      </c>
      <c r="LNM236" s="1077">
        <v>8298541</v>
      </c>
      <c r="LNN236" s="1077">
        <v>8298541</v>
      </c>
      <c r="LNO236" s="1077">
        <v>8298541</v>
      </c>
      <c r="LNP236" s="1077">
        <v>8298541</v>
      </c>
      <c r="LNQ236" s="1077">
        <v>8298541</v>
      </c>
      <c r="LNR236" s="1077">
        <v>8298541</v>
      </c>
      <c r="LNS236" s="1077">
        <v>8298541</v>
      </c>
      <c r="LNT236" s="1077">
        <v>8298541</v>
      </c>
      <c r="LNU236" s="1077">
        <v>8298541</v>
      </c>
      <c r="LNV236" s="1077">
        <v>8298541</v>
      </c>
      <c r="LNW236" s="1077">
        <v>8298541</v>
      </c>
      <c r="LNX236" s="1077">
        <v>8298541</v>
      </c>
      <c r="LNY236" s="1077">
        <v>8298541</v>
      </c>
      <c r="LNZ236" s="1077">
        <v>8298541</v>
      </c>
      <c r="LOA236" s="1077">
        <v>8298541</v>
      </c>
      <c r="LOB236" s="1077">
        <v>8298541</v>
      </c>
      <c r="LOC236" s="1077">
        <v>8298541</v>
      </c>
      <c r="LOD236" s="1077">
        <v>8298541</v>
      </c>
      <c r="LOE236" s="1077">
        <v>8298541</v>
      </c>
      <c r="LOF236" s="1077">
        <v>8298541</v>
      </c>
      <c r="LOG236" s="1077">
        <v>8298541</v>
      </c>
      <c r="LOH236" s="1077">
        <v>8298541</v>
      </c>
      <c r="LOI236" s="1077">
        <v>8298541</v>
      </c>
      <c r="LOJ236" s="1077">
        <v>8298541</v>
      </c>
      <c r="LOK236" s="1077">
        <v>8298541</v>
      </c>
      <c r="LOL236" s="1077">
        <v>8298541</v>
      </c>
      <c r="LOM236" s="1077">
        <v>8298541</v>
      </c>
      <c r="LON236" s="1077">
        <v>8298541</v>
      </c>
      <c r="LOO236" s="1077">
        <v>8298541</v>
      </c>
      <c r="LOP236" s="1077">
        <v>8298541</v>
      </c>
      <c r="LOQ236" s="1077">
        <v>8298541</v>
      </c>
      <c r="LOR236" s="1077">
        <v>8298541</v>
      </c>
      <c r="LOS236" s="1077">
        <v>8298541</v>
      </c>
      <c r="LOT236" s="1077">
        <v>8298541</v>
      </c>
      <c r="LOU236" s="1077">
        <v>8298541</v>
      </c>
      <c r="LOV236" s="1077">
        <v>8298541</v>
      </c>
      <c r="LOW236" s="1077">
        <v>8298541</v>
      </c>
      <c r="LOX236" s="1077">
        <v>8298541</v>
      </c>
      <c r="LOY236" s="1077">
        <v>8298541</v>
      </c>
      <c r="LOZ236" s="1077">
        <v>8298541</v>
      </c>
      <c r="LPA236" s="1077">
        <v>8298541</v>
      </c>
      <c r="LPB236" s="1077">
        <v>8298541</v>
      </c>
      <c r="LPC236" s="1077">
        <v>8298541</v>
      </c>
      <c r="LPD236" s="1077">
        <v>8298541</v>
      </c>
      <c r="LPE236" s="1077">
        <v>8298541</v>
      </c>
      <c r="LPF236" s="1077">
        <v>8298541</v>
      </c>
      <c r="LPG236" s="1077">
        <v>8298541</v>
      </c>
      <c r="LPH236" s="1077">
        <v>8298541</v>
      </c>
      <c r="LPI236" s="1077">
        <v>8298541</v>
      </c>
      <c r="LPJ236" s="1077">
        <v>8298541</v>
      </c>
      <c r="LPK236" s="1077">
        <v>8298541</v>
      </c>
      <c r="LPL236" s="1077">
        <v>8298541</v>
      </c>
      <c r="LPM236" s="1077">
        <v>8298541</v>
      </c>
      <c r="LPN236" s="1077">
        <v>8298541</v>
      </c>
      <c r="LPO236" s="1077">
        <v>8298541</v>
      </c>
      <c r="LPP236" s="1077">
        <v>8298541</v>
      </c>
      <c r="LPQ236" s="1077">
        <v>8298541</v>
      </c>
      <c r="LPR236" s="1077">
        <v>8298541</v>
      </c>
      <c r="LPS236" s="1077">
        <v>8298541</v>
      </c>
      <c r="LPT236" s="1077">
        <v>8298541</v>
      </c>
      <c r="LPU236" s="1077">
        <v>8298541</v>
      </c>
      <c r="LPV236" s="1077">
        <v>8298541</v>
      </c>
      <c r="LPW236" s="1077">
        <v>8298541</v>
      </c>
      <c r="LPX236" s="1077">
        <v>8298541</v>
      </c>
      <c r="LPY236" s="1077">
        <v>8298541</v>
      </c>
      <c r="LPZ236" s="1077">
        <v>8298541</v>
      </c>
      <c r="LQA236" s="1077">
        <v>8298541</v>
      </c>
      <c r="LQB236" s="1077">
        <v>8298541</v>
      </c>
      <c r="LQC236" s="1077">
        <v>8298541</v>
      </c>
      <c r="LQD236" s="1077">
        <v>8298541</v>
      </c>
      <c r="LQE236" s="1077">
        <v>8298541</v>
      </c>
      <c r="LQF236" s="1077">
        <v>8298541</v>
      </c>
      <c r="LQG236" s="1077">
        <v>8298541</v>
      </c>
      <c r="LQH236" s="1077">
        <v>8298541</v>
      </c>
      <c r="LQI236" s="1077">
        <v>8298541</v>
      </c>
      <c r="LQJ236" s="1077">
        <v>8298541</v>
      </c>
      <c r="LQK236" s="1077">
        <v>8298541</v>
      </c>
      <c r="LQL236" s="1077">
        <v>8298541</v>
      </c>
      <c r="LQM236" s="1077">
        <v>8298541</v>
      </c>
      <c r="LQN236" s="1077">
        <v>8298541</v>
      </c>
      <c r="LQO236" s="1077">
        <v>8298541</v>
      </c>
      <c r="LQP236" s="1077">
        <v>8298541</v>
      </c>
      <c r="LQQ236" s="1077">
        <v>8298541</v>
      </c>
      <c r="LQR236" s="1077">
        <v>8298541</v>
      </c>
      <c r="LQS236" s="1077">
        <v>8298541</v>
      </c>
      <c r="LQT236" s="1077">
        <v>8298541</v>
      </c>
      <c r="LQU236" s="1077">
        <v>8298541</v>
      </c>
      <c r="LQV236" s="1077">
        <v>8298541</v>
      </c>
      <c r="LQW236" s="1077">
        <v>8298541</v>
      </c>
      <c r="LQX236" s="1077">
        <v>8298541</v>
      </c>
      <c r="LQY236" s="1077">
        <v>8298541</v>
      </c>
      <c r="LQZ236" s="1077">
        <v>8298541</v>
      </c>
      <c r="LRA236" s="1077">
        <v>8298541</v>
      </c>
      <c r="LRB236" s="1077">
        <v>8298541</v>
      </c>
      <c r="LRC236" s="1077">
        <v>8298541</v>
      </c>
      <c r="LRD236" s="1077">
        <v>8298541</v>
      </c>
      <c r="LRE236" s="1077">
        <v>8298541</v>
      </c>
      <c r="LRF236" s="1077">
        <v>8298541</v>
      </c>
      <c r="LRG236" s="1077">
        <v>8298541</v>
      </c>
      <c r="LRH236" s="1077">
        <v>8298541</v>
      </c>
      <c r="LRI236" s="1077">
        <v>8298541</v>
      </c>
      <c r="LRJ236" s="1077">
        <v>8298541</v>
      </c>
      <c r="LRK236" s="1077">
        <v>8298541</v>
      </c>
      <c r="LRL236" s="1077">
        <v>8298541</v>
      </c>
      <c r="LRM236" s="1077">
        <v>8298541</v>
      </c>
      <c r="LRN236" s="1077">
        <v>8298541</v>
      </c>
      <c r="LRO236" s="1077">
        <v>8298541</v>
      </c>
      <c r="LRP236" s="1077">
        <v>8298541</v>
      </c>
      <c r="LRQ236" s="1077">
        <v>8298541</v>
      </c>
      <c r="LRR236" s="1077">
        <v>8298541</v>
      </c>
      <c r="LRS236" s="1077">
        <v>8298541</v>
      </c>
      <c r="LRT236" s="1077">
        <v>8298541</v>
      </c>
      <c r="LRU236" s="1077">
        <v>8298541</v>
      </c>
      <c r="LRV236" s="1077">
        <v>8298541</v>
      </c>
      <c r="LRW236" s="1077">
        <v>8298541</v>
      </c>
      <c r="LRX236" s="1077">
        <v>8298541</v>
      </c>
      <c r="LRY236" s="1077">
        <v>8298541</v>
      </c>
      <c r="LRZ236" s="1077">
        <v>8298541</v>
      </c>
      <c r="LSA236" s="1077">
        <v>8298541</v>
      </c>
      <c r="LSB236" s="1077">
        <v>8298541</v>
      </c>
      <c r="LSC236" s="1077">
        <v>8298541</v>
      </c>
      <c r="LSD236" s="1077">
        <v>8298541</v>
      </c>
      <c r="LSE236" s="1077">
        <v>8298541</v>
      </c>
      <c r="LSF236" s="1077">
        <v>8298541</v>
      </c>
      <c r="LSG236" s="1077">
        <v>8298541</v>
      </c>
      <c r="LSH236" s="1077">
        <v>8298541</v>
      </c>
      <c r="LSI236" s="1077">
        <v>8298541</v>
      </c>
      <c r="LSJ236" s="1077">
        <v>8298541</v>
      </c>
      <c r="LSK236" s="1077">
        <v>8298541</v>
      </c>
      <c r="LSL236" s="1077">
        <v>8298541</v>
      </c>
      <c r="LSM236" s="1077">
        <v>8298541</v>
      </c>
      <c r="LSN236" s="1077">
        <v>8298541</v>
      </c>
      <c r="LSO236" s="1077">
        <v>8298541</v>
      </c>
      <c r="LSP236" s="1077">
        <v>8298541</v>
      </c>
      <c r="LSQ236" s="1077">
        <v>8298541</v>
      </c>
      <c r="LSR236" s="1077">
        <v>8298541</v>
      </c>
      <c r="LSS236" s="1077">
        <v>8298541</v>
      </c>
      <c r="LST236" s="1077">
        <v>8298541</v>
      </c>
      <c r="LSU236" s="1077">
        <v>8298541</v>
      </c>
      <c r="LSV236" s="1077">
        <v>8298541</v>
      </c>
      <c r="LSW236" s="1077">
        <v>8298541</v>
      </c>
      <c r="LSX236" s="1077">
        <v>8298541</v>
      </c>
      <c r="LSY236" s="1077">
        <v>8298541</v>
      </c>
      <c r="LSZ236" s="1077">
        <v>8298541</v>
      </c>
      <c r="LTA236" s="1077">
        <v>8298541</v>
      </c>
      <c r="LTB236" s="1077">
        <v>8298541</v>
      </c>
      <c r="LTC236" s="1077">
        <v>8298541</v>
      </c>
      <c r="LTD236" s="1077">
        <v>8298541</v>
      </c>
      <c r="LTE236" s="1077">
        <v>8298541</v>
      </c>
      <c r="LTF236" s="1077">
        <v>8298541</v>
      </c>
      <c r="LTG236" s="1077">
        <v>8298541</v>
      </c>
      <c r="LTH236" s="1077">
        <v>8298541</v>
      </c>
      <c r="LTI236" s="1077">
        <v>8298541</v>
      </c>
      <c r="LTJ236" s="1077">
        <v>8298541</v>
      </c>
      <c r="LTK236" s="1077">
        <v>8298541</v>
      </c>
      <c r="LTL236" s="1077">
        <v>8298541</v>
      </c>
      <c r="LTM236" s="1077">
        <v>8298541</v>
      </c>
      <c r="LTN236" s="1077">
        <v>8298541</v>
      </c>
      <c r="LTO236" s="1077">
        <v>8298541</v>
      </c>
      <c r="LTP236" s="1077">
        <v>8298541</v>
      </c>
      <c r="LTQ236" s="1077">
        <v>8298541</v>
      </c>
      <c r="LTR236" s="1077">
        <v>8298541</v>
      </c>
      <c r="LTS236" s="1077">
        <v>8298541</v>
      </c>
      <c r="LTT236" s="1077">
        <v>8298541</v>
      </c>
      <c r="LTU236" s="1077">
        <v>8298541</v>
      </c>
      <c r="LTV236" s="1077">
        <v>8298541</v>
      </c>
      <c r="LTW236" s="1077">
        <v>8298541</v>
      </c>
      <c r="LTX236" s="1077">
        <v>8298541</v>
      </c>
      <c r="LTY236" s="1077">
        <v>8298541</v>
      </c>
      <c r="LTZ236" s="1077">
        <v>8298541</v>
      </c>
      <c r="LUA236" s="1077">
        <v>8298541</v>
      </c>
      <c r="LUB236" s="1077">
        <v>8298541</v>
      </c>
      <c r="LUC236" s="1077">
        <v>8298541</v>
      </c>
      <c r="LUD236" s="1077">
        <v>8298541</v>
      </c>
      <c r="LUE236" s="1077">
        <v>8298541</v>
      </c>
      <c r="LUF236" s="1077">
        <v>8298541</v>
      </c>
      <c r="LUG236" s="1077">
        <v>8298541</v>
      </c>
      <c r="LUH236" s="1077">
        <v>8298541</v>
      </c>
      <c r="LUI236" s="1077">
        <v>8298541</v>
      </c>
      <c r="LUJ236" s="1077">
        <v>8298541</v>
      </c>
      <c r="LUK236" s="1077">
        <v>8298541</v>
      </c>
      <c r="LUL236" s="1077">
        <v>8298541</v>
      </c>
      <c r="LUM236" s="1077">
        <v>8298541</v>
      </c>
      <c r="LUN236" s="1077">
        <v>8298541</v>
      </c>
      <c r="LUO236" s="1077">
        <v>8298541</v>
      </c>
      <c r="LUP236" s="1077">
        <v>8298541</v>
      </c>
      <c r="LUQ236" s="1077">
        <v>8298541</v>
      </c>
      <c r="LUR236" s="1077">
        <v>8298541</v>
      </c>
      <c r="LUS236" s="1077">
        <v>8298541</v>
      </c>
      <c r="LUT236" s="1077">
        <v>8298541</v>
      </c>
      <c r="LUU236" s="1077">
        <v>8298541</v>
      </c>
      <c r="LUV236" s="1077">
        <v>8298541</v>
      </c>
      <c r="LUW236" s="1077">
        <v>8298541</v>
      </c>
      <c r="LUX236" s="1077">
        <v>8298541</v>
      </c>
      <c r="LUY236" s="1077">
        <v>8298541</v>
      </c>
      <c r="LUZ236" s="1077">
        <v>8298541</v>
      </c>
      <c r="LVA236" s="1077">
        <v>8298541</v>
      </c>
      <c r="LVB236" s="1077">
        <v>8298541</v>
      </c>
      <c r="LVC236" s="1077">
        <v>8298541</v>
      </c>
      <c r="LVD236" s="1077">
        <v>8298541</v>
      </c>
      <c r="LVE236" s="1077">
        <v>8298541</v>
      </c>
      <c r="LVF236" s="1077">
        <v>8298541</v>
      </c>
      <c r="LVG236" s="1077">
        <v>8298541</v>
      </c>
      <c r="LVH236" s="1077">
        <v>8298541</v>
      </c>
      <c r="LVI236" s="1077">
        <v>8298541</v>
      </c>
      <c r="LVJ236" s="1077">
        <v>8298541</v>
      </c>
      <c r="LVK236" s="1077">
        <v>8298541</v>
      </c>
      <c r="LVL236" s="1077">
        <v>8298541</v>
      </c>
      <c r="LVM236" s="1077">
        <v>8298541</v>
      </c>
      <c r="LVN236" s="1077">
        <v>8298541</v>
      </c>
      <c r="LVO236" s="1077">
        <v>8298541</v>
      </c>
      <c r="LVP236" s="1077">
        <v>8298541</v>
      </c>
      <c r="LVQ236" s="1077">
        <v>8298541</v>
      </c>
      <c r="LVR236" s="1077">
        <v>8298541</v>
      </c>
      <c r="LVS236" s="1077">
        <v>8298541</v>
      </c>
      <c r="LVT236" s="1077">
        <v>8298541</v>
      </c>
      <c r="LVU236" s="1077">
        <v>8298541</v>
      </c>
      <c r="LVV236" s="1077">
        <v>8298541</v>
      </c>
      <c r="LVW236" s="1077">
        <v>8298541</v>
      </c>
      <c r="LVX236" s="1077">
        <v>8298541</v>
      </c>
      <c r="LVY236" s="1077">
        <v>8298541</v>
      </c>
      <c r="LVZ236" s="1077">
        <v>8298541</v>
      </c>
      <c r="LWA236" s="1077">
        <v>8298541</v>
      </c>
      <c r="LWB236" s="1077">
        <v>8298541</v>
      </c>
      <c r="LWC236" s="1077">
        <v>8298541</v>
      </c>
      <c r="LWD236" s="1077">
        <v>8298541</v>
      </c>
      <c r="LWE236" s="1077">
        <v>8298541</v>
      </c>
      <c r="LWF236" s="1077">
        <v>8298541</v>
      </c>
      <c r="LWG236" s="1077">
        <v>8298541</v>
      </c>
      <c r="LWH236" s="1077">
        <v>8298541</v>
      </c>
      <c r="LWI236" s="1077">
        <v>8298541</v>
      </c>
      <c r="LWJ236" s="1077">
        <v>8298541</v>
      </c>
      <c r="LWK236" s="1077">
        <v>8298541</v>
      </c>
      <c r="LWL236" s="1077">
        <v>8298541</v>
      </c>
      <c r="LWM236" s="1077">
        <v>8298541</v>
      </c>
      <c r="LWN236" s="1077">
        <v>8298541</v>
      </c>
      <c r="LWO236" s="1077">
        <v>8298541</v>
      </c>
      <c r="LWP236" s="1077">
        <v>8298541</v>
      </c>
      <c r="LWQ236" s="1077">
        <v>8298541</v>
      </c>
      <c r="LWR236" s="1077">
        <v>8298541</v>
      </c>
      <c r="LWS236" s="1077">
        <v>8298541</v>
      </c>
      <c r="LWT236" s="1077">
        <v>8298541</v>
      </c>
      <c r="LWU236" s="1077">
        <v>8298541</v>
      </c>
      <c r="LWV236" s="1077">
        <v>8298541</v>
      </c>
      <c r="LWW236" s="1077">
        <v>8298541</v>
      </c>
      <c r="LWX236" s="1077">
        <v>8298541</v>
      </c>
      <c r="LWY236" s="1077">
        <v>8298541</v>
      </c>
      <c r="LWZ236" s="1077">
        <v>8298541</v>
      </c>
      <c r="LXA236" s="1077">
        <v>8298541</v>
      </c>
      <c r="LXB236" s="1077">
        <v>8298541</v>
      </c>
      <c r="LXC236" s="1077">
        <v>8298541</v>
      </c>
      <c r="LXD236" s="1077">
        <v>8298541</v>
      </c>
      <c r="LXE236" s="1077">
        <v>8298541</v>
      </c>
      <c r="LXF236" s="1077">
        <v>8298541</v>
      </c>
      <c r="LXG236" s="1077">
        <v>8298541</v>
      </c>
      <c r="LXH236" s="1077">
        <v>8298541</v>
      </c>
      <c r="LXI236" s="1077">
        <v>8298541</v>
      </c>
      <c r="LXJ236" s="1077">
        <v>8298541</v>
      </c>
      <c r="LXK236" s="1077">
        <v>8298541</v>
      </c>
      <c r="LXL236" s="1077">
        <v>8298541</v>
      </c>
      <c r="LXM236" s="1077">
        <v>8298541</v>
      </c>
      <c r="LXN236" s="1077">
        <v>8298541</v>
      </c>
      <c r="LXO236" s="1077">
        <v>8298541</v>
      </c>
      <c r="LXP236" s="1077">
        <v>8298541</v>
      </c>
      <c r="LXQ236" s="1077">
        <v>8298541</v>
      </c>
      <c r="LXR236" s="1077">
        <v>8298541</v>
      </c>
      <c r="LXS236" s="1077">
        <v>8298541</v>
      </c>
      <c r="LXT236" s="1077">
        <v>8298541</v>
      </c>
      <c r="LXU236" s="1077">
        <v>8298541</v>
      </c>
      <c r="LXV236" s="1077">
        <v>8298541</v>
      </c>
      <c r="LXW236" s="1077">
        <v>8298541</v>
      </c>
      <c r="LXX236" s="1077">
        <v>8298541</v>
      </c>
      <c r="LXY236" s="1077">
        <v>8298541</v>
      </c>
      <c r="LXZ236" s="1077">
        <v>8298541</v>
      </c>
      <c r="LYA236" s="1077">
        <v>8298541</v>
      </c>
      <c r="LYB236" s="1077">
        <v>8298541</v>
      </c>
      <c r="LYC236" s="1077">
        <v>8298541</v>
      </c>
      <c r="LYD236" s="1077">
        <v>8298541</v>
      </c>
      <c r="LYE236" s="1077">
        <v>8298541</v>
      </c>
      <c r="LYF236" s="1077">
        <v>8298541</v>
      </c>
      <c r="LYG236" s="1077">
        <v>8298541</v>
      </c>
      <c r="LYH236" s="1077">
        <v>8298541</v>
      </c>
      <c r="LYI236" s="1077">
        <v>8298541</v>
      </c>
      <c r="LYJ236" s="1077">
        <v>8298541</v>
      </c>
      <c r="LYK236" s="1077">
        <v>8298541</v>
      </c>
      <c r="LYL236" s="1077">
        <v>8298541</v>
      </c>
      <c r="LYM236" s="1077">
        <v>8298541</v>
      </c>
      <c r="LYN236" s="1077">
        <v>8298541</v>
      </c>
      <c r="LYO236" s="1077">
        <v>8298541</v>
      </c>
      <c r="LYP236" s="1077">
        <v>8298541</v>
      </c>
      <c r="LYQ236" s="1077">
        <v>8298541</v>
      </c>
      <c r="LYR236" s="1077">
        <v>8298541</v>
      </c>
      <c r="LYS236" s="1077">
        <v>8298541</v>
      </c>
      <c r="LYT236" s="1077">
        <v>8298541</v>
      </c>
      <c r="LYU236" s="1077">
        <v>8298541</v>
      </c>
      <c r="LYV236" s="1077">
        <v>8298541</v>
      </c>
      <c r="LYW236" s="1077">
        <v>8298541</v>
      </c>
      <c r="LYX236" s="1077">
        <v>8298541</v>
      </c>
      <c r="LYY236" s="1077">
        <v>8298541</v>
      </c>
      <c r="LYZ236" s="1077">
        <v>8298541</v>
      </c>
      <c r="LZA236" s="1077">
        <v>8298541</v>
      </c>
      <c r="LZB236" s="1077">
        <v>8298541</v>
      </c>
      <c r="LZC236" s="1077">
        <v>8298541</v>
      </c>
      <c r="LZD236" s="1077">
        <v>8298541</v>
      </c>
      <c r="LZE236" s="1077">
        <v>8298541</v>
      </c>
      <c r="LZF236" s="1077">
        <v>8298541</v>
      </c>
      <c r="LZG236" s="1077">
        <v>8298541</v>
      </c>
      <c r="LZH236" s="1077">
        <v>8298541</v>
      </c>
      <c r="LZI236" s="1077">
        <v>8298541</v>
      </c>
      <c r="LZJ236" s="1077">
        <v>8298541</v>
      </c>
      <c r="LZK236" s="1077">
        <v>8298541</v>
      </c>
      <c r="LZL236" s="1077">
        <v>8298541</v>
      </c>
      <c r="LZM236" s="1077">
        <v>8298541</v>
      </c>
      <c r="LZN236" s="1077">
        <v>8298541</v>
      </c>
      <c r="LZO236" s="1077">
        <v>8298541</v>
      </c>
      <c r="LZP236" s="1077">
        <v>8298541</v>
      </c>
      <c r="LZQ236" s="1077">
        <v>8298541</v>
      </c>
      <c r="LZR236" s="1077">
        <v>8298541</v>
      </c>
      <c r="LZS236" s="1077">
        <v>8298541</v>
      </c>
      <c r="LZT236" s="1077">
        <v>8298541</v>
      </c>
      <c r="LZU236" s="1077">
        <v>8298541</v>
      </c>
      <c r="LZV236" s="1077">
        <v>8298541</v>
      </c>
      <c r="LZW236" s="1077">
        <v>8298541</v>
      </c>
      <c r="LZX236" s="1077">
        <v>8298541</v>
      </c>
      <c r="LZY236" s="1077">
        <v>8298541</v>
      </c>
      <c r="LZZ236" s="1077">
        <v>8298541</v>
      </c>
      <c r="MAA236" s="1077">
        <v>8298541</v>
      </c>
      <c r="MAB236" s="1077">
        <v>8298541</v>
      </c>
      <c r="MAC236" s="1077">
        <v>8298541</v>
      </c>
      <c r="MAD236" s="1077">
        <v>8298541</v>
      </c>
      <c r="MAE236" s="1077">
        <v>8298541</v>
      </c>
      <c r="MAF236" s="1077">
        <v>8298541</v>
      </c>
      <c r="MAG236" s="1077">
        <v>8298541</v>
      </c>
      <c r="MAH236" s="1077">
        <v>8298541</v>
      </c>
      <c r="MAI236" s="1077">
        <v>8298541</v>
      </c>
      <c r="MAJ236" s="1077">
        <v>8298541</v>
      </c>
      <c r="MAK236" s="1077">
        <v>8298541</v>
      </c>
      <c r="MAL236" s="1077">
        <v>8298541</v>
      </c>
      <c r="MAM236" s="1077">
        <v>8298541</v>
      </c>
      <c r="MAN236" s="1077">
        <v>8298541</v>
      </c>
      <c r="MAO236" s="1077">
        <v>8298541</v>
      </c>
      <c r="MAP236" s="1077">
        <v>8298541</v>
      </c>
      <c r="MAQ236" s="1077">
        <v>8298541</v>
      </c>
      <c r="MAR236" s="1077">
        <v>8298541</v>
      </c>
      <c r="MAS236" s="1077">
        <v>8298541</v>
      </c>
      <c r="MAT236" s="1077">
        <v>8298541</v>
      </c>
      <c r="MAU236" s="1077">
        <v>8298541</v>
      </c>
      <c r="MAV236" s="1077">
        <v>8298541</v>
      </c>
      <c r="MAW236" s="1077">
        <v>8298541</v>
      </c>
      <c r="MAX236" s="1077">
        <v>8298541</v>
      </c>
      <c r="MAY236" s="1077">
        <v>8298541</v>
      </c>
      <c r="MAZ236" s="1077">
        <v>8298541</v>
      </c>
      <c r="MBA236" s="1077">
        <v>8298541</v>
      </c>
      <c r="MBB236" s="1077">
        <v>8298541</v>
      </c>
      <c r="MBC236" s="1077">
        <v>8298541</v>
      </c>
      <c r="MBD236" s="1077">
        <v>8298541</v>
      </c>
      <c r="MBE236" s="1077">
        <v>8298541</v>
      </c>
      <c r="MBF236" s="1077">
        <v>8298541</v>
      </c>
      <c r="MBG236" s="1077">
        <v>8298541</v>
      </c>
      <c r="MBH236" s="1077">
        <v>8298541</v>
      </c>
      <c r="MBI236" s="1077">
        <v>8298541</v>
      </c>
      <c r="MBJ236" s="1077">
        <v>8298541</v>
      </c>
      <c r="MBK236" s="1077">
        <v>8298541</v>
      </c>
      <c r="MBL236" s="1077">
        <v>8298541</v>
      </c>
      <c r="MBM236" s="1077">
        <v>8298541</v>
      </c>
      <c r="MBN236" s="1077">
        <v>8298541</v>
      </c>
      <c r="MBO236" s="1077">
        <v>8298541</v>
      </c>
      <c r="MBP236" s="1077">
        <v>8298541</v>
      </c>
      <c r="MBQ236" s="1077">
        <v>8298541</v>
      </c>
      <c r="MBR236" s="1077">
        <v>8298541</v>
      </c>
      <c r="MBS236" s="1077">
        <v>8298541</v>
      </c>
      <c r="MBT236" s="1077">
        <v>8298541</v>
      </c>
      <c r="MBU236" s="1077">
        <v>8298541</v>
      </c>
      <c r="MBV236" s="1077">
        <v>8298541</v>
      </c>
      <c r="MBW236" s="1077">
        <v>8298541</v>
      </c>
      <c r="MBX236" s="1077">
        <v>8298541</v>
      </c>
      <c r="MBY236" s="1077">
        <v>8298541</v>
      </c>
      <c r="MBZ236" s="1077">
        <v>8298541</v>
      </c>
      <c r="MCA236" s="1077">
        <v>8298541</v>
      </c>
      <c r="MCB236" s="1077">
        <v>8298541</v>
      </c>
      <c r="MCC236" s="1077">
        <v>8298541</v>
      </c>
      <c r="MCD236" s="1077">
        <v>8298541</v>
      </c>
      <c r="MCE236" s="1077">
        <v>8298541</v>
      </c>
      <c r="MCF236" s="1077">
        <v>8298541</v>
      </c>
      <c r="MCG236" s="1077">
        <v>8298541</v>
      </c>
      <c r="MCH236" s="1077">
        <v>8298541</v>
      </c>
      <c r="MCI236" s="1077">
        <v>8298541</v>
      </c>
      <c r="MCJ236" s="1077">
        <v>8298541</v>
      </c>
      <c r="MCK236" s="1077">
        <v>8298541</v>
      </c>
      <c r="MCL236" s="1077">
        <v>8298541</v>
      </c>
      <c r="MCM236" s="1077">
        <v>8298541</v>
      </c>
      <c r="MCN236" s="1077">
        <v>8298541</v>
      </c>
      <c r="MCO236" s="1077">
        <v>8298541</v>
      </c>
      <c r="MCP236" s="1077">
        <v>8298541</v>
      </c>
      <c r="MCQ236" s="1077">
        <v>8298541</v>
      </c>
      <c r="MCR236" s="1077">
        <v>8298541</v>
      </c>
      <c r="MCS236" s="1077">
        <v>8298541</v>
      </c>
      <c r="MCT236" s="1077">
        <v>8298541</v>
      </c>
      <c r="MCU236" s="1077">
        <v>8298541</v>
      </c>
      <c r="MCV236" s="1077">
        <v>8298541</v>
      </c>
      <c r="MCW236" s="1077">
        <v>8298541</v>
      </c>
      <c r="MCX236" s="1077">
        <v>8298541</v>
      </c>
      <c r="MCY236" s="1077">
        <v>8298541</v>
      </c>
      <c r="MCZ236" s="1077">
        <v>8298541</v>
      </c>
      <c r="MDA236" s="1077">
        <v>8298541</v>
      </c>
      <c r="MDB236" s="1077">
        <v>8298541</v>
      </c>
      <c r="MDC236" s="1077">
        <v>8298541</v>
      </c>
      <c r="MDD236" s="1077">
        <v>8298541</v>
      </c>
      <c r="MDE236" s="1077">
        <v>8298541</v>
      </c>
      <c r="MDF236" s="1077">
        <v>8298541</v>
      </c>
      <c r="MDG236" s="1077">
        <v>8298541</v>
      </c>
      <c r="MDH236" s="1077">
        <v>8298541</v>
      </c>
      <c r="MDI236" s="1077">
        <v>8298541</v>
      </c>
      <c r="MDJ236" s="1077">
        <v>8298541</v>
      </c>
      <c r="MDK236" s="1077">
        <v>8298541</v>
      </c>
      <c r="MDL236" s="1077">
        <v>8298541</v>
      </c>
      <c r="MDM236" s="1077">
        <v>8298541</v>
      </c>
      <c r="MDN236" s="1077">
        <v>8298541</v>
      </c>
      <c r="MDO236" s="1077">
        <v>8298541</v>
      </c>
      <c r="MDP236" s="1077">
        <v>8298541</v>
      </c>
      <c r="MDQ236" s="1077">
        <v>8298541</v>
      </c>
      <c r="MDR236" s="1077">
        <v>8298541</v>
      </c>
      <c r="MDS236" s="1077">
        <v>8298541</v>
      </c>
      <c r="MDT236" s="1077">
        <v>8298541</v>
      </c>
      <c r="MDU236" s="1077">
        <v>8298541</v>
      </c>
      <c r="MDV236" s="1077">
        <v>8298541</v>
      </c>
      <c r="MDW236" s="1077">
        <v>8298541</v>
      </c>
      <c r="MDX236" s="1077">
        <v>8298541</v>
      </c>
      <c r="MDY236" s="1077">
        <v>8298541</v>
      </c>
      <c r="MDZ236" s="1077">
        <v>8298541</v>
      </c>
      <c r="MEA236" s="1077">
        <v>8298541</v>
      </c>
      <c r="MEB236" s="1077">
        <v>8298541</v>
      </c>
      <c r="MEC236" s="1077">
        <v>8298541</v>
      </c>
      <c r="MED236" s="1077">
        <v>8298541</v>
      </c>
      <c r="MEE236" s="1077">
        <v>8298541</v>
      </c>
      <c r="MEF236" s="1077">
        <v>8298541</v>
      </c>
      <c r="MEG236" s="1077">
        <v>8298541</v>
      </c>
      <c r="MEH236" s="1077">
        <v>8298541</v>
      </c>
      <c r="MEI236" s="1077">
        <v>8298541</v>
      </c>
      <c r="MEJ236" s="1077">
        <v>8298541</v>
      </c>
      <c r="MEK236" s="1077">
        <v>8298541</v>
      </c>
      <c r="MEL236" s="1077">
        <v>8298541</v>
      </c>
      <c r="MEM236" s="1077">
        <v>8298541</v>
      </c>
      <c r="MEN236" s="1077">
        <v>8298541</v>
      </c>
      <c r="MEO236" s="1077">
        <v>8298541</v>
      </c>
      <c r="MEP236" s="1077">
        <v>8298541</v>
      </c>
      <c r="MEQ236" s="1077">
        <v>8298541</v>
      </c>
      <c r="MER236" s="1077">
        <v>8298541</v>
      </c>
      <c r="MES236" s="1077">
        <v>8298541</v>
      </c>
      <c r="MET236" s="1077">
        <v>8298541</v>
      </c>
      <c r="MEU236" s="1077">
        <v>8298541</v>
      </c>
      <c r="MEV236" s="1077">
        <v>8298541</v>
      </c>
      <c r="MEW236" s="1077">
        <v>8298541</v>
      </c>
      <c r="MEX236" s="1077">
        <v>8298541</v>
      </c>
      <c r="MEY236" s="1077">
        <v>8298541</v>
      </c>
      <c r="MEZ236" s="1077">
        <v>8298541</v>
      </c>
      <c r="MFA236" s="1077">
        <v>8298541</v>
      </c>
      <c r="MFB236" s="1077">
        <v>8298541</v>
      </c>
      <c r="MFC236" s="1077">
        <v>8298541</v>
      </c>
      <c r="MFD236" s="1077">
        <v>8298541</v>
      </c>
      <c r="MFE236" s="1077">
        <v>8298541</v>
      </c>
      <c r="MFF236" s="1077">
        <v>8298541</v>
      </c>
      <c r="MFG236" s="1077">
        <v>8298541</v>
      </c>
      <c r="MFH236" s="1077">
        <v>8298541</v>
      </c>
      <c r="MFI236" s="1077">
        <v>8298541</v>
      </c>
      <c r="MFJ236" s="1077">
        <v>8298541</v>
      </c>
      <c r="MFK236" s="1077">
        <v>8298541</v>
      </c>
      <c r="MFL236" s="1077">
        <v>8298541</v>
      </c>
      <c r="MFM236" s="1077">
        <v>8298541</v>
      </c>
      <c r="MFN236" s="1077">
        <v>8298541</v>
      </c>
      <c r="MFO236" s="1077">
        <v>8298541</v>
      </c>
      <c r="MFP236" s="1077">
        <v>8298541</v>
      </c>
      <c r="MFQ236" s="1077">
        <v>8298541</v>
      </c>
      <c r="MFR236" s="1077">
        <v>8298541</v>
      </c>
      <c r="MFS236" s="1077">
        <v>8298541</v>
      </c>
      <c r="MFT236" s="1077">
        <v>8298541</v>
      </c>
      <c r="MFU236" s="1077">
        <v>8298541</v>
      </c>
      <c r="MFV236" s="1077">
        <v>8298541</v>
      </c>
      <c r="MFW236" s="1077">
        <v>8298541</v>
      </c>
      <c r="MFX236" s="1077">
        <v>8298541</v>
      </c>
      <c r="MFY236" s="1077">
        <v>8298541</v>
      </c>
      <c r="MFZ236" s="1077">
        <v>8298541</v>
      </c>
      <c r="MGA236" s="1077">
        <v>8298541</v>
      </c>
      <c r="MGB236" s="1077">
        <v>8298541</v>
      </c>
      <c r="MGC236" s="1077">
        <v>8298541</v>
      </c>
      <c r="MGD236" s="1077">
        <v>8298541</v>
      </c>
      <c r="MGE236" s="1077">
        <v>8298541</v>
      </c>
      <c r="MGF236" s="1077">
        <v>8298541</v>
      </c>
      <c r="MGG236" s="1077">
        <v>8298541</v>
      </c>
      <c r="MGH236" s="1077">
        <v>8298541</v>
      </c>
      <c r="MGI236" s="1077">
        <v>8298541</v>
      </c>
      <c r="MGJ236" s="1077">
        <v>8298541</v>
      </c>
      <c r="MGK236" s="1077">
        <v>8298541</v>
      </c>
      <c r="MGL236" s="1077">
        <v>8298541</v>
      </c>
      <c r="MGM236" s="1077">
        <v>8298541</v>
      </c>
      <c r="MGN236" s="1077">
        <v>8298541</v>
      </c>
      <c r="MGO236" s="1077">
        <v>8298541</v>
      </c>
      <c r="MGP236" s="1077">
        <v>8298541</v>
      </c>
      <c r="MGQ236" s="1077">
        <v>8298541</v>
      </c>
      <c r="MGR236" s="1077">
        <v>8298541</v>
      </c>
      <c r="MGS236" s="1077">
        <v>8298541</v>
      </c>
      <c r="MGT236" s="1077">
        <v>8298541</v>
      </c>
      <c r="MGU236" s="1077">
        <v>8298541</v>
      </c>
      <c r="MGV236" s="1077">
        <v>8298541</v>
      </c>
      <c r="MGW236" s="1077">
        <v>8298541</v>
      </c>
      <c r="MGX236" s="1077">
        <v>8298541</v>
      </c>
      <c r="MGY236" s="1077">
        <v>8298541</v>
      </c>
      <c r="MGZ236" s="1077">
        <v>8298541</v>
      </c>
      <c r="MHA236" s="1077">
        <v>8298541</v>
      </c>
      <c r="MHB236" s="1077">
        <v>8298541</v>
      </c>
      <c r="MHC236" s="1077">
        <v>8298541</v>
      </c>
      <c r="MHD236" s="1077">
        <v>8298541</v>
      </c>
      <c r="MHE236" s="1077">
        <v>8298541</v>
      </c>
      <c r="MHF236" s="1077">
        <v>8298541</v>
      </c>
      <c r="MHG236" s="1077">
        <v>8298541</v>
      </c>
      <c r="MHH236" s="1077">
        <v>8298541</v>
      </c>
      <c r="MHI236" s="1077">
        <v>8298541</v>
      </c>
      <c r="MHJ236" s="1077">
        <v>8298541</v>
      </c>
      <c r="MHK236" s="1077">
        <v>8298541</v>
      </c>
      <c r="MHL236" s="1077">
        <v>8298541</v>
      </c>
      <c r="MHM236" s="1077">
        <v>8298541</v>
      </c>
      <c r="MHN236" s="1077">
        <v>8298541</v>
      </c>
      <c r="MHO236" s="1077">
        <v>8298541</v>
      </c>
      <c r="MHP236" s="1077">
        <v>8298541</v>
      </c>
      <c r="MHQ236" s="1077">
        <v>8298541</v>
      </c>
      <c r="MHR236" s="1077">
        <v>8298541</v>
      </c>
      <c r="MHS236" s="1077">
        <v>8298541</v>
      </c>
      <c r="MHT236" s="1077">
        <v>8298541</v>
      </c>
      <c r="MHU236" s="1077">
        <v>8298541</v>
      </c>
      <c r="MHV236" s="1077">
        <v>8298541</v>
      </c>
      <c r="MHW236" s="1077">
        <v>8298541</v>
      </c>
      <c r="MHX236" s="1077">
        <v>8298541</v>
      </c>
      <c r="MHY236" s="1077">
        <v>8298541</v>
      </c>
      <c r="MHZ236" s="1077">
        <v>8298541</v>
      </c>
      <c r="MIA236" s="1077">
        <v>8298541</v>
      </c>
      <c r="MIB236" s="1077">
        <v>8298541</v>
      </c>
      <c r="MIC236" s="1077">
        <v>8298541</v>
      </c>
      <c r="MID236" s="1077">
        <v>8298541</v>
      </c>
      <c r="MIE236" s="1077">
        <v>8298541</v>
      </c>
      <c r="MIF236" s="1077">
        <v>8298541</v>
      </c>
      <c r="MIG236" s="1077">
        <v>8298541</v>
      </c>
      <c r="MIH236" s="1077">
        <v>8298541</v>
      </c>
      <c r="MII236" s="1077">
        <v>8298541</v>
      </c>
      <c r="MIJ236" s="1077">
        <v>8298541</v>
      </c>
      <c r="MIK236" s="1077">
        <v>8298541</v>
      </c>
      <c r="MIL236" s="1077">
        <v>8298541</v>
      </c>
      <c r="MIM236" s="1077">
        <v>8298541</v>
      </c>
      <c r="MIN236" s="1077">
        <v>8298541</v>
      </c>
      <c r="MIO236" s="1077">
        <v>8298541</v>
      </c>
      <c r="MIP236" s="1077">
        <v>8298541</v>
      </c>
      <c r="MIQ236" s="1077">
        <v>8298541</v>
      </c>
      <c r="MIR236" s="1077">
        <v>8298541</v>
      </c>
      <c r="MIS236" s="1077">
        <v>8298541</v>
      </c>
      <c r="MIT236" s="1077">
        <v>8298541</v>
      </c>
      <c r="MIU236" s="1077">
        <v>8298541</v>
      </c>
      <c r="MIV236" s="1077">
        <v>8298541</v>
      </c>
      <c r="MIW236" s="1077">
        <v>8298541</v>
      </c>
      <c r="MIX236" s="1077">
        <v>8298541</v>
      </c>
      <c r="MIY236" s="1077">
        <v>8298541</v>
      </c>
      <c r="MIZ236" s="1077">
        <v>8298541</v>
      </c>
      <c r="MJA236" s="1077">
        <v>8298541</v>
      </c>
      <c r="MJB236" s="1077">
        <v>8298541</v>
      </c>
      <c r="MJC236" s="1077">
        <v>8298541</v>
      </c>
      <c r="MJD236" s="1077">
        <v>8298541</v>
      </c>
      <c r="MJE236" s="1077">
        <v>8298541</v>
      </c>
      <c r="MJF236" s="1077">
        <v>8298541</v>
      </c>
      <c r="MJG236" s="1077">
        <v>8298541</v>
      </c>
      <c r="MJH236" s="1077">
        <v>8298541</v>
      </c>
      <c r="MJI236" s="1077">
        <v>8298541</v>
      </c>
      <c r="MJJ236" s="1077">
        <v>8298541</v>
      </c>
      <c r="MJK236" s="1077">
        <v>8298541</v>
      </c>
      <c r="MJL236" s="1077">
        <v>8298541</v>
      </c>
      <c r="MJM236" s="1077">
        <v>8298541</v>
      </c>
      <c r="MJN236" s="1077">
        <v>8298541</v>
      </c>
      <c r="MJO236" s="1077">
        <v>8298541</v>
      </c>
      <c r="MJP236" s="1077">
        <v>8298541</v>
      </c>
      <c r="MJQ236" s="1077">
        <v>8298541</v>
      </c>
      <c r="MJR236" s="1077">
        <v>8298541</v>
      </c>
      <c r="MJS236" s="1077">
        <v>8298541</v>
      </c>
      <c r="MJT236" s="1077">
        <v>8298541</v>
      </c>
      <c r="MJU236" s="1077">
        <v>8298541</v>
      </c>
      <c r="MJV236" s="1077">
        <v>8298541</v>
      </c>
      <c r="MJW236" s="1077">
        <v>8298541</v>
      </c>
      <c r="MJX236" s="1077">
        <v>8298541</v>
      </c>
      <c r="MJY236" s="1077">
        <v>8298541</v>
      </c>
      <c r="MJZ236" s="1077">
        <v>8298541</v>
      </c>
      <c r="MKA236" s="1077">
        <v>8298541</v>
      </c>
      <c r="MKB236" s="1077">
        <v>8298541</v>
      </c>
      <c r="MKC236" s="1077">
        <v>8298541</v>
      </c>
      <c r="MKD236" s="1077">
        <v>8298541</v>
      </c>
      <c r="MKE236" s="1077">
        <v>8298541</v>
      </c>
      <c r="MKF236" s="1077">
        <v>8298541</v>
      </c>
      <c r="MKG236" s="1077">
        <v>8298541</v>
      </c>
      <c r="MKH236" s="1077">
        <v>8298541</v>
      </c>
      <c r="MKI236" s="1077">
        <v>8298541</v>
      </c>
      <c r="MKJ236" s="1077">
        <v>8298541</v>
      </c>
      <c r="MKK236" s="1077">
        <v>8298541</v>
      </c>
      <c r="MKL236" s="1077">
        <v>8298541</v>
      </c>
      <c r="MKM236" s="1077">
        <v>8298541</v>
      </c>
      <c r="MKN236" s="1077">
        <v>8298541</v>
      </c>
      <c r="MKO236" s="1077">
        <v>8298541</v>
      </c>
      <c r="MKP236" s="1077">
        <v>8298541</v>
      </c>
      <c r="MKQ236" s="1077">
        <v>8298541</v>
      </c>
      <c r="MKR236" s="1077">
        <v>8298541</v>
      </c>
      <c r="MKS236" s="1077">
        <v>8298541</v>
      </c>
      <c r="MKT236" s="1077">
        <v>8298541</v>
      </c>
      <c r="MKU236" s="1077">
        <v>8298541</v>
      </c>
      <c r="MKV236" s="1077">
        <v>8298541</v>
      </c>
      <c r="MKW236" s="1077">
        <v>8298541</v>
      </c>
      <c r="MKX236" s="1077">
        <v>8298541</v>
      </c>
      <c r="MKY236" s="1077">
        <v>8298541</v>
      </c>
      <c r="MKZ236" s="1077">
        <v>8298541</v>
      </c>
      <c r="MLA236" s="1077">
        <v>8298541</v>
      </c>
      <c r="MLB236" s="1077">
        <v>8298541</v>
      </c>
      <c r="MLC236" s="1077">
        <v>8298541</v>
      </c>
      <c r="MLD236" s="1077">
        <v>8298541</v>
      </c>
      <c r="MLE236" s="1077">
        <v>8298541</v>
      </c>
      <c r="MLF236" s="1077">
        <v>8298541</v>
      </c>
      <c r="MLG236" s="1077">
        <v>8298541</v>
      </c>
      <c r="MLH236" s="1077">
        <v>8298541</v>
      </c>
      <c r="MLI236" s="1077">
        <v>8298541</v>
      </c>
      <c r="MLJ236" s="1077">
        <v>8298541</v>
      </c>
      <c r="MLK236" s="1077">
        <v>8298541</v>
      </c>
      <c r="MLL236" s="1077">
        <v>8298541</v>
      </c>
      <c r="MLM236" s="1077">
        <v>8298541</v>
      </c>
      <c r="MLN236" s="1077">
        <v>8298541</v>
      </c>
      <c r="MLO236" s="1077">
        <v>8298541</v>
      </c>
      <c r="MLP236" s="1077">
        <v>8298541</v>
      </c>
      <c r="MLQ236" s="1077">
        <v>8298541</v>
      </c>
      <c r="MLR236" s="1077">
        <v>8298541</v>
      </c>
      <c r="MLS236" s="1077">
        <v>8298541</v>
      </c>
      <c r="MLT236" s="1077">
        <v>8298541</v>
      </c>
      <c r="MLU236" s="1077">
        <v>8298541</v>
      </c>
      <c r="MLV236" s="1077">
        <v>8298541</v>
      </c>
      <c r="MLW236" s="1077">
        <v>8298541</v>
      </c>
      <c r="MLX236" s="1077">
        <v>8298541</v>
      </c>
      <c r="MLY236" s="1077">
        <v>8298541</v>
      </c>
      <c r="MLZ236" s="1077">
        <v>8298541</v>
      </c>
      <c r="MMA236" s="1077">
        <v>8298541</v>
      </c>
      <c r="MMB236" s="1077">
        <v>8298541</v>
      </c>
      <c r="MMC236" s="1077">
        <v>8298541</v>
      </c>
      <c r="MMD236" s="1077">
        <v>8298541</v>
      </c>
      <c r="MME236" s="1077">
        <v>8298541</v>
      </c>
      <c r="MMF236" s="1077">
        <v>8298541</v>
      </c>
      <c r="MMG236" s="1077">
        <v>8298541</v>
      </c>
      <c r="MMH236" s="1077">
        <v>8298541</v>
      </c>
      <c r="MMI236" s="1077">
        <v>8298541</v>
      </c>
      <c r="MMJ236" s="1077">
        <v>8298541</v>
      </c>
      <c r="MMK236" s="1077">
        <v>8298541</v>
      </c>
      <c r="MML236" s="1077">
        <v>8298541</v>
      </c>
      <c r="MMM236" s="1077">
        <v>8298541</v>
      </c>
      <c r="MMN236" s="1077">
        <v>8298541</v>
      </c>
      <c r="MMO236" s="1077">
        <v>8298541</v>
      </c>
      <c r="MMP236" s="1077">
        <v>8298541</v>
      </c>
      <c r="MMQ236" s="1077">
        <v>8298541</v>
      </c>
      <c r="MMR236" s="1077">
        <v>8298541</v>
      </c>
      <c r="MMS236" s="1077">
        <v>8298541</v>
      </c>
      <c r="MMT236" s="1077">
        <v>8298541</v>
      </c>
      <c r="MMU236" s="1077">
        <v>8298541</v>
      </c>
      <c r="MMV236" s="1077">
        <v>8298541</v>
      </c>
      <c r="MMW236" s="1077">
        <v>8298541</v>
      </c>
      <c r="MMX236" s="1077">
        <v>8298541</v>
      </c>
      <c r="MMY236" s="1077">
        <v>8298541</v>
      </c>
      <c r="MMZ236" s="1077">
        <v>8298541</v>
      </c>
      <c r="MNA236" s="1077">
        <v>8298541</v>
      </c>
      <c r="MNB236" s="1077">
        <v>8298541</v>
      </c>
      <c r="MNC236" s="1077">
        <v>8298541</v>
      </c>
      <c r="MND236" s="1077">
        <v>8298541</v>
      </c>
      <c r="MNE236" s="1077">
        <v>8298541</v>
      </c>
      <c r="MNF236" s="1077">
        <v>8298541</v>
      </c>
      <c r="MNG236" s="1077">
        <v>8298541</v>
      </c>
      <c r="MNH236" s="1077">
        <v>8298541</v>
      </c>
      <c r="MNI236" s="1077">
        <v>8298541</v>
      </c>
      <c r="MNJ236" s="1077">
        <v>8298541</v>
      </c>
      <c r="MNK236" s="1077">
        <v>8298541</v>
      </c>
      <c r="MNL236" s="1077">
        <v>8298541</v>
      </c>
      <c r="MNM236" s="1077">
        <v>8298541</v>
      </c>
      <c r="MNN236" s="1077">
        <v>8298541</v>
      </c>
      <c r="MNO236" s="1077">
        <v>8298541</v>
      </c>
      <c r="MNP236" s="1077">
        <v>8298541</v>
      </c>
      <c r="MNQ236" s="1077">
        <v>8298541</v>
      </c>
      <c r="MNR236" s="1077">
        <v>8298541</v>
      </c>
      <c r="MNS236" s="1077">
        <v>8298541</v>
      </c>
      <c r="MNT236" s="1077">
        <v>8298541</v>
      </c>
      <c r="MNU236" s="1077">
        <v>8298541</v>
      </c>
      <c r="MNV236" s="1077">
        <v>8298541</v>
      </c>
      <c r="MNW236" s="1077">
        <v>8298541</v>
      </c>
      <c r="MNX236" s="1077">
        <v>8298541</v>
      </c>
      <c r="MNY236" s="1077">
        <v>8298541</v>
      </c>
      <c r="MNZ236" s="1077">
        <v>8298541</v>
      </c>
      <c r="MOA236" s="1077">
        <v>8298541</v>
      </c>
      <c r="MOB236" s="1077">
        <v>8298541</v>
      </c>
      <c r="MOC236" s="1077">
        <v>8298541</v>
      </c>
      <c r="MOD236" s="1077">
        <v>8298541</v>
      </c>
      <c r="MOE236" s="1077">
        <v>8298541</v>
      </c>
      <c r="MOF236" s="1077">
        <v>8298541</v>
      </c>
      <c r="MOG236" s="1077">
        <v>8298541</v>
      </c>
      <c r="MOH236" s="1077">
        <v>8298541</v>
      </c>
      <c r="MOI236" s="1077">
        <v>8298541</v>
      </c>
      <c r="MOJ236" s="1077">
        <v>8298541</v>
      </c>
      <c r="MOK236" s="1077">
        <v>8298541</v>
      </c>
      <c r="MOL236" s="1077">
        <v>8298541</v>
      </c>
      <c r="MOM236" s="1077">
        <v>8298541</v>
      </c>
      <c r="MON236" s="1077">
        <v>8298541</v>
      </c>
      <c r="MOO236" s="1077">
        <v>8298541</v>
      </c>
      <c r="MOP236" s="1077">
        <v>8298541</v>
      </c>
      <c r="MOQ236" s="1077">
        <v>8298541</v>
      </c>
      <c r="MOR236" s="1077">
        <v>8298541</v>
      </c>
      <c r="MOS236" s="1077">
        <v>8298541</v>
      </c>
      <c r="MOT236" s="1077">
        <v>8298541</v>
      </c>
      <c r="MOU236" s="1077">
        <v>8298541</v>
      </c>
      <c r="MOV236" s="1077">
        <v>8298541</v>
      </c>
      <c r="MOW236" s="1077">
        <v>8298541</v>
      </c>
      <c r="MOX236" s="1077">
        <v>8298541</v>
      </c>
      <c r="MOY236" s="1077">
        <v>8298541</v>
      </c>
      <c r="MOZ236" s="1077">
        <v>8298541</v>
      </c>
      <c r="MPA236" s="1077">
        <v>8298541</v>
      </c>
      <c r="MPB236" s="1077">
        <v>8298541</v>
      </c>
      <c r="MPC236" s="1077">
        <v>8298541</v>
      </c>
      <c r="MPD236" s="1077">
        <v>8298541</v>
      </c>
      <c r="MPE236" s="1077">
        <v>8298541</v>
      </c>
      <c r="MPF236" s="1077">
        <v>8298541</v>
      </c>
      <c r="MPG236" s="1077">
        <v>8298541</v>
      </c>
      <c r="MPH236" s="1077">
        <v>8298541</v>
      </c>
      <c r="MPI236" s="1077">
        <v>8298541</v>
      </c>
      <c r="MPJ236" s="1077">
        <v>8298541</v>
      </c>
      <c r="MPK236" s="1077">
        <v>8298541</v>
      </c>
      <c r="MPL236" s="1077">
        <v>8298541</v>
      </c>
      <c r="MPM236" s="1077">
        <v>8298541</v>
      </c>
      <c r="MPN236" s="1077">
        <v>8298541</v>
      </c>
      <c r="MPO236" s="1077">
        <v>8298541</v>
      </c>
      <c r="MPP236" s="1077">
        <v>8298541</v>
      </c>
      <c r="MPQ236" s="1077">
        <v>8298541</v>
      </c>
      <c r="MPR236" s="1077">
        <v>8298541</v>
      </c>
      <c r="MPS236" s="1077">
        <v>8298541</v>
      </c>
      <c r="MPT236" s="1077">
        <v>8298541</v>
      </c>
      <c r="MPU236" s="1077">
        <v>8298541</v>
      </c>
      <c r="MPV236" s="1077">
        <v>8298541</v>
      </c>
      <c r="MPW236" s="1077">
        <v>8298541</v>
      </c>
      <c r="MPX236" s="1077">
        <v>8298541</v>
      </c>
      <c r="MPY236" s="1077">
        <v>8298541</v>
      </c>
      <c r="MPZ236" s="1077">
        <v>8298541</v>
      </c>
      <c r="MQA236" s="1077">
        <v>8298541</v>
      </c>
      <c r="MQB236" s="1077">
        <v>8298541</v>
      </c>
      <c r="MQC236" s="1077">
        <v>8298541</v>
      </c>
      <c r="MQD236" s="1077">
        <v>8298541</v>
      </c>
      <c r="MQE236" s="1077">
        <v>8298541</v>
      </c>
      <c r="MQF236" s="1077">
        <v>8298541</v>
      </c>
      <c r="MQG236" s="1077">
        <v>8298541</v>
      </c>
      <c r="MQH236" s="1077">
        <v>8298541</v>
      </c>
      <c r="MQI236" s="1077">
        <v>8298541</v>
      </c>
      <c r="MQJ236" s="1077">
        <v>8298541</v>
      </c>
      <c r="MQK236" s="1077">
        <v>8298541</v>
      </c>
      <c r="MQL236" s="1077">
        <v>8298541</v>
      </c>
      <c r="MQM236" s="1077">
        <v>8298541</v>
      </c>
      <c r="MQN236" s="1077">
        <v>8298541</v>
      </c>
      <c r="MQO236" s="1077">
        <v>8298541</v>
      </c>
      <c r="MQP236" s="1077">
        <v>8298541</v>
      </c>
      <c r="MQQ236" s="1077">
        <v>8298541</v>
      </c>
      <c r="MQR236" s="1077">
        <v>8298541</v>
      </c>
      <c r="MQS236" s="1077">
        <v>8298541</v>
      </c>
      <c r="MQT236" s="1077">
        <v>8298541</v>
      </c>
      <c r="MQU236" s="1077">
        <v>8298541</v>
      </c>
      <c r="MQV236" s="1077">
        <v>8298541</v>
      </c>
      <c r="MQW236" s="1077">
        <v>8298541</v>
      </c>
      <c r="MQX236" s="1077">
        <v>8298541</v>
      </c>
      <c r="MQY236" s="1077">
        <v>8298541</v>
      </c>
      <c r="MQZ236" s="1077">
        <v>8298541</v>
      </c>
      <c r="MRA236" s="1077">
        <v>8298541</v>
      </c>
      <c r="MRB236" s="1077">
        <v>8298541</v>
      </c>
      <c r="MRC236" s="1077">
        <v>8298541</v>
      </c>
      <c r="MRD236" s="1077">
        <v>8298541</v>
      </c>
      <c r="MRE236" s="1077">
        <v>8298541</v>
      </c>
      <c r="MRF236" s="1077">
        <v>8298541</v>
      </c>
      <c r="MRG236" s="1077">
        <v>8298541</v>
      </c>
      <c r="MRH236" s="1077">
        <v>8298541</v>
      </c>
      <c r="MRI236" s="1077">
        <v>8298541</v>
      </c>
      <c r="MRJ236" s="1077">
        <v>8298541</v>
      </c>
      <c r="MRK236" s="1077">
        <v>8298541</v>
      </c>
      <c r="MRL236" s="1077">
        <v>8298541</v>
      </c>
      <c r="MRM236" s="1077">
        <v>8298541</v>
      </c>
      <c r="MRN236" s="1077">
        <v>8298541</v>
      </c>
      <c r="MRO236" s="1077">
        <v>8298541</v>
      </c>
      <c r="MRP236" s="1077">
        <v>8298541</v>
      </c>
      <c r="MRQ236" s="1077">
        <v>8298541</v>
      </c>
      <c r="MRR236" s="1077">
        <v>8298541</v>
      </c>
      <c r="MRS236" s="1077">
        <v>8298541</v>
      </c>
      <c r="MRT236" s="1077">
        <v>8298541</v>
      </c>
      <c r="MRU236" s="1077">
        <v>8298541</v>
      </c>
      <c r="MRV236" s="1077">
        <v>8298541</v>
      </c>
      <c r="MRW236" s="1077">
        <v>8298541</v>
      </c>
      <c r="MRX236" s="1077">
        <v>8298541</v>
      </c>
      <c r="MRY236" s="1077">
        <v>8298541</v>
      </c>
      <c r="MRZ236" s="1077">
        <v>8298541</v>
      </c>
      <c r="MSA236" s="1077">
        <v>8298541</v>
      </c>
      <c r="MSB236" s="1077">
        <v>8298541</v>
      </c>
      <c r="MSC236" s="1077">
        <v>8298541</v>
      </c>
      <c r="MSD236" s="1077">
        <v>8298541</v>
      </c>
      <c r="MSE236" s="1077">
        <v>8298541</v>
      </c>
      <c r="MSF236" s="1077">
        <v>8298541</v>
      </c>
      <c r="MSG236" s="1077">
        <v>8298541</v>
      </c>
      <c r="MSH236" s="1077">
        <v>8298541</v>
      </c>
      <c r="MSI236" s="1077">
        <v>8298541</v>
      </c>
      <c r="MSJ236" s="1077">
        <v>8298541</v>
      </c>
      <c r="MSK236" s="1077">
        <v>8298541</v>
      </c>
      <c r="MSL236" s="1077">
        <v>8298541</v>
      </c>
      <c r="MSM236" s="1077">
        <v>8298541</v>
      </c>
      <c r="MSN236" s="1077">
        <v>8298541</v>
      </c>
      <c r="MSO236" s="1077">
        <v>8298541</v>
      </c>
      <c r="MSP236" s="1077">
        <v>8298541</v>
      </c>
      <c r="MSQ236" s="1077">
        <v>8298541</v>
      </c>
      <c r="MSR236" s="1077">
        <v>8298541</v>
      </c>
      <c r="MSS236" s="1077">
        <v>8298541</v>
      </c>
      <c r="MST236" s="1077">
        <v>8298541</v>
      </c>
      <c r="MSU236" s="1077">
        <v>8298541</v>
      </c>
      <c r="MSV236" s="1077">
        <v>8298541</v>
      </c>
      <c r="MSW236" s="1077">
        <v>8298541</v>
      </c>
      <c r="MSX236" s="1077">
        <v>8298541</v>
      </c>
      <c r="MSY236" s="1077">
        <v>8298541</v>
      </c>
      <c r="MSZ236" s="1077">
        <v>8298541</v>
      </c>
      <c r="MTA236" s="1077">
        <v>8298541</v>
      </c>
      <c r="MTB236" s="1077">
        <v>8298541</v>
      </c>
      <c r="MTC236" s="1077">
        <v>8298541</v>
      </c>
      <c r="MTD236" s="1077">
        <v>8298541</v>
      </c>
      <c r="MTE236" s="1077">
        <v>8298541</v>
      </c>
      <c r="MTF236" s="1077">
        <v>8298541</v>
      </c>
      <c r="MTG236" s="1077">
        <v>8298541</v>
      </c>
      <c r="MTH236" s="1077">
        <v>8298541</v>
      </c>
      <c r="MTI236" s="1077">
        <v>8298541</v>
      </c>
      <c r="MTJ236" s="1077">
        <v>8298541</v>
      </c>
      <c r="MTK236" s="1077">
        <v>8298541</v>
      </c>
      <c r="MTL236" s="1077">
        <v>8298541</v>
      </c>
      <c r="MTM236" s="1077">
        <v>8298541</v>
      </c>
      <c r="MTN236" s="1077">
        <v>8298541</v>
      </c>
      <c r="MTO236" s="1077">
        <v>8298541</v>
      </c>
      <c r="MTP236" s="1077">
        <v>8298541</v>
      </c>
      <c r="MTQ236" s="1077">
        <v>8298541</v>
      </c>
      <c r="MTR236" s="1077">
        <v>8298541</v>
      </c>
      <c r="MTS236" s="1077">
        <v>8298541</v>
      </c>
      <c r="MTT236" s="1077">
        <v>8298541</v>
      </c>
      <c r="MTU236" s="1077">
        <v>8298541</v>
      </c>
      <c r="MTV236" s="1077">
        <v>8298541</v>
      </c>
      <c r="MTW236" s="1077">
        <v>8298541</v>
      </c>
      <c r="MTX236" s="1077">
        <v>8298541</v>
      </c>
      <c r="MTY236" s="1077">
        <v>8298541</v>
      </c>
      <c r="MTZ236" s="1077">
        <v>8298541</v>
      </c>
      <c r="MUA236" s="1077">
        <v>8298541</v>
      </c>
      <c r="MUB236" s="1077">
        <v>8298541</v>
      </c>
      <c r="MUC236" s="1077">
        <v>8298541</v>
      </c>
      <c r="MUD236" s="1077">
        <v>8298541</v>
      </c>
      <c r="MUE236" s="1077">
        <v>8298541</v>
      </c>
      <c r="MUF236" s="1077">
        <v>8298541</v>
      </c>
      <c r="MUG236" s="1077">
        <v>8298541</v>
      </c>
      <c r="MUH236" s="1077">
        <v>8298541</v>
      </c>
      <c r="MUI236" s="1077">
        <v>8298541</v>
      </c>
      <c r="MUJ236" s="1077">
        <v>8298541</v>
      </c>
      <c r="MUK236" s="1077">
        <v>8298541</v>
      </c>
      <c r="MUL236" s="1077">
        <v>8298541</v>
      </c>
      <c r="MUM236" s="1077">
        <v>8298541</v>
      </c>
      <c r="MUN236" s="1077">
        <v>8298541</v>
      </c>
      <c r="MUO236" s="1077">
        <v>8298541</v>
      </c>
      <c r="MUP236" s="1077">
        <v>8298541</v>
      </c>
      <c r="MUQ236" s="1077">
        <v>8298541</v>
      </c>
      <c r="MUR236" s="1077">
        <v>8298541</v>
      </c>
      <c r="MUS236" s="1077">
        <v>8298541</v>
      </c>
      <c r="MUT236" s="1077">
        <v>8298541</v>
      </c>
      <c r="MUU236" s="1077">
        <v>8298541</v>
      </c>
      <c r="MUV236" s="1077">
        <v>8298541</v>
      </c>
      <c r="MUW236" s="1077">
        <v>8298541</v>
      </c>
      <c r="MUX236" s="1077">
        <v>8298541</v>
      </c>
      <c r="MUY236" s="1077">
        <v>8298541</v>
      </c>
      <c r="MUZ236" s="1077">
        <v>8298541</v>
      </c>
      <c r="MVA236" s="1077">
        <v>8298541</v>
      </c>
      <c r="MVB236" s="1077">
        <v>8298541</v>
      </c>
      <c r="MVC236" s="1077">
        <v>8298541</v>
      </c>
      <c r="MVD236" s="1077">
        <v>8298541</v>
      </c>
      <c r="MVE236" s="1077">
        <v>8298541</v>
      </c>
      <c r="MVF236" s="1077">
        <v>8298541</v>
      </c>
      <c r="MVG236" s="1077">
        <v>8298541</v>
      </c>
      <c r="MVH236" s="1077">
        <v>8298541</v>
      </c>
      <c r="MVI236" s="1077">
        <v>8298541</v>
      </c>
      <c r="MVJ236" s="1077">
        <v>8298541</v>
      </c>
      <c r="MVK236" s="1077">
        <v>8298541</v>
      </c>
      <c r="MVL236" s="1077">
        <v>8298541</v>
      </c>
      <c r="MVM236" s="1077">
        <v>8298541</v>
      </c>
      <c r="MVN236" s="1077">
        <v>8298541</v>
      </c>
      <c r="MVO236" s="1077">
        <v>8298541</v>
      </c>
      <c r="MVP236" s="1077">
        <v>8298541</v>
      </c>
      <c r="MVQ236" s="1077">
        <v>8298541</v>
      </c>
      <c r="MVR236" s="1077">
        <v>8298541</v>
      </c>
      <c r="MVS236" s="1077">
        <v>8298541</v>
      </c>
      <c r="MVT236" s="1077">
        <v>8298541</v>
      </c>
      <c r="MVU236" s="1077">
        <v>8298541</v>
      </c>
      <c r="MVV236" s="1077">
        <v>8298541</v>
      </c>
      <c r="MVW236" s="1077">
        <v>8298541</v>
      </c>
      <c r="MVX236" s="1077">
        <v>8298541</v>
      </c>
      <c r="MVY236" s="1077">
        <v>8298541</v>
      </c>
      <c r="MVZ236" s="1077">
        <v>8298541</v>
      </c>
      <c r="MWA236" s="1077">
        <v>8298541</v>
      </c>
      <c r="MWB236" s="1077">
        <v>8298541</v>
      </c>
      <c r="MWC236" s="1077">
        <v>8298541</v>
      </c>
      <c r="MWD236" s="1077">
        <v>8298541</v>
      </c>
      <c r="MWE236" s="1077">
        <v>8298541</v>
      </c>
      <c r="MWF236" s="1077">
        <v>8298541</v>
      </c>
      <c r="MWG236" s="1077">
        <v>8298541</v>
      </c>
      <c r="MWH236" s="1077">
        <v>8298541</v>
      </c>
      <c r="MWI236" s="1077">
        <v>8298541</v>
      </c>
      <c r="MWJ236" s="1077">
        <v>8298541</v>
      </c>
      <c r="MWK236" s="1077">
        <v>8298541</v>
      </c>
      <c r="MWL236" s="1077">
        <v>8298541</v>
      </c>
      <c r="MWM236" s="1077">
        <v>8298541</v>
      </c>
      <c r="MWN236" s="1077">
        <v>8298541</v>
      </c>
      <c r="MWO236" s="1077">
        <v>8298541</v>
      </c>
      <c r="MWP236" s="1077">
        <v>8298541</v>
      </c>
      <c r="MWQ236" s="1077">
        <v>8298541</v>
      </c>
      <c r="MWR236" s="1077">
        <v>8298541</v>
      </c>
      <c r="MWS236" s="1077">
        <v>8298541</v>
      </c>
      <c r="MWT236" s="1077">
        <v>8298541</v>
      </c>
      <c r="MWU236" s="1077">
        <v>8298541</v>
      </c>
      <c r="MWV236" s="1077">
        <v>8298541</v>
      </c>
      <c r="MWW236" s="1077">
        <v>8298541</v>
      </c>
      <c r="MWX236" s="1077">
        <v>8298541</v>
      </c>
      <c r="MWY236" s="1077">
        <v>8298541</v>
      </c>
      <c r="MWZ236" s="1077">
        <v>8298541</v>
      </c>
      <c r="MXA236" s="1077">
        <v>8298541</v>
      </c>
      <c r="MXB236" s="1077">
        <v>8298541</v>
      </c>
      <c r="MXC236" s="1077">
        <v>8298541</v>
      </c>
      <c r="MXD236" s="1077">
        <v>8298541</v>
      </c>
      <c r="MXE236" s="1077">
        <v>8298541</v>
      </c>
      <c r="MXF236" s="1077">
        <v>8298541</v>
      </c>
      <c r="MXG236" s="1077">
        <v>8298541</v>
      </c>
      <c r="MXH236" s="1077">
        <v>8298541</v>
      </c>
      <c r="MXI236" s="1077">
        <v>8298541</v>
      </c>
      <c r="MXJ236" s="1077">
        <v>8298541</v>
      </c>
      <c r="MXK236" s="1077">
        <v>8298541</v>
      </c>
      <c r="MXL236" s="1077">
        <v>8298541</v>
      </c>
      <c r="MXM236" s="1077">
        <v>8298541</v>
      </c>
      <c r="MXN236" s="1077">
        <v>8298541</v>
      </c>
      <c r="MXO236" s="1077">
        <v>8298541</v>
      </c>
      <c r="MXP236" s="1077">
        <v>8298541</v>
      </c>
      <c r="MXQ236" s="1077">
        <v>8298541</v>
      </c>
      <c r="MXR236" s="1077">
        <v>8298541</v>
      </c>
      <c r="MXS236" s="1077">
        <v>8298541</v>
      </c>
      <c r="MXT236" s="1077">
        <v>8298541</v>
      </c>
      <c r="MXU236" s="1077">
        <v>8298541</v>
      </c>
      <c r="MXV236" s="1077">
        <v>8298541</v>
      </c>
      <c r="MXW236" s="1077">
        <v>8298541</v>
      </c>
      <c r="MXX236" s="1077">
        <v>8298541</v>
      </c>
      <c r="MXY236" s="1077">
        <v>8298541</v>
      </c>
      <c r="MXZ236" s="1077">
        <v>8298541</v>
      </c>
      <c r="MYA236" s="1077">
        <v>8298541</v>
      </c>
      <c r="MYB236" s="1077">
        <v>8298541</v>
      </c>
      <c r="MYC236" s="1077">
        <v>8298541</v>
      </c>
      <c r="MYD236" s="1077">
        <v>8298541</v>
      </c>
      <c r="MYE236" s="1077">
        <v>8298541</v>
      </c>
      <c r="MYF236" s="1077">
        <v>8298541</v>
      </c>
      <c r="MYG236" s="1077">
        <v>8298541</v>
      </c>
      <c r="MYH236" s="1077">
        <v>8298541</v>
      </c>
      <c r="MYI236" s="1077">
        <v>8298541</v>
      </c>
      <c r="MYJ236" s="1077">
        <v>8298541</v>
      </c>
      <c r="MYK236" s="1077">
        <v>8298541</v>
      </c>
      <c r="MYL236" s="1077">
        <v>8298541</v>
      </c>
      <c r="MYM236" s="1077">
        <v>8298541</v>
      </c>
      <c r="MYN236" s="1077">
        <v>8298541</v>
      </c>
      <c r="MYO236" s="1077">
        <v>8298541</v>
      </c>
      <c r="MYP236" s="1077">
        <v>8298541</v>
      </c>
      <c r="MYQ236" s="1077">
        <v>8298541</v>
      </c>
      <c r="MYR236" s="1077">
        <v>8298541</v>
      </c>
      <c r="MYS236" s="1077">
        <v>8298541</v>
      </c>
      <c r="MYT236" s="1077">
        <v>8298541</v>
      </c>
      <c r="MYU236" s="1077">
        <v>8298541</v>
      </c>
      <c r="MYV236" s="1077">
        <v>8298541</v>
      </c>
      <c r="MYW236" s="1077">
        <v>8298541</v>
      </c>
      <c r="MYX236" s="1077">
        <v>8298541</v>
      </c>
      <c r="MYY236" s="1077">
        <v>8298541</v>
      </c>
      <c r="MYZ236" s="1077">
        <v>8298541</v>
      </c>
      <c r="MZA236" s="1077">
        <v>8298541</v>
      </c>
      <c r="MZB236" s="1077">
        <v>8298541</v>
      </c>
      <c r="MZC236" s="1077">
        <v>8298541</v>
      </c>
      <c r="MZD236" s="1077">
        <v>8298541</v>
      </c>
      <c r="MZE236" s="1077">
        <v>8298541</v>
      </c>
      <c r="MZF236" s="1077">
        <v>8298541</v>
      </c>
      <c r="MZG236" s="1077">
        <v>8298541</v>
      </c>
      <c r="MZH236" s="1077">
        <v>8298541</v>
      </c>
      <c r="MZI236" s="1077">
        <v>8298541</v>
      </c>
      <c r="MZJ236" s="1077">
        <v>8298541</v>
      </c>
      <c r="MZK236" s="1077">
        <v>8298541</v>
      </c>
      <c r="MZL236" s="1077">
        <v>8298541</v>
      </c>
      <c r="MZM236" s="1077">
        <v>8298541</v>
      </c>
      <c r="MZN236" s="1077">
        <v>8298541</v>
      </c>
      <c r="MZO236" s="1077">
        <v>8298541</v>
      </c>
      <c r="MZP236" s="1077">
        <v>8298541</v>
      </c>
      <c r="MZQ236" s="1077">
        <v>8298541</v>
      </c>
      <c r="MZR236" s="1077">
        <v>8298541</v>
      </c>
      <c r="MZS236" s="1077">
        <v>8298541</v>
      </c>
      <c r="MZT236" s="1077">
        <v>8298541</v>
      </c>
      <c r="MZU236" s="1077">
        <v>8298541</v>
      </c>
      <c r="MZV236" s="1077">
        <v>8298541</v>
      </c>
      <c r="MZW236" s="1077">
        <v>8298541</v>
      </c>
      <c r="MZX236" s="1077">
        <v>8298541</v>
      </c>
      <c r="MZY236" s="1077">
        <v>8298541</v>
      </c>
      <c r="MZZ236" s="1077">
        <v>8298541</v>
      </c>
      <c r="NAA236" s="1077">
        <v>8298541</v>
      </c>
      <c r="NAB236" s="1077">
        <v>8298541</v>
      </c>
      <c r="NAC236" s="1077">
        <v>8298541</v>
      </c>
      <c r="NAD236" s="1077">
        <v>8298541</v>
      </c>
      <c r="NAE236" s="1077">
        <v>8298541</v>
      </c>
      <c r="NAF236" s="1077">
        <v>8298541</v>
      </c>
      <c r="NAG236" s="1077">
        <v>8298541</v>
      </c>
      <c r="NAH236" s="1077">
        <v>8298541</v>
      </c>
      <c r="NAI236" s="1077">
        <v>8298541</v>
      </c>
      <c r="NAJ236" s="1077">
        <v>8298541</v>
      </c>
      <c r="NAK236" s="1077">
        <v>8298541</v>
      </c>
      <c r="NAL236" s="1077">
        <v>8298541</v>
      </c>
      <c r="NAM236" s="1077">
        <v>8298541</v>
      </c>
      <c r="NAN236" s="1077">
        <v>8298541</v>
      </c>
      <c r="NAO236" s="1077">
        <v>8298541</v>
      </c>
      <c r="NAP236" s="1077">
        <v>8298541</v>
      </c>
      <c r="NAQ236" s="1077">
        <v>8298541</v>
      </c>
      <c r="NAR236" s="1077">
        <v>8298541</v>
      </c>
      <c r="NAS236" s="1077">
        <v>8298541</v>
      </c>
      <c r="NAT236" s="1077">
        <v>8298541</v>
      </c>
      <c r="NAU236" s="1077">
        <v>8298541</v>
      </c>
      <c r="NAV236" s="1077">
        <v>8298541</v>
      </c>
      <c r="NAW236" s="1077">
        <v>8298541</v>
      </c>
      <c r="NAX236" s="1077">
        <v>8298541</v>
      </c>
      <c r="NAY236" s="1077">
        <v>8298541</v>
      </c>
      <c r="NAZ236" s="1077">
        <v>8298541</v>
      </c>
      <c r="NBA236" s="1077">
        <v>8298541</v>
      </c>
      <c r="NBB236" s="1077">
        <v>8298541</v>
      </c>
      <c r="NBC236" s="1077">
        <v>8298541</v>
      </c>
      <c r="NBD236" s="1077">
        <v>8298541</v>
      </c>
      <c r="NBE236" s="1077">
        <v>8298541</v>
      </c>
      <c r="NBF236" s="1077">
        <v>8298541</v>
      </c>
      <c r="NBG236" s="1077">
        <v>8298541</v>
      </c>
      <c r="NBH236" s="1077">
        <v>8298541</v>
      </c>
      <c r="NBI236" s="1077">
        <v>8298541</v>
      </c>
      <c r="NBJ236" s="1077">
        <v>8298541</v>
      </c>
      <c r="NBK236" s="1077">
        <v>8298541</v>
      </c>
      <c r="NBL236" s="1077">
        <v>8298541</v>
      </c>
      <c r="NBM236" s="1077">
        <v>8298541</v>
      </c>
      <c r="NBN236" s="1077">
        <v>8298541</v>
      </c>
      <c r="NBO236" s="1077">
        <v>8298541</v>
      </c>
      <c r="NBP236" s="1077">
        <v>8298541</v>
      </c>
      <c r="NBQ236" s="1077">
        <v>8298541</v>
      </c>
      <c r="NBR236" s="1077">
        <v>8298541</v>
      </c>
      <c r="NBS236" s="1077">
        <v>8298541</v>
      </c>
      <c r="NBT236" s="1077">
        <v>8298541</v>
      </c>
      <c r="NBU236" s="1077">
        <v>8298541</v>
      </c>
      <c r="NBV236" s="1077">
        <v>8298541</v>
      </c>
      <c r="NBW236" s="1077">
        <v>8298541</v>
      </c>
      <c r="NBX236" s="1077">
        <v>8298541</v>
      </c>
      <c r="NBY236" s="1077">
        <v>8298541</v>
      </c>
      <c r="NBZ236" s="1077">
        <v>8298541</v>
      </c>
      <c r="NCA236" s="1077">
        <v>8298541</v>
      </c>
      <c r="NCB236" s="1077">
        <v>8298541</v>
      </c>
      <c r="NCC236" s="1077">
        <v>8298541</v>
      </c>
      <c r="NCD236" s="1077">
        <v>8298541</v>
      </c>
      <c r="NCE236" s="1077">
        <v>8298541</v>
      </c>
      <c r="NCF236" s="1077">
        <v>8298541</v>
      </c>
      <c r="NCG236" s="1077">
        <v>8298541</v>
      </c>
      <c r="NCH236" s="1077">
        <v>8298541</v>
      </c>
      <c r="NCI236" s="1077">
        <v>8298541</v>
      </c>
      <c r="NCJ236" s="1077">
        <v>8298541</v>
      </c>
      <c r="NCK236" s="1077">
        <v>8298541</v>
      </c>
      <c r="NCL236" s="1077">
        <v>8298541</v>
      </c>
      <c r="NCM236" s="1077">
        <v>8298541</v>
      </c>
      <c r="NCN236" s="1077">
        <v>8298541</v>
      </c>
      <c r="NCO236" s="1077">
        <v>8298541</v>
      </c>
      <c r="NCP236" s="1077">
        <v>8298541</v>
      </c>
      <c r="NCQ236" s="1077">
        <v>8298541</v>
      </c>
      <c r="NCR236" s="1077">
        <v>8298541</v>
      </c>
      <c r="NCS236" s="1077">
        <v>8298541</v>
      </c>
      <c r="NCT236" s="1077">
        <v>8298541</v>
      </c>
      <c r="NCU236" s="1077">
        <v>8298541</v>
      </c>
      <c r="NCV236" s="1077">
        <v>8298541</v>
      </c>
      <c r="NCW236" s="1077">
        <v>8298541</v>
      </c>
      <c r="NCX236" s="1077">
        <v>8298541</v>
      </c>
      <c r="NCY236" s="1077">
        <v>8298541</v>
      </c>
      <c r="NCZ236" s="1077">
        <v>8298541</v>
      </c>
      <c r="NDA236" s="1077">
        <v>8298541</v>
      </c>
      <c r="NDB236" s="1077">
        <v>8298541</v>
      </c>
      <c r="NDC236" s="1077">
        <v>8298541</v>
      </c>
      <c r="NDD236" s="1077">
        <v>8298541</v>
      </c>
      <c r="NDE236" s="1077">
        <v>8298541</v>
      </c>
      <c r="NDF236" s="1077">
        <v>8298541</v>
      </c>
      <c r="NDG236" s="1077">
        <v>8298541</v>
      </c>
      <c r="NDH236" s="1077">
        <v>8298541</v>
      </c>
      <c r="NDI236" s="1077">
        <v>8298541</v>
      </c>
      <c r="NDJ236" s="1077">
        <v>8298541</v>
      </c>
      <c r="NDK236" s="1077">
        <v>8298541</v>
      </c>
      <c r="NDL236" s="1077">
        <v>8298541</v>
      </c>
      <c r="NDM236" s="1077">
        <v>8298541</v>
      </c>
      <c r="NDN236" s="1077">
        <v>8298541</v>
      </c>
      <c r="NDO236" s="1077">
        <v>8298541</v>
      </c>
      <c r="NDP236" s="1077">
        <v>8298541</v>
      </c>
      <c r="NDQ236" s="1077">
        <v>8298541</v>
      </c>
      <c r="NDR236" s="1077">
        <v>8298541</v>
      </c>
      <c r="NDS236" s="1077">
        <v>8298541</v>
      </c>
      <c r="NDT236" s="1077">
        <v>8298541</v>
      </c>
      <c r="NDU236" s="1077">
        <v>8298541</v>
      </c>
      <c r="NDV236" s="1077">
        <v>8298541</v>
      </c>
      <c r="NDW236" s="1077">
        <v>8298541</v>
      </c>
      <c r="NDX236" s="1077">
        <v>8298541</v>
      </c>
      <c r="NDY236" s="1077">
        <v>8298541</v>
      </c>
      <c r="NDZ236" s="1077">
        <v>8298541</v>
      </c>
      <c r="NEA236" s="1077">
        <v>8298541</v>
      </c>
      <c r="NEB236" s="1077">
        <v>8298541</v>
      </c>
      <c r="NEC236" s="1077">
        <v>8298541</v>
      </c>
      <c r="NED236" s="1077">
        <v>8298541</v>
      </c>
      <c r="NEE236" s="1077">
        <v>8298541</v>
      </c>
      <c r="NEF236" s="1077">
        <v>8298541</v>
      </c>
      <c r="NEG236" s="1077">
        <v>8298541</v>
      </c>
      <c r="NEH236" s="1077">
        <v>8298541</v>
      </c>
      <c r="NEI236" s="1077">
        <v>8298541</v>
      </c>
      <c r="NEJ236" s="1077">
        <v>8298541</v>
      </c>
      <c r="NEK236" s="1077">
        <v>8298541</v>
      </c>
      <c r="NEL236" s="1077">
        <v>8298541</v>
      </c>
      <c r="NEM236" s="1077">
        <v>8298541</v>
      </c>
      <c r="NEN236" s="1077">
        <v>8298541</v>
      </c>
      <c r="NEO236" s="1077">
        <v>8298541</v>
      </c>
      <c r="NEP236" s="1077">
        <v>8298541</v>
      </c>
      <c r="NEQ236" s="1077">
        <v>8298541</v>
      </c>
      <c r="NER236" s="1077">
        <v>8298541</v>
      </c>
      <c r="NES236" s="1077">
        <v>8298541</v>
      </c>
      <c r="NET236" s="1077">
        <v>8298541</v>
      </c>
      <c r="NEU236" s="1077">
        <v>8298541</v>
      </c>
      <c r="NEV236" s="1077">
        <v>8298541</v>
      </c>
      <c r="NEW236" s="1077">
        <v>8298541</v>
      </c>
      <c r="NEX236" s="1077">
        <v>8298541</v>
      </c>
      <c r="NEY236" s="1077">
        <v>8298541</v>
      </c>
      <c r="NEZ236" s="1077">
        <v>8298541</v>
      </c>
      <c r="NFA236" s="1077">
        <v>8298541</v>
      </c>
      <c r="NFB236" s="1077">
        <v>8298541</v>
      </c>
      <c r="NFC236" s="1077">
        <v>8298541</v>
      </c>
      <c r="NFD236" s="1077">
        <v>8298541</v>
      </c>
      <c r="NFE236" s="1077">
        <v>8298541</v>
      </c>
      <c r="NFF236" s="1077">
        <v>8298541</v>
      </c>
      <c r="NFG236" s="1077">
        <v>8298541</v>
      </c>
      <c r="NFH236" s="1077">
        <v>8298541</v>
      </c>
      <c r="NFI236" s="1077">
        <v>8298541</v>
      </c>
      <c r="NFJ236" s="1077">
        <v>8298541</v>
      </c>
      <c r="NFK236" s="1077">
        <v>8298541</v>
      </c>
      <c r="NFL236" s="1077">
        <v>8298541</v>
      </c>
      <c r="NFM236" s="1077">
        <v>8298541</v>
      </c>
      <c r="NFN236" s="1077">
        <v>8298541</v>
      </c>
      <c r="NFO236" s="1077">
        <v>8298541</v>
      </c>
      <c r="NFP236" s="1077">
        <v>8298541</v>
      </c>
      <c r="NFQ236" s="1077">
        <v>8298541</v>
      </c>
      <c r="NFR236" s="1077">
        <v>8298541</v>
      </c>
      <c r="NFS236" s="1077">
        <v>8298541</v>
      </c>
      <c r="NFT236" s="1077">
        <v>8298541</v>
      </c>
      <c r="NFU236" s="1077">
        <v>8298541</v>
      </c>
      <c r="NFV236" s="1077">
        <v>8298541</v>
      </c>
      <c r="NFW236" s="1077">
        <v>8298541</v>
      </c>
      <c r="NFX236" s="1077">
        <v>8298541</v>
      </c>
      <c r="NFY236" s="1077">
        <v>8298541</v>
      </c>
      <c r="NFZ236" s="1077">
        <v>8298541</v>
      </c>
      <c r="NGA236" s="1077">
        <v>8298541</v>
      </c>
      <c r="NGB236" s="1077">
        <v>8298541</v>
      </c>
      <c r="NGC236" s="1077">
        <v>8298541</v>
      </c>
      <c r="NGD236" s="1077">
        <v>8298541</v>
      </c>
      <c r="NGE236" s="1077">
        <v>8298541</v>
      </c>
      <c r="NGF236" s="1077">
        <v>8298541</v>
      </c>
      <c r="NGG236" s="1077">
        <v>8298541</v>
      </c>
      <c r="NGH236" s="1077">
        <v>8298541</v>
      </c>
      <c r="NGI236" s="1077">
        <v>8298541</v>
      </c>
      <c r="NGJ236" s="1077">
        <v>8298541</v>
      </c>
      <c r="NGK236" s="1077">
        <v>8298541</v>
      </c>
      <c r="NGL236" s="1077">
        <v>8298541</v>
      </c>
      <c r="NGM236" s="1077">
        <v>8298541</v>
      </c>
      <c r="NGN236" s="1077">
        <v>8298541</v>
      </c>
      <c r="NGO236" s="1077">
        <v>8298541</v>
      </c>
      <c r="NGP236" s="1077">
        <v>8298541</v>
      </c>
      <c r="NGQ236" s="1077">
        <v>8298541</v>
      </c>
      <c r="NGR236" s="1077">
        <v>8298541</v>
      </c>
      <c r="NGS236" s="1077">
        <v>8298541</v>
      </c>
      <c r="NGT236" s="1077">
        <v>8298541</v>
      </c>
      <c r="NGU236" s="1077">
        <v>8298541</v>
      </c>
      <c r="NGV236" s="1077">
        <v>8298541</v>
      </c>
      <c r="NGW236" s="1077">
        <v>8298541</v>
      </c>
      <c r="NGX236" s="1077">
        <v>8298541</v>
      </c>
      <c r="NGY236" s="1077">
        <v>8298541</v>
      </c>
      <c r="NGZ236" s="1077">
        <v>8298541</v>
      </c>
      <c r="NHA236" s="1077">
        <v>8298541</v>
      </c>
      <c r="NHB236" s="1077">
        <v>8298541</v>
      </c>
      <c r="NHC236" s="1077">
        <v>8298541</v>
      </c>
      <c r="NHD236" s="1077">
        <v>8298541</v>
      </c>
      <c r="NHE236" s="1077">
        <v>8298541</v>
      </c>
      <c r="NHF236" s="1077">
        <v>8298541</v>
      </c>
      <c r="NHG236" s="1077">
        <v>8298541</v>
      </c>
      <c r="NHH236" s="1077">
        <v>8298541</v>
      </c>
      <c r="NHI236" s="1077">
        <v>8298541</v>
      </c>
      <c r="NHJ236" s="1077">
        <v>8298541</v>
      </c>
      <c r="NHK236" s="1077">
        <v>8298541</v>
      </c>
      <c r="NHL236" s="1077">
        <v>8298541</v>
      </c>
      <c r="NHM236" s="1077">
        <v>8298541</v>
      </c>
      <c r="NHN236" s="1077">
        <v>8298541</v>
      </c>
      <c r="NHO236" s="1077">
        <v>8298541</v>
      </c>
      <c r="NHP236" s="1077">
        <v>8298541</v>
      </c>
      <c r="NHQ236" s="1077">
        <v>8298541</v>
      </c>
      <c r="NHR236" s="1077">
        <v>8298541</v>
      </c>
      <c r="NHS236" s="1077">
        <v>8298541</v>
      </c>
      <c r="NHT236" s="1077">
        <v>8298541</v>
      </c>
      <c r="NHU236" s="1077">
        <v>8298541</v>
      </c>
      <c r="NHV236" s="1077">
        <v>8298541</v>
      </c>
      <c r="NHW236" s="1077">
        <v>8298541</v>
      </c>
      <c r="NHX236" s="1077">
        <v>8298541</v>
      </c>
      <c r="NHY236" s="1077">
        <v>8298541</v>
      </c>
      <c r="NHZ236" s="1077">
        <v>8298541</v>
      </c>
      <c r="NIA236" s="1077">
        <v>8298541</v>
      </c>
      <c r="NIB236" s="1077">
        <v>8298541</v>
      </c>
      <c r="NIC236" s="1077">
        <v>8298541</v>
      </c>
      <c r="NID236" s="1077">
        <v>8298541</v>
      </c>
      <c r="NIE236" s="1077">
        <v>8298541</v>
      </c>
      <c r="NIF236" s="1077">
        <v>8298541</v>
      </c>
      <c r="NIG236" s="1077">
        <v>8298541</v>
      </c>
      <c r="NIH236" s="1077">
        <v>8298541</v>
      </c>
      <c r="NII236" s="1077">
        <v>8298541</v>
      </c>
      <c r="NIJ236" s="1077">
        <v>8298541</v>
      </c>
      <c r="NIK236" s="1077">
        <v>8298541</v>
      </c>
      <c r="NIL236" s="1077">
        <v>8298541</v>
      </c>
      <c r="NIM236" s="1077">
        <v>8298541</v>
      </c>
      <c r="NIN236" s="1077">
        <v>8298541</v>
      </c>
      <c r="NIO236" s="1077">
        <v>8298541</v>
      </c>
      <c r="NIP236" s="1077">
        <v>8298541</v>
      </c>
      <c r="NIQ236" s="1077">
        <v>8298541</v>
      </c>
      <c r="NIR236" s="1077">
        <v>8298541</v>
      </c>
      <c r="NIS236" s="1077">
        <v>8298541</v>
      </c>
      <c r="NIT236" s="1077">
        <v>8298541</v>
      </c>
      <c r="NIU236" s="1077">
        <v>8298541</v>
      </c>
      <c r="NIV236" s="1077">
        <v>8298541</v>
      </c>
      <c r="NIW236" s="1077">
        <v>8298541</v>
      </c>
      <c r="NIX236" s="1077">
        <v>8298541</v>
      </c>
      <c r="NIY236" s="1077">
        <v>8298541</v>
      </c>
      <c r="NIZ236" s="1077">
        <v>8298541</v>
      </c>
      <c r="NJA236" s="1077">
        <v>8298541</v>
      </c>
      <c r="NJB236" s="1077">
        <v>8298541</v>
      </c>
      <c r="NJC236" s="1077">
        <v>8298541</v>
      </c>
      <c r="NJD236" s="1077">
        <v>8298541</v>
      </c>
      <c r="NJE236" s="1077">
        <v>8298541</v>
      </c>
      <c r="NJF236" s="1077">
        <v>8298541</v>
      </c>
      <c r="NJG236" s="1077">
        <v>8298541</v>
      </c>
      <c r="NJH236" s="1077">
        <v>8298541</v>
      </c>
      <c r="NJI236" s="1077">
        <v>8298541</v>
      </c>
      <c r="NJJ236" s="1077">
        <v>8298541</v>
      </c>
      <c r="NJK236" s="1077">
        <v>8298541</v>
      </c>
      <c r="NJL236" s="1077">
        <v>8298541</v>
      </c>
      <c r="NJM236" s="1077">
        <v>8298541</v>
      </c>
      <c r="NJN236" s="1077">
        <v>8298541</v>
      </c>
      <c r="NJO236" s="1077">
        <v>8298541</v>
      </c>
      <c r="NJP236" s="1077">
        <v>8298541</v>
      </c>
      <c r="NJQ236" s="1077">
        <v>8298541</v>
      </c>
      <c r="NJR236" s="1077">
        <v>8298541</v>
      </c>
      <c r="NJS236" s="1077">
        <v>8298541</v>
      </c>
      <c r="NJT236" s="1077">
        <v>8298541</v>
      </c>
      <c r="NJU236" s="1077">
        <v>8298541</v>
      </c>
      <c r="NJV236" s="1077">
        <v>8298541</v>
      </c>
      <c r="NJW236" s="1077">
        <v>8298541</v>
      </c>
      <c r="NJX236" s="1077">
        <v>8298541</v>
      </c>
      <c r="NJY236" s="1077">
        <v>8298541</v>
      </c>
      <c r="NJZ236" s="1077">
        <v>8298541</v>
      </c>
      <c r="NKA236" s="1077">
        <v>8298541</v>
      </c>
      <c r="NKB236" s="1077">
        <v>8298541</v>
      </c>
      <c r="NKC236" s="1077">
        <v>8298541</v>
      </c>
      <c r="NKD236" s="1077">
        <v>8298541</v>
      </c>
      <c r="NKE236" s="1077">
        <v>8298541</v>
      </c>
      <c r="NKF236" s="1077">
        <v>8298541</v>
      </c>
      <c r="NKG236" s="1077">
        <v>8298541</v>
      </c>
      <c r="NKH236" s="1077">
        <v>8298541</v>
      </c>
      <c r="NKI236" s="1077">
        <v>8298541</v>
      </c>
      <c r="NKJ236" s="1077">
        <v>8298541</v>
      </c>
      <c r="NKK236" s="1077">
        <v>8298541</v>
      </c>
      <c r="NKL236" s="1077">
        <v>8298541</v>
      </c>
      <c r="NKM236" s="1077">
        <v>8298541</v>
      </c>
      <c r="NKN236" s="1077">
        <v>8298541</v>
      </c>
      <c r="NKO236" s="1077">
        <v>8298541</v>
      </c>
      <c r="NKP236" s="1077">
        <v>8298541</v>
      </c>
      <c r="NKQ236" s="1077">
        <v>8298541</v>
      </c>
      <c r="NKR236" s="1077">
        <v>8298541</v>
      </c>
      <c r="NKS236" s="1077">
        <v>8298541</v>
      </c>
      <c r="NKT236" s="1077">
        <v>8298541</v>
      </c>
      <c r="NKU236" s="1077">
        <v>8298541</v>
      </c>
      <c r="NKV236" s="1077">
        <v>8298541</v>
      </c>
      <c r="NKW236" s="1077">
        <v>8298541</v>
      </c>
      <c r="NKX236" s="1077">
        <v>8298541</v>
      </c>
      <c r="NKY236" s="1077">
        <v>8298541</v>
      </c>
      <c r="NKZ236" s="1077">
        <v>8298541</v>
      </c>
      <c r="NLA236" s="1077">
        <v>8298541</v>
      </c>
      <c r="NLB236" s="1077">
        <v>8298541</v>
      </c>
      <c r="NLC236" s="1077">
        <v>8298541</v>
      </c>
      <c r="NLD236" s="1077">
        <v>8298541</v>
      </c>
      <c r="NLE236" s="1077">
        <v>8298541</v>
      </c>
      <c r="NLF236" s="1077">
        <v>8298541</v>
      </c>
      <c r="NLG236" s="1077">
        <v>8298541</v>
      </c>
      <c r="NLH236" s="1077">
        <v>8298541</v>
      </c>
      <c r="NLI236" s="1077">
        <v>8298541</v>
      </c>
      <c r="NLJ236" s="1077">
        <v>8298541</v>
      </c>
      <c r="NLK236" s="1077">
        <v>8298541</v>
      </c>
      <c r="NLL236" s="1077">
        <v>8298541</v>
      </c>
      <c r="NLM236" s="1077">
        <v>8298541</v>
      </c>
      <c r="NLN236" s="1077">
        <v>8298541</v>
      </c>
      <c r="NLO236" s="1077">
        <v>8298541</v>
      </c>
      <c r="NLP236" s="1077">
        <v>8298541</v>
      </c>
      <c r="NLQ236" s="1077">
        <v>8298541</v>
      </c>
      <c r="NLR236" s="1077">
        <v>8298541</v>
      </c>
      <c r="NLS236" s="1077">
        <v>8298541</v>
      </c>
      <c r="NLT236" s="1077">
        <v>8298541</v>
      </c>
      <c r="NLU236" s="1077">
        <v>8298541</v>
      </c>
      <c r="NLV236" s="1077">
        <v>8298541</v>
      </c>
      <c r="NLW236" s="1077">
        <v>8298541</v>
      </c>
      <c r="NLX236" s="1077">
        <v>8298541</v>
      </c>
      <c r="NLY236" s="1077">
        <v>8298541</v>
      </c>
      <c r="NLZ236" s="1077">
        <v>8298541</v>
      </c>
      <c r="NMA236" s="1077">
        <v>8298541</v>
      </c>
      <c r="NMB236" s="1077">
        <v>8298541</v>
      </c>
      <c r="NMC236" s="1077">
        <v>8298541</v>
      </c>
      <c r="NMD236" s="1077">
        <v>8298541</v>
      </c>
      <c r="NME236" s="1077">
        <v>8298541</v>
      </c>
      <c r="NMF236" s="1077">
        <v>8298541</v>
      </c>
      <c r="NMG236" s="1077">
        <v>8298541</v>
      </c>
      <c r="NMH236" s="1077">
        <v>8298541</v>
      </c>
      <c r="NMI236" s="1077">
        <v>8298541</v>
      </c>
      <c r="NMJ236" s="1077">
        <v>8298541</v>
      </c>
      <c r="NMK236" s="1077">
        <v>8298541</v>
      </c>
      <c r="NML236" s="1077">
        <v>8298541</v>
      </c>
      <c r="NMM236" s="1077">
        <v>8298541</v>
      </c>
      <c r="NMN236" s="1077">
        <v>8298541</v>
      </c>
      <c r="NMO236" s="1077">
        <v>8298541</v>
      </c>
      <c r="NMP236" s="1077">
        <v>8298541</v>
      </c>
      <c r="NMQ236" s="1077">
        <v>8298541</v>
      </c>
      <c r="NMR236" s="1077">
        <v>8298541</v>
      </c>
      <c r="NMS236" s="1077">
        <v>8298541</v>
      </c>
      <c r="NMT236" s="1077">
        <v>8298541</v>
      </c>
      <c r="NMU236" s="1077">
        <v>8298541</v>
      </c>
      <c r="NMV236" s="1077">
        <v>8298541</v>
      </c>
      <c r="NMW236" s="1077">
        <v>8298541</v>
      </c>
      <c r="NMX236" s="1077">
        <v>8298541</v>
      </c>
      <c r="NMY236" s="1077">
        <v>8298541</v>
      </c>
      <c r="NMZ236" s="1077">
        <v>8298541</v>
      </c>
      <c r="NNA236" s="1077">
        <v>8298541</v>
      </c>
      <c r="NNB236" s="1077">
        <v>8298541</v>
      </c>
      <c r="NNC236" s="1077">
        <v>8298541</v>
      </c>
      <c r="NND236" s="1077">
        <v>8298541</v>
      </c>
      <c r="NNE236" s="1077">
        <v>8298541</v>
      </c>
      <c r="NNF236" s="1077">
        <v>8298541</v>
      </c>
      <c r="NNG236" s="1077">
        <v>8298541</v>
      </c>
      <c r="NNH236" s="1077">
        <v>8298541</v>
      </c>
      <c r="NNI236" s="1077">
        <v>8298541</v>
      </c>
      <c r="NNJ236" s="1077">
        <v>8298541</v>
      </c>
      <c r="NNK236" s="1077">
        <v>8298541</v>
      </c>
      <c r="NNL236" s="1077">
        <v>8298541</v>
      </c>
      <c r="NNM236" s="1077">
        <v>8298541</v>
      </c>
      <c r="NNN236" s="1077">
        <v>8298541</v>
      </c>
      <c r="NNO236" s="1077">
        <v>8298541</v>
      </c>
      <c r="NNP236" s="1077">
        <v>8298541</v>
      </c>
      <c r="NNQ236" s="1077">
        <v>8298541</v>
      </c>
      <c r="NNR236" s="1077">
        <v>8298541</v>
      </c>
      <c r="NNS236" s="1077">
        <v>8298541</v>
      </c>
      <c r="NNT236" s="1077">
        <v>8298541</v>
      </c>
      <c r="NNU236" s="1077">
        <v>8298541</v>
      </c>
      <c r="NNV236" s="1077">
        <v>8298541</v>
      </c>
      <c r="NNW236" s="1077">
        <v>8298541</v>
      </c>
      <c r="NNX236" s="1077">
        <v>8298541</v>
      </c>
      <c r="NNY236" s="1077">
        <v>8298541</v>
      </c>
      <c r="NNZ236" s="1077">
        <v>8298541</v>
      </c>
      <c r="NOA236" s="1077">
        <v>8298541</v>
      </c>
      <c r="NOB236" s="1077">
        <v>8298541</v>
      </c>
      <c r="NOC236" s="1077">
        <v>8298541</v>
      </c>
      <c r="NOD236" s="1077">
        <v>8298541</v>
      </c>
      <c r="NOE236" s="1077">
        <v>8298541</v>
      </c>
      <c r="NOF236" s="1077">
        <v>8298541</v>
      </c>
      <c r="NOG236" s="1077">
        <v>8298541</v>
      </c>
      <c r="NOH236" s="1077">
        <v>8298541</v>
      </c>
      <c r="NOI236" s="1077">
        <v>8298541</v>
      </c>
      <c r="NOJ236" s="1077">
        <v>8298541</v>
      </c>
      <c r="NOK236" s="1077">
        <v>8298541</v>
      </c>
      <c r="NOL236" s="1077">
        <v>8298541</v>
      </c>
      <c r="NOM236" s="1077">
        <v>8298541</v>
      </c>
      <c r="NON236" s="1077">
        <v>8298541</v>
      </c>
      <c r="NOO236" s="1077">
        <v>8298541</v>
      </c>
      <c r="NOP236" s="1077">
        <v>8298541</v>
      </c>
      <c r="NOQ236" s="1077">
        <v>8298541</v>
      </c>
      <c r="NOR236" s="1077">
        <v>8298541</v>
      </c>
      <c r="NOS236" s="1077">
        <v>8298541</v>
      </c>
      <c r="NOT236" s="1077">
        <v>8298541</v>
      </c>
      <c r="NOU236" s="1077">
        <v>8298541</v>
      </c>
      <c r="NOV236" s="1077">
        <v>8298541</v>
      </c>
      <c r="NOW236" s="1077">
        <v>8298541</v>
      </c>
      <c r="NOX236" s="1077">
        <v>8298541</v>
      </c>
      <c r="NOY236" s="1077">
        <v>8298541</v>
      </c>
      <c r="NOZ236" s="1077">
        <v>8298541</v>
      </c>
      <c r="NPA236" s="1077">
        <v>8298541</v>
      </c>
      <c r="NPB236" s="1077">
        <v>8298541</v>
      </c>
      <c r="NPC236" s="1077">
        <v>8298541</v>
      </c>
      <c r="NPD236" s="1077">
        <v>8298541</v>
      </c>
      <c r="NPE236" s="1077">
        <v>8298541</v>
      </c>
      <c r="NPF236" s="1077">
        <v>8298541</v>
      </c>
      <c r="NPG236" s="1077">
        <v>8298541</v>
      </c>
      <c r="NPH236" s="1077">
        <v>8298541</v>
      </c>
      <c r="NPI236" s="1077">
        <v>8298541</v>
      </c>
      <c r="NPJ236" s="1077">
        <v>8298541</v>
      </c>
      <c r="NPK236" s="1077">
        <v>8298541</v>
      </c>
      <c r="NPL236" s="1077">
        <v>8298541</v>
      </c>
      <c r="NPM236" s="1077">
        <v>8298541</v>
      </c>
      <c r="NPN236" s="1077">
        <v>8298541</v>
      </c>
      <c r="NPO236" s="1077">
        <v>8298541</v>
      </c>
      <c r="NPP236" s="1077">
        <v>8298541</v>
      </c>
      <c r="NPQ236" s="1077">
        <v>8298541</v>
      </c>
      <c r="NPR236" s="1077">
        <v>8298541</v>
      </c>
      <c r="NPS236" s="1077">
        <v>8298541</v>
      </c>
      <c r="NPT236" s="1077">
        <v>8298541</v>
      </c>
      <c r="NPU236" s="1077">
        <v>8298541</v>
      </c>
      <c r="NPV236" s="1077">
        <v>8298541</v>
      </c>
      <c r="NPW236" s="1077">
        <v>8298541</v>
      </c>
      <c r="NPX236" s="1077">
        <v>8298541</v>
      </c>
      <c r="NPY236" s="1077">
        <v>8298541</v>
      </c>
      <c r="NPZ236" s="1077">
        <v>8298541</v>
      </c>
      <c r="NQA236" s="1077">
        <v>8298541</v>
      </c>
      <c r="NQB236" s="1077">
        <v>8298541</v>
      </c>
      <c r="NQC236" s="1077">
        <v>8298541</v>
      </c>
      <c r="NQD236" s="1077">
        <v>8298541</v>
      </c>
      <c r="NQE236" s="1077">
        <v>8298541</v>
      </c>
      <c r="NQF236" s="1077">
        <v>8298541</v>
      </c>
      <c r="NQG236" s="1077">
        <v>8298541</v>
      </c>
      <c r="NQH236" s="1077">
        <v>8298541</v>
      </c>
      <c r="NQI236" s="1077">
        <v>8298541</v>
      </c>
      <c r="NQJ236" s="1077">
        <v>8298541</v>
      </c>
      <c r="NQK236" s="1077">
        <v>8298541</v>
      </c>
      <c r="NQL236" s="1077">
        <v>8298541</v>
      </c>
      <c r="NQM236" s="1077">
        <v>8298541</v>
      </c>
      <c r="NQN236" s="1077">
        <v>8298541</v>
      </c>
      <c r="NQO236" s="1077">
        <v>8298541</v>
      </c>
      <c r="NQP236" s="1077">
        <v>8298541</v>
      </c>
      <c r="NQQ236" s="1077">
        <v>8298541</v>
      </c>
      <c r="NQR236" s="1077">
        <v>8298541</v>
      </c>
      <c r="NQS236" s="1077">
        <v>8298541</v>
      </c>
      <c r="NQT236" s="1077">
        <v>8298541</v>
      </c>
      <c r="NQU236" s="1077">
        <v>8298541</v>
      </c>
      <c r="NQV236" s="1077">
        <v>8298541</v>
      </c>
      <c r="NQW236" s="1077">
        <v>8298541</v>
      </c>
      <c r="NQX236" s="1077">
        <v>8298541</v>
      </c>
      <c r="NQY236" s="1077">
        <v>8298541</v>
      </c>
      <c r="NQZ236" s="1077">
        <v>8298541</v>
      </c>
      <c r="NRA236" s="1077">
        <v>8298541</v>
      </c>
      <c r="NRB236" s="1077">
        <v>8298541</v>
      </c>
      <c r="NRC236" s="1077">
        <v>8298541</v>
      </c>
      <c r="NRD236" s="1077">
        <v>8298541</v>
      </c>
      <c r="NRE236" s="1077">
        <v>8298541</v>
      </c>
      <c r="NRF236" s="1077">
        <v>8298541</v>
      </c>
      <c r="NRG236" s="1077">
        <v>8298541</v>
      </c>
      <c r="NRH236" s="1077">
        <v>8298541</v>
      </c>
      <c r="NRI236" s="1077">
        <v>8298541</v>
      </c>
      <c r="NRJ236" s="1077">
        <v>8298541</v>
      </c>
      <c r="NRK236" s="1077">
        <v>8298541</v>
      </c>
      <c r="NRL236" s="1077">
        <v>8298541</v>
      </c>
      <c r="NRM236" s="1077">
        <v>8298541</v>
      </c>
      <c r="NRN236" s="1077">
        <v>8298541</v>
      </c>
      <c r="NRO236" s="1077">
        <v>8298541</v>
      </c>
      <c r="NRP236" s="1077">
        <v>8298541</v>
      </c>
      <c r="NRQ236" s="1077">
        <v>8298541</v>
      </c>
      <c r="NRR236" s="1077">
        <v>8298541</v>
      </c>
      <c r="NRS236" s="1077">
        <v>8298541</v>
      </c>
      <c r="NRT236" s="1077">
        <v>8298541</v>
      </c>
      <c r="NRU236" s="1077">
        <v>8298541</v>
      </c>
      <c r="NRV236" s="1077">
        <v>8298541</v>
      </c>
      <c r="NRW236" s="1077">
        <v>8298541</v>
      </c>
      <c r="NRX236" s="1077">
        <v>8298541</v>
      </c>
      <c r="NRY236" s="1077">
        <v>8298541</v>
      </c>
      <c r="NRZ236" s="1077">
        <v>8298541</v>
      </c>
      <c r="NSA236" s="1077">
        <v>8298541</v>
      </c>
      <c r="NSB236" s="1077">
        <v>8298541</v>
      </c>
      <c r="NSC236" s="1077">
        <v>8298541</v>
      </c>
      <c r="NSD236" s="1077">
        <v>8298541</v>
      </c>
      <c r="NSE236" s="1077">
        <v>8298541</v>
      </c>
      <c r="NSF236" s="1077">
        <v>8298541</v>
      </c>
      <c r="NSG236" s="1077">
        <v>8298541</v>
      </c>
      <c r="NSH236" s="1077">
        <v>8298541</v>
      </c>
      <c r="NSI236" s="1077">
        <v>8298541</v>
      </c>
      <c r="NSJ236" s="1077">
        <v>8298541</v>
      </c>
      <c r="NSK236" s="1077">
        <v>8298541</v>
      </c>
      <c r="NSL236" s="1077">
        <v>8298541</v>
      </c>
      <c r="NSM236" s="1077">
        <v>8298541</v>
      </c>
      <c r="NSN236" s="1077">
        <v>8298541</v>
      </c>
      <c r="NSO236" s="1077">
        <v>8298541</v>
      </c>
      <c r="NSP236" s="1077">
        <v>8298541</v>
      </c>
      <c r="NSQ236" s="1077">
        <v>8298541</v>
      </c>
      <c r="NSR236" s="1077">
        <v>8298541</v>
      </c>
      <c r="NSS236" s="1077">
        <v>8298541</v>
      </c>
      <c r="NST236" s="1077">
        <v>8298541</v>
      </c>
      <c r="NSU236" s="1077">
        <v>8298541</v>
      </c>
      <c r="NSV236" s="1077">
        <v>8298541</v>
      </c>
      <c r="NSW236" s="1077">
        <v>8298541</v>
      </c>
      <c r="NSX236" s="1077">
        <v>8298541</v>
      </c>
      <c r="NSY236" s="1077">
        <v>8298541</v>
      </c>
      <c r="NSZ236" s="1077">
        <v>8298541</v>
      </c>
      <c r="NTA236" s="1077">
        <v>8298541</v>
      </c>
      <c r="NTB236" s="1077">
        <v>8298541</v>
      </c>
      <c r="NTC236" s="1077">
        <v>8298541</v>
      </c>
      <c r="NTD236" s="1077">
        <v>8298541</v>
      </c>
      <c r="NTE236" s="1077">
        <v>8298541</v>
      </c>
      <c r="NTF236" s="1077">
        <v>8298541</v>
      </c>
      <c r="NTG236" s="1077">
        <v>8298541</v>
      </c>
      <c r="NTH236" s="1077">
        <v>8298541</v>
      </c>
      <c r="NTI236" s="1077">
        <v>8298541</v>
      </c>
      <c r="NTJ236" s="1077">
        <v>8298541</v>
      </c>
      <c r="NTK236" s="1077">
        <v>8298541</v>
      </c>
      <c r="NTL236" s="1077">
        <v>8298541</v>
      </c>
      <c r="NTM236" s="1077">
        <v>8298541</v>
      </c>
      <c r="NTN236" s="1077">
        <v>8298541</v>
      </c>
      <c r="NTO236" s="1077">
        <v>8298541</v>
      </c>
      <c r="NTP236" s="1077">
        <v>8298541</v>
      </c>
      <c r="NTQ236" s="1077">
        <v>8298541</v>
      </c>
      <c r="NTR236" s="1077">
        <v>8298541</v>
      </c>
      <c r="NTS236" s="1077">
        <v>8298541</v>
      </c>
      <c r="NTT236" s="1077">
        <v>8298541</v>
      </c>
      <c r="NTU236" s="1077">
        <v>8298541</v>
      </c>
      <c r="NTV236" s="1077">
        <v>8298541</v>
      </c>
      <c r="NTW236" s="1077">
        <v>8298541</v>
      </c>
      <c r="NTX236" s="1077">
        <v>8298541</v>
      </c>
      <c r="NTY236" s="1077">
        <v>8298541</v>
      </c>
      <c r="NTZ236" s="1077">
        <v>8298541</v>
      </c>
      <c r="NUA236" s="1077">
        <v>8298541</v>
      </c>
      <c r="NUB236" s="1077">
        <v>8298541</v>
      </c>
      <c r="NUC236" s="1077">
        <v>8298541</v>
      </c>
      <c r="NUD236" s="1077">
        <v>8298541</v>
      </c>
      <c r="NUE236" s="1077">
        <v>8298541</v>
      </c>
      <c r="NUF236" s="1077">
        <v>8298541</v>
      </c>
      <c r="NUG236" s="1077">
        <v>8298541</v>
      </c>
      <c r="NUH236" s="1077">
        <v>8298541</v>
      </c>
      <c r="NUI236" s="1077">
        <v>8298541</v>
      </c>
      <c r="NUJ236" s="1077">
        <v>8298541</v>
      </c>
      <c r="NUK236" s="1077">
        <v>8298541</v>
      </c>
      <c r="NUL236" s="1077">
        <v>8298541</v>
      </c>
      <c r="NUM236" s="1077">
        <v>8298541</v>
      </c>
      <c r="NUN236" s="1077">
        <v>8298541</v>
      </c>
      <c r="NUO236" s="1077">
        <v>8298541</v>
      </c>
      <c r="NUP236" s="1077">
        <v>8298541</v>
      </c>
      <c r="NUQ236" s="1077">
        <v>8298541</v>
      </c>
      <c r="NUR236" s="1077">
        <v>8298541</v>
      </c>
      <c r="NUS236" s="1077">
        <v>8298541</v>
      </c>
      <c r="NUT236" s="1077">
        <v>8298541</v>
      </c>
      <c r="NUU236" s="1077">
        <v>8298541</v>
      </c>
      <c r="NUV236" s="1077">
        <v>8298541</v>
      </c>
      <c r="NUW236" s="1077">
        <v>8298541</v>
      </c>
      <c r="NUX236" s="1077">
        <v>8298541</v>
      </c>
      <c r="NUY236" s="1077">
        <v>8298541</v>
      </c>
      <c r="NUZ236" s="1077">
        <v>8298541</v>
      </c>
      <c r="NVA236" s="1077">
        <v>8298541</v>
      </c>
      <c r="NVB236" s="1077">
        <v>8298541</v>
      </c>
      <c r="NVC236" s="1077">
        <v>8298541</v>
      </c>
      <c r="NVD236" s="1077">
        <v>8298541</v>
      </c>
      <c r="NVE236" s="1077">
        <v>8298541</v>
      </c>
      <c r="NVF236" s="1077">
        <v>8298541</v>
      </c>
      <c r="NVG236" s="1077">
        <v>8298541</v>
      </c>
      <c r="NVH236" s="1077">
        <v>8298541</v>
      </c>
      <c r="NVI236" s="1077">
        <v>8298541</v>
      </c>
      <c r="NVJ236" s="1077">
        <v>8298541</v>
      </c>
      <c r="NVK236" s="1077">
        <v>8298541</v>
      </c>
      <c r="NVL236" s="1077">
        <v>8298541</v>
      </c>
      <c r="NVM236" s="1077">
        <v>8298541</v>
      </c>
      <c r="NVN236" s="1077">
        <v>8298541</v>
      </c>
      <c r="NVO236" s="1077">
        <v>8298541</v>
      </c>
      <c r="NVP236" s="1077">
        <v>8298541</v>
      </c>
      <c r="NVQ236" s="1077">
        <v>8298541</v>
      </c>
      <c r="NVR236" s="1077">
        <v>8298541</v>
      </c>
      <c r="NVS236" s="1077">
        <v>8298541</v>
      </c>
      <c r="NVT236" s="1077">
        <v>8298541</v>
      </c>
      <c r="NVU236" s="1077">
        <v>8298541</v>
      </c>
      <c r="NVV236" s="1077">
        <v>8298541</v>
      </c>
      <c r="NVW236" s="1077">
        <v>8298541</v>
      </c>
      <c r="NVX236" s="1077">
        <v>8298541</v>
      </c>
      <c r="NVY236" s="1077">
        <v>8298541</v>
      </c>
      <c r="NVZ236" s="1077">
        <v>8298541</v>
      </c>
      <c r="NWA236" s="1077">
        <v>8298541</v>
      </c>
      <c r="NWB236" s="1077">
        <v>8298541</v>
      </c>
      <c r="NWC236" s="1077">
        <v>8298541</v>
      </c>
      <c r="NWD236" s="1077">
        <v>8298541</v>
      </c>
      <c r="NWE236" s="1077">
        <v>8298541</v>
      </c>
      <c r="NWF236" s="1077">
        <v>8298541</v>
      </c>
      <c r="NWG236" s="1077">
        <v>8298541</v>
      </c>
      <c r="NWH236" s="1077">
        <v>8298541</v>
      </c>
      <c r="NWI236" s="1077">
        <v>8298541</v>
      </c>
      <c r="NWJ236" s="1077">
        <v>8298541</v>
      </c>
      <c r="NWK236" s="1077">
        <v>8298541</v>
      </c>
      <c r="NWL236" s="1077">
        <v>8298541</v>
      </c>
      <c r="NWM236" s="1077">
        <v>8298541</v>
      </c>
      <c r="NWN236" s="1077">
        <v>8298541</v>
      </c>
      <c r="NWO236" s="1077">
        <v>8298541</v>
      </c>
      <c r="NWP236" s="1077">
        <v>8298541</v>
      </c>
      <c r="NWQ236" s="1077">
        <v>8298541</v>
      </c>
      <c r="NWR236" s="1077">
        <v>8298541</v>
      </c>
      <c r="NWS236" s="1077">
        <v>8298541</v>
      </c>
      <c r="NWT236" s="1077">
        <v>8298541</v>
      </c>
      <c r="NWU236" s="1077">
        <v>8298541</v>
      </c>
      <c r="NWV236" s="1077">
        <v>8298541</v>
      </c>
      <c r="NWW236" s="1077">
        <v>8298541</v>
      </c>
      <c r="NWX236" s="1077">
        <v>8298541</v>
      </c>
      <c r="NWY236" s="1077">
        <v>8298541</v>
      </c>
      <c r="NWZ236" s="1077">
        <v>8298541</v>
      </c>
      <c r="NXA236" s="1077">
        <v>8298541</v>
      </c>
      <c r="NXB236" s="1077">
        <v>8298541</v>
      </c>
      <c r="NXC236" s="1077">
        <v>8298541</v>
      </c>
      <c r="NXD236" s="1077">
        <v>8298541</v>
      </c>
      <c r="NXE236" s="1077">
        <v>8298541</v>
      </c>
      <c r="NXF236" s="1077">
        <v>8298541</v>
      </c>
      <c r="NXG236" s="1077">
        <v>8298541</v>
      </c>
      <c r="NXH236" s="1077">
        <v>8298541</v>
      </c>
      <c r="NXI236" s="1077">
        <v>8298541</v>
      </c>
      <c r="NXJ236" s="1077">
        <v>8298541</v>
      </c>
      <c r="NXK236" s="1077">
        <v>8298541</v>
      </c>
      <c r="NXL236" s="1077">
        <v>8298541</v>
      </c>
      <c r="NXM236" s="1077">
        <v>8298541</v>
      </c>
      <c r="NXN236" s="1077">
        <v>8298541</v>
      </c>
      <c r="NXO236" s="1077">
        <v>8298541</v>
      </c>
      <c r="NXP236" s="1077">
        <v>8298541</v>
      </c>
      <c r="NXQ236" s="1077">
        <v>8298541</v>
      </c>
      <c r="NXR236" s="1077">
        <v>8298541</v>
      </c>
      <c r="NXS236" s="1077">
        <v>8298541</v>
      </c>
      <c r="NXT236" s="1077">
        <v>8298541</v>
      </c>
      <c r="NXU236" s="1077">
        <v>8298541</v>
      </c>
      <c r="NXV236" s="1077">
        <v>8298541</v>
      </c>
      <c r="NXW236" s="1077">
        <v>8298541</v>
      </c>
      <c r="NXX236" s="1077">
        <v>8298541</v>
      </c>
      <c r="NXY236" s="1077">
        <v>8298541</v>
      </c>
      <c r="NXZ236" s="1077">
        <v>8298541</v>
      </c>
      <c r="NYA236" s="1077">
        <v>8298541</v>
      </c>
      <c r="NYB236" s="1077">
        <v>8298541</v>
      </c>
      <c r="NYC236" s="1077">
        <v>8298541</v>
      </c>
      <c r="NYD236" s="1077">
        <v>8298541</v>
      </c>
      <c r="NYE236" s="1077">
        <v>8298541</v>
      </c>
      <c r="NYF236" s="1077">
        <v>8298541</v>
      </c>
      <c r="NYG236" s="1077">
        <v>8298541</v>
      </c>
      <c r="NYH236" s="1077">
        <v>8298541</v>
      </c>
      <c r="NYI236" s="1077">
        <v>8298541</v>
      </c>
      <c r="NYJ236" s="1077">
        <v>8298541</v>
      </c>
      <c r="NYK236" s="1077">
        <v>8298541</v>
      </c>
      <c r="NYL236" s="1077">
        <v>8298541</v>
      </c>
      <c r="NYM236" s="1077">
        <v>8298541</v>
      </c>
      <c r="NYN236" s="1077">
        <v>8298541</v>
      </c>
      <c r="NYO236" s="1077">
        <v>8298541</v>
      </c>
      <c r="NYP236" s="1077">
        <v>8298541</v>
      </c>
      <c r="NYQ236" s="1077">
        <v>8298541</v>
      </c>
      <c r="NYR236" s="1077">
        <v>8298541</v>
      </c>
      <c r="NYS236" s="1077">
        <v>8298541</v>
      </c>
      <c r="NYT236" s="1077">
        <v>8298541</v>
      </c>
      <c r="NYU236" s="1077">
        <v>8298541</v>
      </c>
      <c r="NYV236" s="1077">
        <v>8298541</v>
      </c>
      <c r="NYW236" s="1077">
        <v>8298541</v>
      </c>
      <c r="NYX236" s="1077">
        <v>8298541</v>
      </c>
      <c r="NYY236" s="1077">
        <v>8298541</v>
      </c>
      <c r="NYZ236" s="1077">
        <v>8298541</v>
      </c>
      <c r="NZA236" s="1077">
        <v>8298541</v>
      </c>
      <c r="NZB236" s="1077">
        <v>8298541</v>
      </c>
      <c r="NZC236" s="1077">
        <v>8298541</v>
      </c>
      <c r="NZD236" s="1077">
        <v>8298541</v>
      </c>
      <c r="NZE236" s="1077">
        <v>8298541</v>
      </c>
      <c r="NZF236" s="1077">
        <v>8298541</v>
      </c>
      <c r="NZG236" s="1077">
        <v>8298541</v>
      </c>
      <c r="NZH236" s="1077">
        <v>8298541</v>
      </c>
      <c r="NZI236" s="1077">
        <v>8298541</v>
      </c>
      <c r="NZJ236" s="1077">
        <v>8298541</v>
      </c>
      <c r="NZK236" s="1077">
        <v>8298541</v>
      </c>
      <c r="NZL236" s="1077">
        <v>8298541</v>
      </c>
      <c r="NZM236" s="1077">
        <v>8298541</v>
      </c>
      <c r="NZN236" s="1077">
        <v>8298541</v>
      </c>
      <c r="NZO236" s="1077">
        <v>8298541</v>
      </c>
      <c r="NZP236" s="1077">
        <v>8298541</v>
      </c>
      <c r="NZQ236" s="1077">
        <v>8298541</v>
      </c>
      <c r="NZR236" s="1077">
        <v>8298541</v>
      </c>
      <c r="NZS236" s="1077">
        <v>8298541</v>
      </c>
      <c r="NZT236" s="1077">
        <v>8298541</v>
      </c>
      <c r="NZU236" s="1077">
        <v>8298541</v>
      </c>
      <c r="NZV236" s="1077">
        <v>8298541</v>
      </c>
      <c r="NZW236" s="1077">
        <v>8298541</v>
      </c>
      <c r="NZX236" s="1077">
        <v>8298541</v>
      </c>
      <c r="NZY236" s="1077">
        <v>8298541</v>
      </c>
      <c r="NZZ236" s="1077">
        <v>8298541</v>
      </c>
      <c r="OAA236" s="1077">
        <v>8298541</v>
      </c>
      <c r="OAB236" s="1077">
        <v>8298541</v>
      </c>
      <c r="OAC236" s="1077">
        <v>8298541</v>
      </c>
      <c r="OAD236" s="1077">
        <v>8298541</v>
      </c>
      <c r="OAE236" s="1077">
        <v>8298541</v>
      </c>
      <c r="OAF236" s="1077">
        <v>8298541</v>
      </c>
      <c r="OAG236" s="1077">
        <v>8298541</v>
      </c>
      <c r="OAH236" s="1077">
        <v>8298541</v>
      </c>
      <c r="OAI236" s="1077">
        <v>8298541</v>
      </c>
      <c r="OAJ236" s="1077">
        <v>8298541</v>
      </c>
      <c r="OAK236" s="1077">
        <v>8298541</v>
      </c>
      <c r="OAL236" s="1077">
        <v>8298541</v>
      </c>
      <c r="OAM236" s="1077">
        <v>8298541</v>
      </c>
      <c r="OAN236" s="1077">
        <v>8298541</v>
      </c>
      <c r="OAO236" s="1077">
        <v>8298541</v>
      </c>
      <c r="OAP236" s="1077">
        <v>8298541</v>
      </c>
      <c r="OAQ236" s="1077">
        <v>8298541</v>
      </c>
      <c r="OAR236" s="1077">
        <v>8298541</v>
      </c>
      <c r="OAS236" s="1077">
        <v>8298541</v>
      </c>
      <c r="OAT236" s="1077">
        <v>8298541</v>
      </c>
      <c r="OAU236" s="1077">
        <v>8298541</v>
      </c>
      <c r="OAV236" s="1077">
        <v>8298541</v>
      </c>
      <c r="OAW236" s="1077">
        <v>8298541</v>
      </c>
      <c r="OAX236" s="1077">
        <v>8298541</v>
      </c>
      <c r="OAY236" s="1077">
        <v>8298541</v>
      </c>
      <c r="OAZ236" s="1077">
        <v>8298541</v>
      </c>
      <c r="OBA236" s="1077">
        <v>8298541</v>
      </c>
      <c r="OBB236" s="1077">
        <v>8298541</v>
      </c>
      <c r="OBC236" s="1077">
        <v>8298541</v>
      </c>
      <c r="OBD236" s="1077">
        <v>8298541</v>
      </c>
      <c r="OBE236" s="1077">
        <v>8298541</v>
      </c>
      <c r="OBF236" s="1077">
        <v>8298541</v>
      </c>
      <c r="OBG236" s="1077">
        <v>8298541</v>
      </c>
      <c r="OBH236" s="1077">
        <v>8298541</v>
      </c>
      <c r="OBI236" s="1077">
        <v>8298541</v>
      </c>
      <c r="OBJ236" s="1077">
        <v>8298541</v>
      </c>
      <c r="OBK236" s="1077">
        <v>8298541</v>
      </c>
      <c r="OBL236" s="1077">
        <v>8298541</v>
      </c>
      <c r="OBM236" s="1077">
        <v>8298541</v>
      </c>
      <c r="OBN236" s="1077">
        <v>8298541</v>
      </c>
      <c r="OBO236" s="1077">
        <v>8298541</v>
      </c>
      <c r="OBP236" s="1077">
        <v>8298541</v>
      </c>
      <c r="OBQ236" s="1077">
        <v>8298541</v>
      </c>
      <c r="OBR236" s="1077">
        <v>8298541</v>
      </c>
      <c r="OBS236" s="1077">
        <v>8298541</v>
      </c>
      <c r="OBT236" s="1077">
        <v>8298541</v>
      </c>
      <c r="OBU236" s="1077">
        <v>8298541</v>
      </c>
      <c r="OBV236" s="1077">
        <v>8298541</v>
      </c>
      <c r="OBW236" s="1077">
        <v>8298541</v>
      </c>
      <c r="OBX236" s="1077">
        <v>8298541</v>
      </c>
      <c r="OBY236" s="1077">
        <v>8298541</v>
      </c>
      <c r="OBZ236" s="1077">
        <v>8298541</v>
      </c>
      <c r="OCA236" s="1077">
        <v>8298541</v>
      </c>
      <c r="OCB236" s="1077">
        <v>8298541</v>
      </c>
      <c r="OCC236" s="1077">
        <v>8298541</v>
      </c>
      <c r="OCD236" s="1077">
        <v>8298541</v>
      </c>
      <c r="OCE236" s="1077">
        <v>8298541</v>
      </c>
      <c r="OCF236" s="1077">
        <v>8298541</v>
      </c>
      <c r="OCG236" s="1077">
        <v>8298541</v>
      </c>
      <c r="OCH236" s="1077">
        <v>8298541</v>
      </c>
      <c r="OCI236" s="1077">
        <v>8298541</v>
      </c>
      <c r="OCJ236" s="1077">
        <v>8298541</v>
      </c>
      <c r="OCK236" s="1077">
        <v>8298541</v>
      </c>
      <c r="OCL236" s="1077">
        <v>8298541</v>
      </c>
      <c r="OCM236" s="1077">
        <v>8298541</v>
      </c>
      <c r="OCN236" s="1077">
        <v>8298541</v>
      </c>
      <c r="OCO236" s="1077">
        <v>8298541</v>
      </c>
      <c r="OCP236" s="1077">
        <v>8298541</v>
      </c>
      <c r="OCQ236" s="1077">
        <v>8298541</v>
      </c>
      <c r="OCR236" s="1077">
        <v>8298541</v>
      </c>
      <c r="OCS236" s="1077">
        <v>8298541</v>
      </c>
      <c r="OCT236" s="1077">
        <v>8298541</v>
      </c>
      <c r="OCU236" s="1077">
        <v>8298541</v>
      </c>
      <c r="OCV236" s="1077">
        <v>8298541</v>
      </c>
      <c r="OCW236" s="1077">
        <v>8298541</v>
      </c>
      <c r="OCX236" s="1077">
        <v>8298541</v>
      </c>
      <c r="OCY236" s="1077">
        <v>8298541</v>
      </c>
      <c r="OCZ236" s="1077">
        <v>8298541</v>
      </c>
      <c r="ODA236" s="1077">
        <v>8298541</v>
      </c>
      <c r="ODB236" s="1077">
        <v>8298541</v>
      </c>
      <c r="ODC236" s="1077">
        <v>8298541</v>
      </c>
      <c r="ODD236" s="1077">
        <v>8298541</v>
      </c>
      <c r="ODE236" s="1077">
        <v>8298541</v>
      </c>
      <c r="ODF236" s="1077">
        <v>8298541</v>
      </c>
      <c r="ODG236" s="1077">
        <v>8298541</v>
      </c>
      <c r="ODH236" s="1077">
        <v>8298541</v>
      </c>
      <c r="ODI236" s="1077">
        <v>8298541</v>
      </c>
      <c r="ODJ236" s="1077">
        <v>8298541</v>
      </c>
      <c r="ODK236" s="1077">
        <v>8298541</v>
      </c>
      <c r="ODL236" s="1077">
        <v>8298541</v>
      </c>
      <c r="ODM236" s="1077">
        <v>8298541</v>
      </c>
      <c r="ODN236" s="1077">
        <v>8298541</v>
      </c>
      <c r="ODO236" s="1077">
        <v>8298541</v>
      </c>
      <c r="ODP236" s="1077">
        <v>8298541</v>
      </c>
      <c r="ODQ236" s="1077">
        <v>8298541</v>
      </c>
      <c r="ODR236" s="1077">
        <v>8298541</v>
      </c>
      <c r="ODS236" s="1077">
        <v>8298541</v>
      </c>
      <c r="ODT236" s="1077">
        <v>8298541</v>
      </c>
      <c r="ODU236" s="1077">
        <v>8298541</v>
      </c>
      <c r="ODV236" s="1077">
        <v>8298541</v>
      </c>
      <c r="ODW236" s="1077">
        <v>8298541</v>
      </c>
      <c r="ODX236" s="1077">
        <v>8298541</v>
      </c>
      <c r="ODY236" s="1077">
        <v>8298541</v>
      </c>
      <c r="ODZ236" s="1077">
        <v>8298541</v>
      </c>
      <c r="OEA236" s="1077">
        <v>8298541</v>
      </c>
      <c r="OEB236" s="1077">
        <v>8298541</v>
      </c>
      <c r="OEC236" s="1077">
        <v>8298541</v>
      </c>
      <c r="OED236" s="1077">
        <v>8298541</v>
      </c>
      <c r="OEE236" s="1077">
        <v>8298541</v>
      </c>
      <c r="OEF236" s="1077">
        <v>8298541</v>
      </c>
      <c r="OEG236" s="1077">
        <v>8298541</v>
      </c>
      <c r="OEH236" s="1077">
        <v>8298541</v>
      </c>
      <c r="OEI236" s="1077">
        <v>8298541</v>
      </c>
      <c r="OEJ236" s="1077">
        <v>8298541</v>
      </c>
      <c r="OEK236" s="1077">
        <v>8298541</v>
      </c>
      <c r="OEL236" s="1077">
        <v>8298541</v>
      </c>
      <c r="OEM236" s="1077">
        <v>8298541</v>
      </c>
      <c r="OEN236" s="1077">
        <v>8298541</v>
      </c>
      <c r="OEO236" s="1077">
        <v>8298541</v>
      </c>
      <c r="OEP236" s="1077">
        <v>8298541</v>
      </c>
      <c r="OEQ236" s="1077">
        <v>8298541</v>
      </c>
      <c r="OER236" s="1077">
        <v>8298541</v>
      </c>
      <c r="OES236" s="1077">
        <v>8298541</v>
      </c>
      <c r="OET236" s="1077">
        <v>8298541</v>
      </c>
      <c r="OEU236" s="1077">
        <v>8298541</v>
      </c>
      <c r="OEV236" s="1077">
        <v>8298541</v>
      </c>
      <c r="OEW236" s="1077">
        <v>8298541</v>
      </c>
      <c r="OEX236" s="1077">
        <v>8298541</v>
      </c>
      <c r="OEY236" s="1077">
        <v>8298541</v>
      </c>
      <c r="OEZ236" s="1077">
        <v>8298541</v>
      </c>
      <c r="OFA236" s="1077">
        <v>8298541</v>
      </c>
      <c r="OFB236" s="1077">
        <v>8298541</v>
      </c>
      <c r="OFC236" s="1077">
        <v>8298541</v>
      </c>
      <c r="OFD236" s="1077">
        <v>8298541</v>
      </c>
      <c r="OFE236" s="1077">
        <v>8298541</v>
      </c>
      <c r="OFF236" s="1077">
        <v>8298541</v>
      </c>
      <c r="OFG236" s="1077">
        <v>8298541</v>
      </c>
      <c r="OFH236" s="1077">
        <v>8298541</v>
      </c>
      <c r="OFI236" s="1077">
        <v>8298541</v>
      </c>
      <c r="OFJ236" s="1077">
        <v>8298541</v>
      </c>
      <c r="OFK236" s="1077">
        <v>8298541</v>
      </c>
      <c r="OFL236" s="1077">
        <v>8298541</v>
      </c>
      <c r="OFM236" s="1077">
        <v>8298541</v>
      </c>
      <c r="OFN236" s="1077">
        <v>8298541</v>
      </c>
      <c r="OFO236" s="1077">
        <v>8298541</v>
      </c>
      <c r="OFP236" s="1077">
        <v>8298541</v>
      </c>
      <c r="OFQ236" s="1077">
        <v>8298541</v>
      </c>
      <c r="OFR236" s="1077">
        <v>8298541</v>
      </c>
      <c r="OFS236" s="1077">
        <v>8298541</v>
      </c>
      <c r="OFT236" s="1077">
        <v>8298541</v>
      </c>
      <c r="OFU236" s="1077">
        <v>8298541</v>
      </c>
      <c r="OFV236" s="1077">
        <v>8298541</v>
      </c>
      <c r="OFW236" s="1077">
        <v>8298541</v>
      </c>
      <c r="OFX236" s="1077">
        <v>8298541</v>
      </c>
      <c r="OFY236" s="1077">
        <v>8298541</v>
      </c>
      <c r="OFZ236" s="1077">
        <v>8298541</v>
      </c>
      <c r="OGA236" s="1077">
        <v>8298541</v>
      </c>
      <c r="OGB236" s="1077">
        <v>8298541</v>
      </c>
      <c r="OGC236" s="1077">
        <v>8298541</v>
      </c>
      <c r="OGD236" s="1077">
        <v>8298541</v>
      </c>
      <c r="OGE236" s="1077">
        <v>8298541</v>
      </c>
      <c r="OGF236" s="1077">
        <v>8298541</v>
      </c>
      <c r="OGG236" s="1077">
        <v>8298541</v>
      </c>
      <c r="OGH236" s="1077">
        <v>8298541</v>
      </c>
      <c r="OGI236" s="1077">
        <v>8298541</v>
      </c>
      <c r="OGJ236" s="1077">
        <v>8298541</v>
      </c>
      <c r="OGK236" s="1077">
        <v>8298541</v>
      </c>
      <c r="OGL236" s="1077">
        <v>8298541</v>
      </c>
      <c r="OGM236" s="1077">
        <v>8298541</v>
      </c>
      <c r="OGN236" s="1077">
        <v>8298541</v>
      </c>
      <c r="OGO236" s="1077">
        <v>8298541</v>
      </c>
      <c r="OGP236" s="1077">
        <v>8298541</v>
      </c>
      <c r="OGQ236" s="1077">
        <v>8298541</v>
      </c>
      <c r="OGR236" s="1077">
        <v>8298541</v>
      </c>
      <c r="OGS236" s="1077">
        <v>8298541</v>
      </c>
      <c r="OGT236" s="1077">
        <v>8298541</v>
      </c>
      <c r="OGU236" s="1077">
        <v>8298541</v>
      </c>
      <c r="OGV236" s="1077">
        <v>8298541</v>
      </c>
      <c r="OGW236" s="1077">
        <v>8298541</v>
      </c>
      <c r="OGX236" s="1077">
        <v>8298541</v>
      </c>
      <c r="OGY236" s="1077">
        <v>8298541</v>
      </c>
      <c r="OGZ236" s="1077">
        <v>8298541</v>
      </c>
      <c r="OHA236" s="1077">
        <v>8298541</v>
      </c>
      <c r="OHB236" s="1077">
        <v>8298541</v>
      </c>
      <c r="OHC236" s="1077">
        <v>8298541</v>
      </c>
      <c r="OHD236" s="1077">
        <v>8298541</v>
      </c>
      <c r="OHE236" s="1077">
        <v>8298541</v>
      </c>
      <c r="OHF236" s="1077">
        <v>8298541</v>
      </c>
      <c r="OHG236" s="1077">
        <v>8298541</v>
      </c>
      <c r="OHH236" s="1077">
        <v>8298541</v>
      </c>
      <c r="OHI236" s="1077">
        <v>8298541</v>
      </c>
      <c r="OHJ236" s="1077">
        <v>8298541</v>
      </c>
      <c r="OHK236" s="1077">
        <v>8298541</v>
      </c>
      <c r="OHL236" s="1077">
        <v>8298541</v>
      </c>
      <c r="OHM236" s="1077">
        <v>8298541</v>
      </c>
      <c r="OHN236" s="1077">
        <v>8298541</v>
      </c>
      <c r="OHO236" s="1077">
        <v>8298541</v>
      </c>
      <c r="OHP236" s="1077">
        <v>8298541</v>
      </c>
      <c r="OHQ236" s="1077">
        <v>8298541</v>
      </c>
      <c r="OHR236" s="1077">
        <v>8298541</v>
      </c>
      <c r="OHS236" s="1077">
        <v>8298541</v>
      </c>
      <c r="OHT236" s="1077">
        <v>8298541</v>
      </c>
      <c r="OHU236" s="1077">
        <v>8298541</v>
      </c>
      <c r="OHV236" s="1077">
        <v>8298541</v>
      </c>
      <c r="OHW236" s="1077">
        <v>8298541</v>
      </c>
      <c r="OHX236" s="1077">
        <v>8298541</v>
      </c>
      <c r="OHY236" s="1077">
        <v>8298541</v>
      </c>
      <c r="OHZ236" s="1077">
        <v>8298541</v>
      </c>
      <c r="OIA236" s="1077">
        <v>8298541</v>
      </c>
      <c r="OIB236" s="1077">
        <v>8298541</v>
      </c>
      <c r="OIC236" s="1077">
        <v>8298541</v>
      </c>
      <c r="OID236" s="1077">
        <v>8298541</v>
      </c>
      <c r="OIE236" s="1077">
        <v>8298541</v>
      </c>
      <c r="OIF236" s="1077">
        <v>8298541</v>
      </c>
      <c r="OIG236" s="1077">
        <v>8298541</v>
      </c>
      <c r="OIH236" s="1077">
        <v>8298541</v>
      </c>
      <c r="OII236" s="1077">
        <v>8298541</v>
      </c>
      <c r="OIJ236" s="1077">
        <v>8298541</v>
      </c>
      <c r="OIK236" s="1077">
        <v>8298541</v>
      </c>
      <c r="OIL236" s="1077">
        <v>8298541</v>
      </c>
      <c r="OIM236" s="1077">
        <v>8298541</v>
      </c>
      <c r="OIN236" s="1077">
        <v>8298541</v>
      </c>
      <c r="OIO236" s="1077">
        <v>8298541</v>
      </c>
      <c r="OIP236" s="1077">
        <v>8298541</v>
      </c>
      <c r="OIQ236" s="1077">
        <v>8298541</v>
      </c>
      <c r="OIR236" s="1077">
        <v>8298541</v>
      </c>
      <c r="OIS236" s="1077">
        <v>8298541</v>
      </c>
      <c r="OIT236" s="1077">
        <v>8298541</v>
      </c>
      <c r="OIU236" s="1077">
        <v>8298541</v>
      </c>
      <c r="OIV236" s="1077">
        <v>8298541</v>
      </c>
      <c r="OIW236" s="1077">
        <v>8298541</v>
      </c>
      <c r="OIX236" s="1077">
        <v>8298541</v>
      </c>
      <c r="OIY236" s="1077">
        <v>8298541</v>
      </c>
      <c r="OIZ236" s="1077">
        <v>8298541</v>
      </c>
      <c r="OJA236" s="1077">
        <v>8298541</v>
      </c>
      <c r="OJB236" s="1077">
        <v>8298541</v>
      </c>
      <c r="OJC236" s="1077">
        <v>8298541</v>
      </c>
      <c r="OJD236" s="1077">
        <v>8298541</v>
      </c>
      <c r="OJE236" s="1077">
        <v>8298541</v>
      </c>
      <c r="OJF236" s="1077">
        <v>8298541</v>
      </c>
      <c r="OJG236" s="1077">
        <v>8298541</v>
      </c>
      <c r="OJH236" s="1077">
        <v>8298541</v>
      </c>
      <c r="OJI236" s="1077">
        <v>8298541</v>
      </c>
      <c r="OJJ236" s="1077">
        <v>8298541</v>
      </c>
      <c r="OJK236" s="1077">
        <v>8298541</v>
      </c>
      <c r="OJL236" s="1077">
        <v>8298541</v>
      </c>
      <c r="OJM236" s="1077">
        <v>8298541</v>
      </c>
      <c r="OJN236" s="1077">
        <v>8298541</v>
      </c>
      <c r="OJO236" s="1077">
        <v>8298541</v>
      </c>
      <c r="OJP236" s="1077">
        <v>8298541</v>
      </c>
      <c r="OJQ236" s="1077">
        <v>8298541</v>
      </c>
      <c r="OJR236" s="1077">
        <v>8298541</v>
      </c>
      <c r="OJS236" s="1077">
        <v>8298541</v>
      </c>
      <c r="OJT236" s="1077">
        <v>8298541</v>
      </c>
      <c r="OJU236" s="1077">
        <v>8298541</v>
      </c>
      <c r="OJV236" s="1077">
        <v>8298541</v>
      </c>
      <c r="OJW236" s="1077">
        <v>8298541</v>
      </c>
      <c r="OJX236" s="1077">
        <v>8298541</v>
      </c>
      <c r="OJY236" s="1077">
        <v>8298541</v>
      </c>
      <c r="OJZ236" s="1077">
        <v>8298541</v>
      </c>
      <c r="OKA236" s="1077">
        <v>8298541</v>
      </c>
      <c r="OKB236" s="1077">
        <v>8298541</v>
      </c>
      <c r="OKC236" s="1077">
        <v>8298541</v>
      </c>
      <c r="OKD236" s="1077">
        <v>8298541</v>
      </c>
      <c r="OKE236" s="1077">
        <v>8298541</v>
      </c>
      <c r="OKF236" s="1077">
        <v>8298541</v>
      </c>
      <c r="OKG236" s="1077">
        <v>8298541</v>
      </c>
      <c r="OKH236" s="1077">
        <v>8298541</v>
      </c>
      <c r="OKI236" s="1077">
        <v>8298541</v>
      </c>
      <c r="OKJ236" s="1077">
        <v>8298541</v>
      </c>
      <c r="OKK236" s="1077">
        <v>8298541</v>
      </c>
      <c r="OKL236" s="1077">
        <v>8298541</v>
      </c>
      <c r="OKM236" s="1077">
        <v>8298541</v>
      </c>
      <c r="OKN236" s="1077">
        <v>8298541</v>
      </c>
      <c r="OKO236" s="1077">
        <v>8298541</v>
      </c>
      <c r="OKP236" s="1077">
        <v>8298541</v>
      </c>
      <c r="OKQ236" s="1077">
        <v>8298541</v>
      </c>
      <c r="OKR236" s="1077">
        <v>8298541</v>
      </c>
      <c r="OKS236" s="1077">
        <v>8298541</v>
      </c>
      <c r="OKT236" s="1077">
        <v>8298541</v>
      </c>
      <c r="OKU236" s="1077">
        <v>8298541</v>
      </c>
      <c r="OKV236" s="1077">
        <v>8298541</v>
      </c>
      <c r="OKW236" s="1077">
        <v>8298541</v>
      </c>
      <c r="OKX236" s="1077">
        <v>8298541</v>
      </c>
      <c r="OKY236" s="1077">
        <v>8298541</v>
      </c>
      <c r="OKZ236" s="1077">
        <v>8298541</v>
      </c>
      <c r="OLA236" s="1077">
        <v>8298541</v>
      </c>
      <c r="OLB236" s="1077">
        <v>8298541</v>
      </c>
      <c r="OLC236" s="1077">
        <v>8298541</v>
      </c>
      <c r="OLD236" s="1077">
        <v>8298541</v>
      </c>
      <c r="OLE236" s="1077">
        <v>8298541</v>
      </c>
      <c r="OLF236" s="1077">
        <v>8298541</v>
      </c>
      <c r="OLG236" s="1077">
        <v>8298541</v>
      </c>
      <c r="OLH236" s="1077">
        <v>8298541</v>
      </c>
      <c r="OLI236" s="1077">
        <v>8298541</v>
      </c>
      <c r="OLJ236" s="1077">
        <v>8298541</v>
      </c>
      <c r="OLK236" s="1077">
        <v>8298541</v>
      </c>
      <c r="OLL236" s="1077">
        <v>8298541</v>
      </c>
      <c r="OLM236" s="1077">
        <v>8298541</v>
      </c>
      <c r="OLN236" s="1077">
        <v>8298541</v>
      </c>
      <c r="OLO236" s="1077">
        <v>8298541</v>
      </c>
      <c r="OLP236" s="1077">
        <v>8298541</v>
      </c>
      <c r="OLQ236" s="1077">
        <v>8298541</v>
      </c>
      <c r="OLR236" s="1077">
        <v>8298541</v>
      </c>
      <c r="OLS236" s="1077">
        <v>8298541</v>
      </c>
      <c r="OLT236" s="1077">
        <v>8298541</v>
      </c>
      <c r="OLU236" s="1077">
        <v>8298541</v>
      </c>
      <c r="OLV236" s="1077">
        <v>8298541</v>
      </c>
      <c r="OLW236" s="1077">
        <v>8298541</v>
      </c>
      <c r="OLX236" s="1077">
        <v>8298541</v>
      </c>
      <c r="OLY236" s="1077">
        <v>8298541</v>
      </c>
      <c r="OLZ236" s="1077">
        <v>8298541</v>
      </c>
      <c r="OMA236" s="1077">
        <v>8298541</v>
      </c>
      <c r="OMB236" s="1077">
        <v>8298541</v>
      </c>
      <c r="OMC236" s="1077">
        <v>8298541</v>
      </c>
      <c r="OMD236" s="1077">
        <v>8298541</v>
      </c>
      <c r="OME236" s="1077">
        <v>8298541</v>
      </c>
      <c r="OMF236" s="1077">
        <v>8298541</v>
      </c>
      <c r="OMG236" s="1077">
        <v>8298541</v>
      </c>
      <c r="OMH236" s="1077">
        <v>8298541</v>
      </c>
      <c r="OMI236" s="1077">
        <v>8298541</v>
      </c>
      <c r="OMJ236" s="1077">
        <v>8298541</v>
      </c>
      <c r="OMK236" s="1077">
        <v>8298541</v>
      </c>
      <c r="OML236" s="1077">
        <v>8298541</v>
      </c>
      <c r="OMM236" s="1077">
        <v>8298541</v>
      </c>
      <c r="OMN236" s="1077">
        <v>8298541</v>
      </c>
      <c r="OMO236" s="1077">
        <v>8298541</v>
      </c>
      <c r="OMP236" s="1077">
        <v>8298541</v>
      </c>
      <c r="OMQ236" s="1077">
        <v>8298541</v>
      </c>
      <c r="OMR236" s="1077">
        <v>8298541</v>
      </c>
      <c r="OMS236" s="1077">
        <v>8298541</v>
      </c>
      <c r="OMT236" s="1077">
        <v>8298541</v>
      </c>
      <c r="OMU236" s="1077">
        <v>8298541</v>
      </c>
      <c r="OMV236" s="1077">
        <v>8298541</v>
      </c>
      <c r="OMW236" s="1077">
        <v>8298541</v>
      </c>
      <c r="OMX236" s="1077">
        <v>8298541</v>
      </c>
      <c r="OMY236" s="1077">
        <v>8298541</v>
      </c>
      <c r="OMZ236" s="1077">
        <v>8298541</v>
      </c>
      <c r="ONA236" s="1077">
        <v>8298541</v>
      </c>
      <c r="ONB236" s="1077">
        <v>8298541</v>
      </c>
      <c r="ONC236" s="1077">
        <v>8298541</v>
      </c>
      <c r="OND236" s="1077">
        <v>8298541</v>
      </c>
      <c r="ONE236" s="1077">
        <v>8298541</v>
      </c>
      <c r="ONF236" s="1077">
        <v>8298541</v>
      </c>
      <c r="ONG236" s="1077">
        <v>8298541</v>
      </c>
      <c r="ONH236" s="1077">
        <v>8298541</v>
      </c>
      <c r="ONI236" s="1077">
        <v>8298541</v>
      </c>
      <c r="ONJ236" s="1077">
        <v>8298541</v>
      </c>
      <c r="ONK236" s="1077">
        <v>8298541</v>
      </c>
      <c r="ONL236" s="1077">
        <v>8298541</v>
      </c>
      <c r="ONM236" s="1077">
        <v>8298541</v>
      </c>
      <c r="ONN236" s="1077">
        <v>8298541</v>
      </c>
      <c r="ONO236" s="1077">
        <v>8298541</v>
      </c>
      <c r="ONP236" s="1077">
        <v>8298541</v>
      </c>
      <c r="ONQ236" s="1077">
        <v>8298541</v>
      </c>
      <c r="ONR236" s="1077">
        <v>8298541</v>
      </c>
      <c r="ONS236" s="1077">
        <v>8298541</v>
      </c>
      <c r="ONT236" s="1077">
        <v>8298541</v>
      </c>
      <c r="ONU236" s="1077">
        <v>8298541</v>
      </c>
      <c r="ONV236" s="1077">
        <v>8298541</v>
      </c>
      <c r="ONW236" s="1077">
        <v>8298541</v>
      </c>
      <c r="ONX236" s="1077">
        <v>8298541</v>
      </c>
      <c r="ONY236" s="1077">
        <v>8298541</v>
      </c>
      <c r="ONZ236" s="1077">
        <v>8298541</v>
      </c>
      <c r="OOA236" s="1077">
        <v>8298541</v>
      </c>
      <c r="OOB236" s="1077">
        <v>8298541</v>
      </c>
      <c r="OOC236" s="1077">
        <v>8298541</v>
      </c>
      <c r="OOD236" s="1077">
        <v>8298541</v>
      </c>
      <c r="OOE236" s="1077">
        <v>8298541</v>
      </c>
      <c r="OOF236" s="1077">
        <v>8298541</v>
      </c>
      <c r="OOG236" s="1077">
        <v>8298541</v>
      </c>
      <c r="OOH236" s="1077">
        <v>8298541</v>
      </c>
      <c r="OOI236" s="1077">
        <v>8298541</v>
      </c>
      <c r="OOJ236" s="1077">
        <v>8298541</v>
      </c>
      <c r="OOK236" s="1077">
        <v>8298541</v>
      </c>
      <c r="OOL236" s="1077">
        <v>8298541</v>
      </c>
      <c r="OOM236" s="1077">
        <v>8298541</v>
      </c>
      <c r="OON236" s="1077">
        <v>8298541</v>
      </c>
      <c r="OOO236" s="1077">
        <v>8298541</v>
      </c>
      <c r="OOP236" s="1077">
        <v>8298541</v>
      </c>
      <c r="OOQ236" s="1077">
        <v>8298541</v>
      </c>
      <c r="OOR236" s="1077">
        <v>8298541</v>
      </c>
      <c r="OOS236" s="1077">
        <v>8298541</v>
      </c>
      <c r="OOT236" s="1077">
        <v>8298541</v>
      </c>
      <c r="OOU236" s="1077">
        <v>8298541</v>
      </c>
      <c r="OOV236" s="1077">
        <v>8298541</v>
      </c>
      <c r="OOW236" s="1077">
        <v>8298541</v>
      </c>
      <c r="OOX236" s="1077">
        <v>8298541</v>
      </c>
      <c r="OOY236" s="1077">
        <v>8298541</v>
      </c>
      <c r="OOZ236" s="1077">
        <v>8298541</v>
      </c>
      <c r="OPA236" s="1077">
        <v>8298541</v>
      </c>
      <c r="OPB236" s="1077">
        <v>8298541</v>
      </c>
      <c r="OPC236" s="1077">
        <v>8298541</v>
      </c>
      <c r="OPD236" s="1077">
        <v>8298541</v>
      </c>
      <c r="OPE236" s="1077">
        <v>8298541</v>
      </c>
      <c r="OPF236" s="1077">
        <v>8298541</v>
      </c>
      <c r="OPG236" s="1077">
        <v>8298541</v>
      </c>
      <c r="OPH236" s="1077">
        <v>8298541</v>
      </c>
      <c r="OPI236" s="1077">
        <v>8298541</v>
      </c>
      <c r="OPJ236" s="1077">
        <v>8298541</v>
      </c>
      <c r="OPK236" s="1077">
        <v>8298541</v>
      </c>
      <c r="OPL236" s="1077">
        <v>8298541</v>
      </c>
      <c r="OPM236" s="1077">
        <v>8298541</v>
      </c>
      <c r="OPN236" s="1077">
        <v>8298541</v>
      </c>
      <c r="OPO236" s="1077">
        <v>8298541</v>
      </c>
      <c r="OPP236" s="1077">
        <v>8298541</v>
      </c>
      <c r="OPQ236" s="1077">
        <v>8298541</v>
      </c>
      <c r="OPR236" s="1077">
        <v>8298541</v>
      </c>
      <c r="OPS236" s="1077">
        <v>8298541</v>
      </c>
      <c r="OPT236" s="1077">
        <v>8298541</v>
      </c>
      <c r="OPU236" s="1077">
        <v>8298541</v>
      </c>
      <c r="OPV236" s="1077">
        <v>8298541</v>
      </c>
      <c r="OPW236" s="1077">
        <v>8298541</v>
      </c>
      <c r="OPX236" s="1077">
        <v>8298541</v>
      </c>
      <c r="OPY236" s="1077">
        <v>8298541</v>
      </c>
      <c r="OPZ236" s="1077">
        <v>8298541</v>
      </c>
      <c r="OQA236" s="1077">
        <v>8298541</v>
      </c>
      <c r="OQB236" s="1077">
        <v>8298541</v>
      </c>
      <c r="OQC236" s="1077">
        <v>8298541</v>
      </c>
      <c r="OQD236" s="1077">
        <v>8298541</v>
      </c>
      <c r="OQE236" s="1077">
        <v>8298541</v>
      </c>
      <c r="OQF236" s="1077">
        <v>8298541</v>
      </c>
      <c r="OQG236" s="1077">
        <v>8298541</v>
      </c>
      <c r="OQH236" s="1077">
        <v>8298541</v>
      </c>
      <c r="OQI236" s="1077">
        <v>8298541</v>
      </c>
      <c r="OQJ236" s="1077">
        <v>8298541</v>
      </c>
      <c r="OQK236" s="1077">
        <v>8298541</v>
      </c>
      <c r="OQL236" s="1077">
        <v>8298541</v>
      </c>
      <c r="OQM236" s="1077">
        <v>8298541</v>
      </c>
      <c r="OQN236" s="1077">
        <v>8298541</v>
      </c>
      <c r="OQO236" s="1077">
        <v>8298541</v>
      </c>
      <c r="OQP236" s="1077">
        <v>8298541</v>
      </c>
      <c r="OQQ236" s="1077">
        <v>8298541</v>
      </c>
      <c r="OQR236" s="1077">
        <v>8298541</v>
      </c>
      <c r="OQS236" s="1077">
        <v>8298541</v>
      </c>
      <c r="OQT236" s="1077">
        <v>8298541</v>
      </c>
      <c r="OQU236" s="1077">
        <v>8298541</v>
      </c>
      <c r="OQV236" s="1077">
        <v>8298541</v>
      </c>
      <c r="OQW236" s="1077">
        <v>8298541</v>
      </c>
      <c r="OQX236" s="1077">
        <v>8298541</v>
      </c>
      <c r="OQY236" s="1077">
        <v>8298541</v>
      </c>
      <c r="OQZ236" s="1077">
        <v>8298541</v>
      </c>
      <c r="ORA236" s="1077">
        <v>8298541</v>
      </c>
      <c r="ORB236" s="1077">
        <v>8298541</v>
      </c>
      <c r="ORC236" s="1077">
        <v>8298541</v>
      </c>
      <c r="ORD236" s="1077">
        <v>8298541</v>
      </c>
      <c r="ORE236" s="1077">
        <v>8298541</v>
      </c>
      <c r="ORF236" s="1077">
        <v>8298541</v>
      </c>
      <c r="ORG236" s="1077">
        <v>8298541</v>
      </c>
      <c r="ORH236" s="1077">
        <v>8298541</v>
      </c>
      <c r="ORI236" s="1077">
        <v>8298541</v>
      </c>
      <c r="ORJ236" s="1077">
        <v>8298541</v>
      </c>
      <c r="ORK236" s="1077">
        <v>8298541</v>
      </c>
      <c r="ORL236" s="1077">
        <v>8298541</v>
      </c>
      <c r="ORM236" s="1077">
        <v>8298541</v>
      </c>
      <c r="ORN236" s="1077">
        <v>8298541</v>
      </c>
      <c r="ORO236" s="1077">
        <v>8298541</v>
      </c>
      <c r="ORP236" s="1077">
        <v>8298541</v>
      </c>
      <c r="ORQ236" s="1077">
        <v>8298541</v>
      </c>
      <c r="ORR236" s="1077">
        <v>8298541</v>
      </c>
      <c r="ORS236" s="1077">
        <v>8298541</v>
      </c>
      <c r="ORT236" s="1077">
        <v>8298541</v>
      </c>
      <c r="ORU236" s="1077">
        <v>8298541</v>
      </c>
      <c r="ORV236" s="1077">
        <v>8298541</v>
      </c>
      <c r="ORW236" s="1077">
        <v>8298541</v>
      </c>
      <c r="ORX236" s="1077">
        <v>8298541</v>
      </c>
      <c r="ORY236" s="1077">
        <v>8298541</v>
      </c>
      <c r="ORZ236" s="1077">
        <v>8298541</v>
      </c>
      <c r="OSA236" s="1077">
        <v>8298541</v>
      </c>
      <c r="OSB236" s="1077">
        <v>8298541</v>
      </c>
      <c r="OSC236" s="1077">
        <v>8298541</v>
      </c>
      <c r="OSD236" s="1077">
        <v>8298541</v>
      </c>
      <c r="OSE236" s="1077">
        <v>8298541</v>
      </c>
      <c r="OSF236" s="1077">
        <v>8298541</v>
      </c>
      <c r="OSG236" s="1077">
        <v>8298541</v>
      </c>
      <c r="OSH236" s="1077">
        <v>8298541</v>
      </c>
      <c r="OSI236" s="1077">
        <v>8298541</v>
      </c>
      <c r="OSJ236" s="1077">
        <v>8298541</v>
      </c>
      <c r="OSK236" s="1077">
        <v>8298541</v>
      </c>
      <c r="OSL236" s="1077">
        <v>8298541</v>
      </c>
      <c r="OSM236" s="1077">
        <v>8298541</v>
      </c>
      <c r="OSN236" s="1077">
        <v>8298541</v>
      </c>
      <c r="OSO236" s="1077">
        <v>8298541</v>
      </c>
      <c r="OSP236" s="1077">
        <v>8298541</v>
      </c>
      <c r="OSQ236" s="1077">
        <v>8298541</v>
      </c>
      <c r="OSR236" s="1077">
        <v>8298541</v>
      </c>
      <c r="OSS236" s="1077">
        <v>8298541</v>
      </c>
      <c r="OST236" s="1077">
        <v>8298541</v>
      </c>
      <c r="OSU236" s="1077">
        <v>8298541</v>
      </c>
      <c r="OSV236" s="1077">
        <v>8298541</v>
      </c>
      <c r="OSW236" s="1077">
        <v>8298541</v>
      </c>
      <c r="OSX236" s="1077">
        <v>8298541</v>
      </c>
      <c r="OSY236" s="1077">
        <v>8298541</v>
      </c>
      <c r="OSZ236" s="1077">
        <v>8298541</v>
      </c>
      <c r="OTA236" s="1077">
        <v>8298541</v>
      </c>
      <c r="OTB236" s="1077">
        <v>8298541</v>
      </c>
      <c r="OTC236" s="1077">
        <v>8298541</v>
      </c>
      <c r="OTD236" s="1077">
        <v>8298541</v>
      </c>
      <c r="OTE236" s="1077">
        <v>8298541</v>
      </c>
      <c r="OTF236" s="1077">
        <v>8298541</v>
      </c>
      <c r="OTG236" s="1077">
        <v>8298541</v>
      </c>
      <c r="OTH236" s="1077">
        <v>8298541</v>
      </c>
      <c r="OTI236" s="1077">
        <v>8298541</v>
      </c>
      <c r="OTJ236" s="1077">
        <v>8298541</v>
      </c>
      <c r="OTK236" s="1077">
        <v>8298541</v>
      </c>
      <c r="OTL236" s="1077">
        <v>8298541</v>
      </c>
      <c r="OTM236" s="1077">
        <v>8298541</v>
      </c>
      <c r="OTN236" s="1077">
        <v>8298541</v>
      </c>
      <c r="OTO236" s="1077">
        <v>8298541</v>
      </c>
      <c r="OTP236" s="1077">
        <v>8298541</v>
      </c>
      <c r="OTQ236" s="1077">
        <v>8298541</v>
      </c>
      <c r="OTR236" s="1077">
        <v>8298541</v>
      </c>
      <c r="OTS236" s="1077">
        <v>8298541</v>
      </c>
      <c r="OTT236" s="1077">
        <v>8298541</v>
      </c>
      <c r="OTU236" s="1077">
        <v>8298541</v>
      </c>
      <c r="OTV236" s="1077">
        <v>8298541</v>
      </c>
      <c r="OTW236" s="1077">
        <v>8298541</v>
      </c>
      <c r="OTX236" s="1077">
        <v>8298541</v>
      </c>
      <c r="OTY236" s="1077">
        <v>8298541</v>
      </c>
      <c r="OTZ236" s="1077">
        <v>8298541</v>
      </c>
      <c r="OUA236" s="1077">
        <v>8298541</v>
      </c>
      <c r="OUB236" s="1077">
        <v>8298541</v>
      </c>
      <c r="OUC236" s="1077">
        <v>8298541</v>
      </c>
      <c r="OUD236" s="1077">
        <v>8298541</v>
      </c>
      <c r="OUE236" s="1077">
        <v>8298541</v>
      </c>
      <c r="OUF236" s="1077">
        <v>8298541</v>
      </c>
      <c r="OUG236" s="1077">
        <v>8298541</v>
      </c>
      <c r="OUH236" s="1077">
        <v>8298541</v>
      </c>
      <c r="OUI236" s="1077">
        <v>8298541</v>
      </c>
      <c r="OUJ236" s="1077">
        <v>8298541</v>
      </c>
      <c r="OUK236" s="1077">
        <v>8298541</v>
      </c>
      <c r="OUL236" s="1077">
        <v>8298541</v>
      </c>
      <c r="OUM236" s="1077">
        <v>8298541</v>
      </c>
      <c r="OUN236" s="1077">
        <v>8298541</v>
      </c>
      <c r="OUO236" s="1077">
        <v>8298541</v>
      </c>
      <c r="OUP236" s="1077">
        <v>8298541</v>
      </c>
      <c r="OUQ236" s="1077">
        <v>8298541</v>
      </c>
      <c r="OUR236" s="1077">
        <v>8298541</v>
      </c>
      <c r="OUS236" s="1077">
        <v>8298541</v>
      </c>
      <c r="OUT236" s="1077">
        <v>8298541</v>
      </c>
      <c r="OUU236" s="1077">
        <v>8298541</v>
      </c>
      <c r="OUV236" s="1077">
        <v>8298541</v>
      </c>
      <c r="OUW236" s="1077">
        <v>8298541</v>
      </c>
      <c r="OUX236" s="1077">
        <v>8298541</v>
      </c>
      <c r="OUY236" s="1077">
        <v>8298541</v>
      </c>
      <c r="OUZ236" s="1077">
        <v>8298541</v>
      </c>
      <c r="OVA236" s="1077">
        <v>8298541</v>
      </c>
      <c r="OVB236" s="1077">
        <v>8298541</v>
      </c>
      <c r="OVC236" s="1077">
        <v>8298541</v>
      </c>
      <c r="OVD236" s="1077">
        <v>8298541</v>
      </c>
      <c r="OVE236" s="1077">
        <v>8298541</v>
      </c>
      <c r="OVF236" s="1077">
        <v>8298541</v>
      </c>
      <c r="OVG236" s="1077">
        <v>8298541</v>
      </c>
      <c r="OVH236" s="1077">
        <v>8298541</v>
      </c>
      <c r="OVI236" s="1077">
        <v>8298541</v>
      </c>
      <c r="OVJ236" s="1077">
        <v>8298541</v>
      </c>
      <c r="OVK236" s="1077">
        <v>8298541</v>
      </c>
      <c r="OVL236" s="1077">
        <v>8298541</v>
      </c>
      <c r="OVM236" s="1077">
        <v>8298541</v>
      </c>
      <c r="OVN236" s="1077">
        <v>8298541</v>
      </c>
      <c r="OVO236" s="1077">
        <v>8298541</v>
      </c>
      <c r="OVP236" s="1077">
        <v>8298541</v>
      </c>
      <c r="OVQ236" s="1077">
        <v>8298541</v>
      </c>
      <c r="OVR236" s="1077">
        <v>8298541</v>
      </c>
      <c r="OVS236" s="1077">
        <v>8298541</v>
      </c>
      <c r="OVT236" s="1077">
        <v>8298541</v>
      </c>
      <c r="OVU236" s="1077">
        <v>8298541</v>
      </c>
      <c r="OVV236" s="1077">
        <v>8298541</v>
      </c>
      <c r="OVW236" s="1077">
        <v>8298541</v>
      </c>
      <c r="OVX236" s="1077">
        <v>8298541</v>
      </c>
      <c r="OVY236" s="1077">
        <v>8298541</v>
      </c>
      <c r="OVZ236" s="1077">
        <v>8298541</v>
      </c>
      <c r="OWA236" s="1077">
        <v>8298541</v>
      </c>
      <c r="OWB236" s="1077">
        <v>8298541</v>
      </c>
      <c r="OWC236" s="1077">
        <v>8298541</v>
      </c>
      <c r="OWD236" s="1077">
        <v>8298541</v>
      </c>
      <c r="OWE236" s="1077">
        <v>8298541</v>
      </c>
      <c r="OWF236" s="1077">
        <v>8298541</v>
      </c>
      <c r="OWG236" s="1077">
        <v>8298541</v>
      </c>
      <c r="OWH236" s="1077">
        <v>8298541</v>
      </c>
      <c r="OWI236" s="1077">
        <v>8298541</v>
      </c>
      <c r="OWJ236" s="1077">
        <v>8298541</v>
      </c>
      <c r="OWK236" s="1077">
        <v>8298541</v>
      </c>
      <c r="OWL236" s="1077">
        <v>8298541</v>
      </c>
      <c r="OWM236" s="1077">
        <v>8298541</v>
      </c>
      <c r="OWN236" s="1077">
        <v>8298541</v>
      </c>
      <c r="OWO236" s="1077">
        <v>8298541</v>
      </c>
      <c r="OWP236" s="1077">
        <v>8298541</v>
      </c>
      <c r="OWQ236" s="1077">
        <v>8298541</v>
      </c>
      <c r="OWR236" s="1077">
        <v>8298541</v>
      </c>
      <c r="OWS236" s="1077">
        <v>8298541</v>
      </c>
      <c r="OWT236" s="1077">
        <v>8298541</v>
      </c>
      <c r="OWU236" s="1077">
        <v>8298541</v>
      </c>
      <c r="OWV236" s="1077">
        <v>8298541</v>
      </c>
      <c r="OWW236" s="1077">
        <v>8298541</v>
      </c>
      <c r="OWX236" s="1077">
        <v>8298541</v>
      </c>
      <c r="OWY236" s="1077">
        <v>8298541</v>
      </c>
      <c r="OWZ236" s="1077">
        <v>8298541</v>
      </c>
      <c r="OXA236" s="1077">
        <v>8298541</v>
      </c>
      <c r="OXB236" s="1077">
        <v>8298541</v>
      </c>
      <c r="OXC236" s="1077">
        <v>8298541</v>
      </c>
      <c r="OXD236" s="1077">
        <v>8298541</v>
      </c>
      <c r="OXE236" s="1077">
        <v>8298541</v>
      </c>
      <c r="OXF236" s="1077">
        <v>8298541</v>
      </c>
      <c r="OXG236" s="1077">
        <v>8298541</v>
      </c>
      <c r="OXH236" s="1077">
        <v>8298541</v>
      </c>
      <c r="OXI236" s="1077">
        <v>8298541</v>
      </c>
      <c r="OXJ236" s="1077">
        <v>8298541</v>
      </c>
      <c r="OXK236" s="1077">
        <v>8298541</v>
      </c>
      <c r="OXL236" s="1077">
        <v>8298541</v>
      </c>
      <c r="OXM236" s="1077">
        <v>8298541</v>
      </c>
      <c r="OXN236" s="1077">
        <v>8298541</v>
      </c>
      <c r="OXO236" s="1077">
        <v>8298541</v>
      </c>
      <c r="OXP236" s="1077">
        <v>8298541</v>
      </c>
      <c r="OXQ236" s="1077">
        <v>8298541</v>
      </c>
      <c r="OXR236" s="1077">
        <v>8298541</v>
      </c>
      <c r="OXS236" s="1077">
        <v>8298541</v>
      </c>
      <c r="OXT236" s="1077">
        <v>8298541</v>
      </c>
      <c r="OXU236" s="1077">
        <v>8298541</v>
      </c>
      <c r="OXV236" s="1077">
        <v>8298541</v>
      </c>
      <c r="OXW236" s="1077">
        <v>8298541</v>
      </c>
      <c r="OXX236" s="1077">
        <v>8298541</v>
      </c>
      <c r="OXY236" s="1077">
        <v>8298541</v>
      </c>
      <c r="OXZ236" s="1077">
        <v>8298541</v>
      </c>
      <c r="OYA236" s="1077">
        <v>8298541</v>
      </c>
      <c r="OYB236" s="1077">
        <v>8298541</v>
      </c>
      <c r="OYC236" s="1077">
        <v>8298541</v>
      </c>
      <c r="OYD236" s="1077">
        <v>8298541</v>
      </c>
      <c r="OYE236" s="1077">
        <v>8298541</v>
      </c>
      <c r="OYF236" s="1077">
        <v>8298541</v>
      </c>
      <c r="OYG236" s="1077">
        <v>8298541</v>
      </c>
      <c r="OYH236" s="1077">
        <v>8298541</v>
      </c>
      <c r="OYI236" s="1077">
        <v>8298541</v>
      </c>
      <c r="OYJ236" s="1077">
        <v>8298541</v>
      </c>
      <c r="OYK236" s="1077">
        <v>8298541</v>
      </c>
      <c r="OYL236" s="1077">
        <v>8298541</v>
      </c>
      <c r="OYM236" s="1077">
        <v>8298541</v>
      </c>
      <c r="OYN236" s="1077">
        <v>8298541</v>
      </c>
      <c r="OYO236" s="1077">
        <v>8298541</v>
      </c>
      <c r="OYP236" s="1077">
        <v>8298541</v>
      </c>
      <c r="OYQ236" s="1077">
        <v>8298541</v>
      </c>
      <c r="OYR236" s="1077">
        <v>8298541</v>
      </c>
      <c r="OYS236" s="1077">
        <v>8298541</v>
      </c>
      <c r="OYT236" s="1077">
        <v>8298541</v>
      </c>
      <c r="OYU236" s="1077">
        <v>8298541</v>
      </c>
      <c r="OYV236" s="1077">
        <v>8298541</v>
      </c>
      <c r="OYW236" s="1077">
        <v>8298541</v>
      </c>
      <c r="OYX236" s="1077">
        <v>8298541</v>
      </c>
      <c r="OYY236" s="1077">
        <v>8298541</v>
      </c>
      <c r="OYZ236" s="1077">
        <v>8298541</v>
      </c>
      <c r="OZA236" s="1077">
        <v>8298541</v>
      </c>
      <c r="OZB236" s="1077">
        <v>8298541</v>
      </c>
      <c r="OZC236" s="1077">
        <v>8298541</v>
      </c>
      <c r="OZD236" s="1077">
        <v>8298541</v>
      </c>
      <c r="OZE236" s="1077">
        <v>8298541</v>
      </c>
      <c r="OZF236" s="1077">
        <v>8298541</v>
      </c>
      <c r="OZG236" s="1077">
        <v>8298541</v>
      </c>
      <c r="OZH236" s="1077">
        <v>8298541</v>
      </c>
      <c r="OZI236" s="1077">
        <v>8298541</v>
      </c>
      <c r="OZJ236" s="1077">
        <v>8298541</v>
      </c>
      <c r="OZK236" s="1077">
        <v>8298541</v>
      </c>
      <c r="OZL236" s="1077">
        <v>8298541</v>
      </c>
      <c r="OZM236" s="1077">
        <v>8298541</v>
      </c>
      <c r="OZN236" s="1077">
        <v>8298541</v>
      </c>
      <c r="OZO236" s="1077">
        <v>8298541</v>
      </c>
      <c r="OZP236" s="1077">
        <v>8298541</v>
      </c>
      <c r="OZQ236" s="1077">
        <v>8298541</v>
      </c>
      <c r="OZR236" s="1077">
        <v>8298541</v>
      </c>
      <c r="OZS236" s="1077">
        <v>8298541</v>
      </c>
      <c r="OZT236" s="1077">
        <v>8298541</v>
      </c>
      <c r="OZU236" s="1077">
        <v>8298541</v>
      </c>
      <c r="OZV236" s="1077">
        <v>8298541</v>
      </c>
      <c r="OZW236" s="1077">
        <v>8298541</v>
      </c>
      <c r="OZX236" s="1077">
        <v>8298541</v>
      </c>
      <c r="OZY236" s="1077">
        <v>8298541</v>
      </c>
      <c r="OZZ236" s="1077">
        <v>8298541</v>
      </c>
      <c r="PAA236" s="1077">
        <v>8298541</v>
      </c>
      <c r="PAB236" s="1077">
        <v>8298541</v>
      </c>
      <c r="PAC236" s="1077">
        <v>8298541</v>
      </c>
      <c r="PAD236" s="1077">
        <v>8298541</v>
      </c>
      <c r="PAE236" s="1077">
        <v>8298541</v>
      </c>
      <c r="PAF236" s="1077">
        <v>8298541</v>
      </c>
      <c r="PAG236" s="1077">
        <v>8298541</v>
      </c>
      <c r="PAH236" s="1077">
        <v>8298541</v>
      </c>
      <c r="PAI236" s="1077">
        <v>8298541</v>
      </c>
      <c r="PAJ236" s="1077">
        <v>8298541</v>
      </c>
      <c r="PAK236" s="1077">
        <v>8298541</v>
      </c>
      <c r="PAL236" s="1077">
        <v>8298541</v>
      </c>
      <c r="PAM236" s="1077">
        <v>8298541</v>
      </c>
      <c r="PAN236" s="1077">
        <v>8298541</v>
      </c>
      <c r="PAO236" s="1077">
        <v>8298541</v>
      </c>
      <c r="PAP236" s="1077">
        <v>8298541</v>
      </c>
      <c r="PAQ236" s="1077">
        <v>8298541</v>
      </c>
      <c r="PAR236" s="1077">
        <v>8298541</v>
      </c>
      <c r="PAS236" s="1077">
        <v>8298541</v>
      </c>
      <c r="PAT236" s="1077">
        <v>8298541</v>
      </c>
      <c r="PAU236" s="1077">
        <v>8298541</v>
      </c>
      <c r="PAV236" s="1077">
        <v>8298541</v>
      </c>
      <c r="PAW236" s="1077">
        <v>8298541</v>
      </c>
      <c r="PAX236" s="1077">
        <v>8298541</v>
      </c>
      <c r="PAY236" s="1077">
        <v>8298541</v>
      </c>
      <c r="PAZ236" s="1077">
        <v>8298541</v>
      </c>
      <c r="PBA236" s="1077">
        <v>8298541</v>
      </c>
      <c r="PBB236" s="1077">
        <v>8298541</v>
      </c>
      <c r="PBC236" s="1077">
        <v>8298541</v>
      </c>
      <c r="PBD236" s="1077">
        <v>8298541</v>
      </c>
      <c r="PBE236" s="1077">
        <v>8298541</v>
      </c>
      <c r="PBF236" s="1077">
        <v>8298541</v>
      </c>
      <c r="PBG236" s="1077">
        <v>8298541</v>
      </c>
      <c r="PBH236" s="1077">
        <v>8298541</v>
      </c>
      <c r="PBI236" s="1077">
        <v>8298541</v>
      </c>
      <c r="PBJ236" s="1077">
        <v>8298541</v>
      </c>
      <c r="PBK236" s="1077">
        <v>8298541</v>
      </c>
      <c r="PBL236" s="1077">
        <v>8298541</v>
      </c>
      <c r="PBM236" s="1077">
        <v>8298541</v>
      </c>
      <c r="PBN236" s="1077">
        <v>8298541</v>
      </c>
      <c r="PBO236" s="1077">
        <v>8298541</v>
      </c>
      <c r="PBP236" s="1077">
        <v>8298541</v>
      </c>
      <c r="PBQ236" s="1077">
        <v>8298541</v>
      </c>
      <c r="PBR236" s="1077">
        <v>8298541</v>
      </c>
      <c r="PBS236" s="1077">
        <v>8298541</v>
      </c>
      <c r="PBT236" s="1077">
        <v>8298541</v>
      </c>
      <c r="PBU236" s="1077">
        <v>8298541</v>
      </c>
      <c r="PBV236" s="1077">
        <v>8298541</v>
      </c>
      <c r="PBW236" s="1077">
        <v>8298541</v>
      </c>
      <c r="PBX236" s="1077">
        <v>8298541</v>
      </c>
      <c r="PBY236" s="1077">
        <v>8298541</v>
      </c>
      <c r="PBZ236" s="1077">
        <v>8298541</v>
      </c>
      <c r="PCA236" s="1077">
        <v>8298541</v>
      </c>
      <c r="PCB236" s="1077">
        <v>8298541</v>
      </c>
      <c r="PCC236" s="1077">
        <v>8298541</v>
      </c>
      <c r="PCD236" s="1077">
        <v>8298541</v>
      </c>
      <c r="PCE236" s="1077">
        <v>8298541</v>
      </c>
      <c r="PCF236" s="1077">
        <v>8298541</v>
      </c>
      <c r="PCG236" s="1077">
        <v>8298541</v>
      </c>
      <c r="PCH236" s="1077">
        <v>8298541</v>
      </c>
      <c r="PCI236" s="1077">
        <v>8298541</v>
      </c>
      <c r="PCJ236" s="1077">
        <v>8298541</v>
      </c>
      <c r="PCK236" s="1077">
        <v>8298541</v>
      </c>
      <c r="PCL236" s="1077">
        <v>8298541</v>
      </c>
      <c r="PCM236" s="1077">
        <v>8298541</v>
      </c>
      <c r="PCN236" s="1077">
        <v>8298541</v>
      </c>
      <c r="PCO236" s="1077">
        <v>8298541</v>
      </c>
      <c r="PCP236" s="1077">
        <v>8298541</v>
      </c>
      <c r="PCQ236" s="1077">
        <v>8298541</v>
      </c>
      <c r="PCR236" s="1077">
        <v>8298541</v>
      </c>
      <c r="PCS236" s="1077">
        <v>8298541</v>
      </c>
      <c r="PCT236" s="1077">
        <v>8298541</v>
      </c>
      <c r="PCU236" s="1077">
        <v>8298541</v>
      </c>
      <c r="PCV236" s="1077">
        <v>8298541</v>
      </c>
      <c r="PCW236" s="1077">
        <v>8298541</v>
      </c>
      <c r="PCX236" s="1077">
        <v>8298541</v>
      </c>
      <c r="PCY236" s="1077">
        <v>8298541</v>
      </c>
      <c r="PCZ236" s="1077">
        <v>8298541</v>
      </c>
      <c r="PDA236" s="1077">
        <v>8298541</v>
      </c>
      <c r="PDB236" s="1077">
        <v>8298541</v>
      </c>
      <c r="PDC236" s="1077">
        <v>8298541</v>
      </c>
      <c r="PDD236" s="1077">
        <v>8298541</v>
      </c>
      <c r="PDE236" s="1077">
        <v>8298541</v>
      </c>
      <c r="PDF236" s="1077">
        <v>8298541</v>
      </c>
      <c r="PDG236" s="1077">
        <v>8298541</v>
      </c>
      <c r="PDH236" s="1077">
        <v>8298541</v>
      </c>
      <c r="PDI236" s="1077">
        <v>8298541</v>
      </c>
      <c r="PDJ236" s="1077">
        <v>8298541</v>
      </c>
      <c r="PDK236" s="1077">
        <v>8298541</v>
      </c>
      <c r="PDL236" s="1077">
        <v>8298541</v>
      </c>
      <c r="PDM236" s="1077">
        <v>8298541</v>
      </c>
      <c r="PDN236" s="1077">
        <v>8298541</v>
      </c>
      <c r="PDO236" s="1077">
        <v>8298541</v>
      </c>
      <c r="PDP236" s="1077">
        <v>8298541</v>
      </c>
      <c r="PDQ236" s="1077">
        <v>8298541</v>
      </c>
      <c r="PDR236" s="1077">
        <v>8298541</v>
      </c>
      <c r="PDS236" s="1077">
        <v>8298541</v>
      </c>
      <c r="PDT236" s="1077">
        <v>8298541</v>
      </c>
      <c r="PDU236" s="1077">
        <v>8298541</v>
      </c>
      <c r="PDV236" s="1077">
        <v>8298541</v>
      </c>
      <c r="PDW236" s="1077">
        <v>8298541</v>
      </c>
      <c r="PDX236" s="1077">
        <v>8298541</v>
      </c>
      <c r="PDY236" s="1077">
        <v>8298541</v>
      </c>
      <c r="PDZ236" s="1077">
        <v>8298541</v>
      </c>
      <c r="PEA236" s="1077">
        <v>8298541</v>
      </c>
      <c r="PEB236" s="1077">
        <v>8298541</v>
      </c>
      <c r="PEC236" s="1077">
        <v>8298541</v>
      </c>
      <c r="PED236" s="1077">
        <v>8298541</v>
      </c>
      <c r="PEE236" s="1077">
        <v>8298541</v>
      </c>
      <c r="PEF236" s="1077">
        <v>8298541</v>
      </c>
      <c r="PEG236" s="1077">
        <v>8298541</v>
      </c>
      <c r="PEH236" s="1077">
        <v>8298541</v>
      </c>
      <c r="PEI236" s="1077">
        <v>8298541</v>
      </c>
      <c r="PEJ236" s="1077">
        <v>8298541</v>
      </c>
      <c r="PEK236" s="1077">
        <v>8298541</v>
      </c>
      <c r="PEL236" s="1077">
        <v>8298541</v>
      </c>
      <c r="PEM236" s="1077">
        <v>8298541</v>
      </c>
      <c r="PEN236" s="1077">
        <v>8298541</v>
      </c>
      <c r="PEO236" s="1077">
        <v>8298541</v>
      </c>
      <c r="PEP236" s="1077">
        <v>8298541</v>
      </c>
      <c r="PEQ236" s="1077">
        <v>8298541</v>
      </c>
      <c r="PER236" s="1077">
        <v>8298541</v>
      </c>
      <c r="PES236" s="1077">
        <v>8298541</v>
      </c>
      <c r="PET236" s="1077">
        <v>8298541</v>
      </c>
      <c r="PEU236" s="1077">
        <v>8298541</v>
      </c>
      <c r="PEV236" s="1077">
        <v>8298541</v>
      </c>
      <c r="PEW236" s="1077">
        <v>8298541</v>
      </c>
      <c r="PEX236" s="1077">
        <v>8298541</v>
      </c>
      <c r="PEY236" s="1077">
        <v>8298541</v>
      </c>
      <c r="PEZ236" s="1077">
        <v>8298541</v>
      </c>
      <c r="PFA236" s="1077">
        <v>8298541</v>
      </c>
      <c r="PFB236" s="1077">
        <v>8298541</v>
      </c>
      <c r="PFC236" s="1077">
        <v>8298541</v>
      </c>
      <c r="PFD236" s="1077">
        <v>8298541</v>
      </c>
      <c r="PFE236" s="1077">
        <v>8298541</v>
      </c>
      <c r="PFF236" s="1077">
        <v>8298541</v>
      </c>
      <c r="PFG236" s="1077">
        <v>8298541</v>
      </c>
      <c r="PFH236" s="1077">
        <v>8298541</v>
      </c>
      <c r="PFI236" s="1077">
        <v>8298541</v>
      </c>
      <c r="PFJ236" s="1077">
        <v>8298541</v>
      </c>
      <c r="PFK236" s="1077">
        <v>8298541</v>
      </c>
      <c r="PFL236" s="1077">
        <v>8298541</v>
      </c>
      <c r="PFM236" s="1077">
        <v>8298541</v>
      </c>
      <c r="PFN236" s="1077">
        <v>8298541</v>
      </c>
      <c r="PFO236" s="1077">
        <v>8298541</v>
      </c>
      <c r="PFP236" s="1077">
        <v>8298541</v>
      </c>
      <c r="PFQ236" s="1077">
        <v>8298541</v>
      </c>
      <c r="PFR236" s="1077">
        <v>8298541</v>
      </c>
      <c r="PFS236" s="1077">
        <v>8298541</v>
      </c>
      <c r="PFT236" s="1077">
        <v>8298541</v>
      </c>
      <c r="PFU236" s="1077">
        <v>8298541</v>
      </c>
      <c r="PFV236" s="1077">
        <v>8298541</v>
      </c>
      <c r="PFW236" s="1077">
        <v>8298541</v>
      </c>
      <c r="PFX236" s="1077">
        <v>8298541</v>
      </c>
      <c r="PFY236" s="1077">
        <v>8298541</v>
      </c>
      <c r="PFZ236" s="1077">
        <v>8298541</v>
      </c>
      <c r="PGA236" s="1077">
        <v>8298541</v>
      </c>
      <c r="PGB236" s="1077">
        <v>8298541</v>
      </c>
      <c r="PGC236" s="1077">
        <v>8298541</v>
      </c>
      <c r="PGD236" s="1077">
        <v>8298541</v>
      </c>
      <c r="PGE236" s="1077">
        <v>8298541</v>
      </c>
      <c r="PGF236" s="1077">
        <v>8298541</v>
      </c>
      <c r="PGG236" s="1077">
        <v>8298541</v>
      </c>
      <c r="PGH236" s="1077">
        <v>8298541</v>
      </c>
      <c r="PGI236" s="1077">
        <v>8298541</v>
      </c>
      <c r="PGJ236" s="1077">
        <v>8298541</v>
      </c>
      <c r="PGK236" s="1077">
        <v>8298541</v>
      </c>
      <c r="PGL236" s="1077">
        <v>8298541</v>
      </c>
      <c r="PGM236" s="1077">
        <v>8298541</v>
      </c>
      <c r="PGN236" s="1077">
        <v>8298541</v>
      </c>
      <c r="PGO236" s="1077">
        <v>8298541</v>
      </c>
      <c r="PGP236" s="1077">
        <v>8298541</v>
      </c>
      <c r="PGQ236" s="1077">
        <v>8298541</v>
      </c>
      <c r="PGR236" s="1077">
        <v>8298541</v>
      </c>
      <c r="PGS236" s="1077">
        <v>8298541</v>
      </c>
      <c r="PGT236" s="1077">
        <v>8298541</v>
      </c>
      <c r="PGU236" s="1077">
        <v>8298541</v>
      </c>
      <c r="PGV236" s="1077">
        <v>8298541</v>
      </c>
      <c r="PGW236" s="1077">
        <v>8298541</v>
      </c>
      <c r="PGX236" s="1077">
        <v>8298541</v>
      </c>
      <c r="PGY236" s="1077">
        <v>8298541</v>
      </c>
      <c r="PGZ236" s="1077">
        <v>8298541</v>
      </c>
      <c r="PHA236" s="1077">
        <v>8298541</v>
      </c>
      <c r="PHB236" s="1077">
        <v>8298541</v>
      </c>
      <c r="PHC236" s="1077">
        <v>8298541</v>
      </c>
      <c r="PHD236" s="1077">
        <v>8298541</v>
      </c>
      <c r="PHE236" s="1077">
        <v>8298541</v>
      </c>
      <c r="PHF236" s="1077">
        <v>8298541</v>
      </c>
      <c r="PHG236" s="1077">
        <v>8298541</v>
      </c>
      <c r="PHH236" s="1077">
        <v>8298541</v>
      </c>
      <c r="PHI236" s="1077">
        <v>8298541</v>
      </c>
      <c r="PHJ236" s="1077">
        <v>8298541</v>
      </c>
      <c r="PHK236" s="1077">
        <v>8298541</v>
      </c>
      <c r="PHL236" s="1077">
        <v>8298541</v>
      </c>
      <c r="PHM236" s="1077">
        <v>8298541</v>
      </c>
      <c r="PHN236" s="1077">
        <v>8298541</v>
      </c>
      <c r="PHO236" s="1077">
        <v>8298541</v>
      </c>
      <c r="PHP236" s="1077">
        <v>8298541</v>
      </c>
      <c r="PHQ236" s="1077">
        <v>8298541</v>
      </c>
      <c r="PHR236" s="1077">
        <v>8298541</v>
      </c>
      <c r="PHS236" s="1077">
        <v>8298541</v>
      </c>
      <c r="PHT236" s="1077">
        <v>8298541</v>
      </c>
      <c r="PHU236" s="1077">
        <v>8298541</v>
      </c>
      <c r="PHV236" s="1077">
        <v>8298541</v>
      </c>
      <c r="PHW236" s="1077">
        <v>8298541</v>
      </c>
      <c r="PHX236" s="1077">
        <v>8298541</v>
      </c>
      <c r="PHY236" s="1077">
        <v>8298541</v>
      </c>
      <c r="PHZ236" s="1077">
        <v>8298541</v>
      </c>
      <c r="PIA236" s="1077">
        <v>8298541</v>
      </c>
      <c r="PIB236" s="1077">
        <v>8298541</v>
      </c>
      <c r="PIC236" s="1077">
        <v>8298541</v>
      </c>
      <c r="PID236" s="1077">
        <v>8298541</v>
      </c>
      <c r="PIE236" s="1077">
        <v>8298541</v>
      </c>
      <c r="PIF236" s="1077">
        <v>8298541</v>
      </c>
      <c r="PIG236" s="1077">
        <v>8298541</v>
      </c>
      <c r="PIH236" s="1077">
        <v>8298541</v>
      </c>
      <c r="PII236" s="1077">
        <v>8298541</v>
      </c>
      <c r="PIJ236" s="1077">
        <v>8298541</v>
      </c>
      <c r="PIK236" s="1077">
        <v>8298541</v>
      </c>
      <c r="PIL236" s="1077">
        <v>8298541</v>
      </c>
      <c r="PIM236" s="1077">
        <v>8298541</v>
      </c>
      <c r="PIN236" s="1077">
        <v>8298541</v>
      </c>
      <c r="PIO236" s="1077">
        <v>8298541</v>
      </c>
      <c r="PIP236" s="1077">
        <v>8298541</v>
      </c>
      <c r="PIQ236" s="1077">
        <v>8298541</v>
      </c>
      <c r="PIR236" s="1077">
        <v>8298541</v>
      </c>
      <c r="PIS236" s="1077">
        <v>8298541</v>
      </c>
      <c r="PIT236" s="1077">
        <v>8298541</v>
      </c>
      <c r="PIU236" s="1077">
        <v>8298541</v>
      </c>
      <c r="PIV236" s="1077">
        <v>8298541</v>
      </c>
      <c r="PIW236" s="1077">
        <v>8298541</v>
      </c>
      <c r="PIX236" s="1077">
        <v>8298541</v>
      </c>
      <c r="PIY236" s="1077">
        <v>8298541</v>
      </c>
      <c r="PIZ236" s="1077">
        <v>8298541</v>
      </c>
      <c r="PJA236" s="1077">
        <v>8298541</v>
      </c>
      <c r="PJB236" s="1077">
        <v>8298541</v>
      </c>
      <c r="PJC236" s="1077">
        <v>8298541</v>
      </c>
      <c r="PJD236" s="1077">
        <v>8298541</v>
      </c>
      <c r="PJE236" s="1077">
        <v>8298541</v>
      </c>
      <c r="PJF236" s="1077">
        <v>8298541</v>
      </c>
      <c r="PJG236" s="1077">
        <v>8298541</v>
      </c>
      <c r="PJH236" s="1077">
        <v>8298541</v>
      </c>
      <c r="PJI236" s="1077">
        <v>8298541</v>
      </c>
      <c r="PJJ236" s="1077">
        <v>8298541</v>
      </c>
      <c r="PJK236" s="1077">
        <v>8298541</v>
      </c>
      <c r="PJL236" s="1077">
        <v>8298541</v>
      </c>
      <c r="PJM236" s="1077">
        <v>8298541</v>
      </c>
      <c r="PJN236" s="1077">
        <v>8298541</v>
      </c>
      <c r="PJO236" s="1077">
        <v>8298541</v>
      </c>
      <c r="PJP236" s="1077">
        <v>8298541</v>
      </c>
      <c r="PJQ236" s="1077">
        <v>8298541</v>
      </c>
      <c r="PJR236" s="1077">
        <v>8298541</v>
      </c>
      <c r="PJS236" s="1077">
        <v>8298541</v>
      </c>
      <c r="PJT236" s="1077">
        <v>8298541</v>
      </c>
      <c r="PJU236" s="1077">
        <v>8298541</v>
      </c>
      <c r="PJV236" s="1077">
        <v>8298541</v>
      </c>
      <c r="PJW236" s="1077">
        <v>8298541</v>
      </c>
      <c r="PJX236" s="1077">
        <v>8298541</v>
      </c>
      <c r="PJY236" s="1077">
        <v>8298541</v>
      </c>
      <c r="PJZ236" s="1077">
        <v>8298541</v>
      </c>
      <c r="PKA236" s="1077">
        <v>8298541</v>
      </c>
      <c r="PKB236" s="1077">
        <v>8298541</v>
      </c>
      <c r="PKC236" s="1077">
        <v>8298541</v>
      </c>
      <c r="PKD236" s="1077">
        <v>8298541</v>
      </c>
      <c r="PKE236" s="1077">
        <v>8298541</v>
      </c>
      <c r="PKF236" s="1077">
        <v>8298541</v>
      </c>
      <c r="PKG236" s="1077">
        <v>8298541</v>
      </c>
      <c r="PKH236" s="1077">
        <v>8298541</v>
      </c>
      <c r="PKI236" s="1077">
        <v>8298541</v>
      </c>
      <c r="PKJ236" s="1077">
        <v>8298541</v>
      </c>
      <c r="PKK236" s="1077">
        <v>8298541</v>
      </c>
      <c r="PKL236" s="1077">
        <v>8298541</v>
      </c>
      <c r="PKM236" s="1077">
        <v>8298541</v>
      </c>
      <c r="PKN236" s="1077">
        <v>8298541</v>
      </c>
      <c r="PKO236" s="1077">
        <v>8298541</v>
      </c>
      <c r="PKP236" s="1077">
        <v>8298541</v>
      </c>
      <c r="PKQ236" s="1077">
        <v>8298541</v>
      </c>
      <c r="PKR236" s="1077">
        <v>8298541</v>
      </c>
      <c r="PKS236" s="1077">
        <v>8298541</v>
      </c>
      <c r="PKT236" s="1077">
        <v>8298541</v>
      </c>
      <c r="PKU236" s="1077">
        <v>8298541</v>
      </c>
      <c r="PKV236" s="1077">
        <v>8298541</v>
      </c>
      <c r="PKW236" s="1077">
        <v>8298541</v>
      </c>
      <c r="PKX236" s="1077">
        <v>8298541</v>
      </c>
      <c r="PKY236" s="1077">
        <v>8298541</v>
      </c>
      <c r="PKZ236" s="1077">
        <v>8298541</v>
      </c>
      <c r="PLA236" s="1077">
        <v>8298541</v>
      </c>
      <c r="PLB236" s="1077">
        <v>8298541</v>
      </c>
      <c r="PLC236" s="1077">
        <v>8298541</v>
      </c>
      <c r="PLD236" s="1077">
        <v>8298541</v>
      </c>
      <c r="PLE236" s="1077">
        <v>8298541</v>
      </c>
      <c r="PLF236" s="1077">
        <v>8298541</v>
      </c>
      <c r="PLG236" s="1077">
        <v>8298541</v>
      </c>
      <c r="PLH236" s="1077">
        <v>8298541</v>
      </c>
      <c r="PLI236" s="1077">
        <v>8298541</v>
      </c>
      <c r="PLJ236" s="1077">
        <v>8298541</v>
      </c>
      <c r="PLK236" s="1077">
        <v>8298541</v>
      </c>
      <c r="PLL236" s="1077">
        <v>8298541</v>
      </c>
      <c r="PLM236" s="1077">
        <v>8298541</v>
      </c>
      <c r="PLN236" s="1077">
        <v>8298541</v>
      </c>
      <c r="PLO236" s="1077">
        <v>8298541</v>
      </c>
      <c r="PLP236" s="1077">
        <v>8298541</v>
      </c>
      <c r="PLQ236" s="1077">
        <v>8298541</v>
      </c>
      <c r="PLR236" s="1077">
        <v>8298541</v>
      </c>
      <c r="PLS236" s="1077">
        <v>8298541</v>
      </c>
      <c r="PLT236" s="1077">
        <v>8298541</v>
      </c>
      <c r="PLU236" s="1077">
        <v>8298541</v>
      </c>
      <c r="PLV236" s="1077">
        <v>8298541</v>
      </c>
      <c r="PLW236" s="1077">
        <v>8298541</v>
      </c>
      <c r="PLX236" s="1077">
        <v>8298541</v>
      </c>
      <c r="PLY236" s="1077">
        <v>8298541</v>
      </c>
      <c r="PLZ236" s="1077">
        <v>8298541</v>
      </c>
      <c r="PMA236" s="1077">
        <v>8298541</v>
      </c>
      <c r="PMB236" s="1077">
        <v>8298541</v>
      </c>
      <c r="PMC236" s="1077">
        <v>8298541</v>
      </c>
      <c r="PMD236" s="1077">
        <v>8298541</v>
      </c>
      <c r="PME236" s="1077">
        <v>8298541</v>
      </c>
      <c r="PMF236" s="1077">
        <v>8298541</v>
      </c>
      <c r="PMG236" s="1077">
        <v>8298541</v>
      </c>
      <c r="PMH236" s="1077">
        <v>8298541</v>
      </c>
      <c r="PMI236" s="1077">
        <v>8298541</v>
      </c>
      <c r="PMJ236" s="1077">
        <v>8298541</v>
      </c>
      <c r="PMK236" s="1077">
        <v>8298541</v>
      </c>
      <c r="PML236" s="1077">
        <v>8298541</v>
      </c>
      <c r="PMM236" s="1077">
        <v>8298541</v>
      </c>
      <c r="PMN236" s="1077">
        <v>8298541</v>
      </c>
      <c r="PMO236" s="1077">
        <v>8298541</v>
      </c>
      <c r="PMP236" s="1077">
        <v>8298541</v>
      </c>
      <c r="PMQ236" s="1077">
        <v>8298541</v>
      </c>
      <c r="PMR236" s="1077">
        <v>8298541</v>
      </c>
      <c r="PMS236" s="1077">
        <v>8298541</v>
      </c>
      <c r="PMT236" s="1077">
        <v>8298541</v>
      </c>
      <c r="PMU236" s="1077">
        <v>8298541</v>
      </c>
      <c r="PMV236" s="1077">
        <v>8298541</v>
      </c>
      <c r="PMW236" s="1077">
        <v>8298541</v>
      </c>
      <c r="PMX236" s="1077">
        <v>8298541</v>
      </c>
      <c r="PMY236" s="1077">
        <v>8298541</v>
      </c>
      <c r="PMZ236" s="1077">
        <v>8298541</v>
      </c>
      <c r="PNA236" s="1077">
        <v>8298541</v>
      </c>
      <c r="PNB236" s="1077">
        <v>8298541</v>
      </c>
      <c r="PNC236" s="1077">
        <v>8298541</v>
      </c>
      <c r="PND236" s="1077">
        <v>8298541</v>
      </c>
      <c r="PNE236" s="1077">
        <v>8298541</v>
      </c>
      <c r="PNF236" s="1077">
        <v>8298541</v>
      </c>
      <c r="PNG236" s="1077">
        <v>8298541</v>
      </c>
      <c r="PNH236" s="1077">
        <v>8298541</v>
      </c>
      <c r="PNI236" s="1077">
        <v>8298541</v>
      </c>
      <c r="PNJ236" s="1077">
        <v>8298541</v>
      </c>
      <c r="PNK236" s="1077">
        <v>8298541</v>
      </c>
      <c r="PNL236" s="1077">
        <v>8298541</v>
      </c>
      <c r="PNM236" s="1077">
        <v>8298541</v>
      </c>
      <c r="PNN236" s="1077">
        <v>8298541</v>
      </c>
      <c r="PNO236" s="1077">
        <v>8298541</v>
      </c>
      <c r="PNP236" s="1077">
        <v>8298541</v>
      </c>
      <c r="PNQ236" s="1077">
        <v>8298541</v>
      </c>
      <c r="PNR236" s="1077">
        <v>8298541</v>
      </c>
      <c r="PNS236" s="1077">
        <v>8298541</v>
      </c>
      <c r="PNT236" s="1077">
        <v>8298541</v>
      </c>
      <c r="PNU236" s="1077">
        <v>8298541</v>
      </c>
      <c r="PNV236" s="1077">
        <v>8298541</v>
      </c>
      <c r="PNW236" s="1077">
        <v>8298541</v>
      </c>
      <c r="PNX236" s="1077">
        <v>8298541</v>
      </c>
      <c r="PNY236" s="1077">
        <v>8298541</v>
      </c>
      <c r="PNZ236" s="1077">
        <v>8298541</v>
      </c>
      <c r="POA236" s="1077">
        <v>8298541</v>
      </c>
      <c r="POB236" s="1077">
        <v>8298541</v>
      </c>
      <c r="POC236" s="1077">
        <v>8298541</v>
      </c>
      <c r="POD236" s="1077">
        <v>8298541</v>
      </c>
      <c r="POE236" s="1077">
        <v>8298541</v>
      </c>
      <c r="POF236" s="1077">
        <v>8298541</v>
      </c>
      <c r="POG236" s="1077">
        <v>8298541</v>
      </c>
      <c r="POH236" s="1077">
        <v>8298541</v>
      </c>
      <c r="POI236" s="1077">
        <v>8298541</v>
      </c>
      <c r="POJ236" s="1077">
        <v>8298541</v>
      </c>
      <c r="POK236" s="1077">
        <v>8298541</v>
      </c>
      <c r="POL236" s="1077">
        <v>8298541</v>
      </c>
      <c r="POM236" s="1077">
        <v>8298541</v>
      </c>
      <c r="PON236" s="1077">
        <v>8298541</v>
      </c>
      <c r="POO236" s="1077">
        <v>8298541</v>
      </c>
      <c r="POP236" s="1077">
        <v>8298541</v>
      </c>
      <c r="POQ236" s="1077">
        <v>8298541</v>
      </c>
      <c r="POR236" s="1077">
        <v>8298541</v>
      </c>
      <c r="POS236" s="1077">
        <v>8298541</v>
      </c>
      <c r="POT236" s="1077">
        <v>8298541</v>
      </c>
      <c r="POU236" s="1077">
        <v>8298541</v>
      </c>
      <c r="POV236" s="1077">
        <v>8298541</v>
      </c>
      <c r="POW236" s="1077">
        <v>8298541</v>
      </c>
      <c r="POX236" s="1077">
        <v>8298541</v>
      </c>
      <c r="POY236" s="1077">
        <v>8298541</v>
      </c>
      <c r="POZ236" s="1077">
        <v>8298541</v>
      </c>
      <c r="PPA236" s="1077">
        <v>8298541</v>
      </c>
      <c r="PPB236" s="1077">
        <v>8298541</v>
      </c>
      <c r="PPC236" s="1077">
        <v>8298541</v>
      </c>
      <c r="PPD236" s="1077">
        <v>8298541</v>
      </c>
      <c r="PPE236" s="1077">
        <v>8298541</v>
      </c>
      <c r="PPF236" s="1077">
        <v>8298541</v>
      </c>
      <c r="PPG236" s="1077">
        <v>8298541</v>
      </c>
      <c r="PPH236" s="1077">
        <v>8298541</v>
      </c>
      <c r="PPI236" s="1077">
        <v>8298541</v>
      </c>
      <c r="PPJ236" s="1077">
        <v>8298541</v>
      </c>
      <c r="PPK236" s="1077">
        <v>8298541</v>
      </c>
      <c r="PPL236" s="1077">
        <v>8298541</v>
      </c>
      <c r="PPM236" s="1077">
        <v>8298541</v>
      </c>
      <c r="PPN236" s="1077">
        <v>8298541</v>
      </c>
      <c r="PPO236" s="1077">
        <v>8298541</v>
      </c>
      <c r="PPP236" s="1077">
        <v>8298541</v>
      </c>
      <c r="PPQ236" s="1077">
        <v>8298541</v>
      </c>
      <c r="PPR236" s="1077">
        <v>8298541</v>
      </c>
      <c r="PPS236" s="1077">
        <v>8298541</v>
      </c>
      <c r="PPT236" s="1077">
        <v>8298541</v>
      </c>
      <c r="PPU236" s="1077">
        <v>8298541</v>
      </c>
      <c r="PPV236" s="1077">
        <v>8298541</v>
      </c>
      <c r="PPW236" s="1077">
        <v>8298541</v>
      </c>
      <c r="PPX236" s="1077">
        <v>8298541</v>
      </c>
      <c r="PPY236" s="1077">
        <v>8298541</v>
      </c>
      <c r="PPZ236" s="1077">
        <v>8298541</v>
      </c>
      <c r="PQA236" s="1077">
        <v>8298541</v>
      </c>
      <c r="PQB236" s="1077">
        <v>8298541</v>
      </c>
      <c r="PQC236" s="1077">
        <v>8298541</v>
      </c>
      <c r="PQD236" s="1077">
        <v>8298541</v>
      </c>
      <c r="PQE236" s="1077">
        <v>8298541</v>
      </c>
      <c r="PQF236" s="1077">
        <v>8298541</v>
      </c>
      <c r="PQG236" s="1077">
        <v>8298541</v>
      </c>
      <c r="PQH236" s="1077">
        <v>8298541</v>
      </c>
      <c r="PQI236" s="1077">
        <v>8298541</v>
      </c>
      <c r="PQJ236" s="1077">
        <v>8298541</v>
      </c>
      <c r="PQK236" s="1077">
        <v>8298541</v>
      </c>
      <c r="PQL236" s="1077">
        <v>8298541</v>
      </c>
      <c r="PQM236" s="1077">
        <v>8298541</v>
      </c>
      <c r="PQN236" s="1077">
        <v>8298541</v>
      </c>
      <c r="PQO236" s="1077">
        <v>8298541</v>
      </c>
      <c r="PQP236" s="1077">
        <v>8298541</v>
      </c>
      <c r="PQQ236" s="1077">
        <v>8298541</v>
      </c>
      <c r="PQR236" s="1077">
        <v>8298541</v>
      </c>
      <c r="PQS236" s="1077">
        <v>8298541</v>
      </c>
      <c r="PQT236" s="1077">
        <v>8298541</v>
      </c>
      <c r="PQU236" s="1077">
        <v>8298541</v>
      </c>
      <c r="PQV236" s="1077">
        <v>8298541</v>
      </c>
      <c r="PQW236" s="1077">
        <v>8298541</v>
      </c>
      <c r="PQX236" s="1077">
        <v>8298541</v>
      </c>
      <c r="PQY236" s="1077">
        <v>8298541</v>
      </c>
      <c r="PQZ236" s="1077">
        <v>8298541</v>
      </c>
      <c r="PRA236" s="1077">
        <v>8298541</v>
      </c>
      <c r="PRB236" s="1077">
        <v>8298541</v>
      </c>
      <c r="PRC236" s="1077">
        <v>8298541</v>
      </c>
      <c r="PRD236" s="1077">
        <v>8298541</v>
      </c>
      <c r="PRE236" s="1077">
        <v>8298541</v>
      </c>
      <c r="PRF236" s="1077">
        <v>8298541</v>
      </c>
      <c r="PRG236" s="1077">
        <v>8298541</v>
      </c>
      <c r="PRH236" s="1077">
        <v>8298541</v>
      </c>
      <c r="PRI236" s="1077">
        <v>8298541</v>
      </c>
      <c r="PRJ236" s="1077">
        <v>8298541</v>
      </c>
      <c r="PRK236" s="1077">
        <v>8298541</v>
      </c>
      <c r="PRL236" s="1077">
        <v>8298541</v>
      </c>
      <c r="PRM236" s="1077">
        <v>8298541</v>
      </c>
      <c r="PRN236" s="1077">
        <v>8298541</v>
      </c>
      <c r="PRO236" s="1077">
        <v>8298541</v>
      </c>
      <c r="PRP236" s="1077">
        <v>8298541</v>
      </c>
      <c r="PRQ236" s="1077">
        <v>8298541</v>
      </c>
      <c r="PRR236" s="1077">
        <v>8298541</v>
      </c>
      <c r="PRS236" s="1077">
        <v>8298541</v>
      </c>
      <c r="PRT236" s="1077">
        <v>8298541</v>
      </c>
      <c r="PRU236" s="1077">
        <v>8298541</v>
      </c>
      <c r="PRV236" s="1077">
        <v>8298541</v>
      </c>
      <c r="PRW236" s="1077">
        <v>8298541</v>
      </c>
      <c r="PRX236" s="1077">
        <v>8298541</v>
      </c>
      <c r="PRY236" s="1077">
        <v>8298541</v>
      </c>
      <c r="PRZ236" s="1077">
        <v>8298541</v>
      </c>
      <c r="PSA236" s="1077">
        <v>8298541</v>
      </c>
      <c r="PSB236" s="1077">
        <v>8298541</v>
      </c>
      <c r="PSC236" s="1077">
        <v>8298541</v>
      </c>
      <c r="PSD236" s="1077">
        <v>8298541</v>
      </c>
      <c r="PSE236" s="1077">
        <v>8298541</v>
      </c>
      <c r="PSF236" s="1077">
        <v>8298541</v>
      </c>
      <c r="PSG236" s="1077">
        <v>8298541</v>
      </c>
      <c r="PSH236" s="1077">
        <v>8298541</v>
      </c>
      <c r="PSI236" s="1077">
        <v>8298541</v>
      </c>
      <c r="PSJ236" s="1077">
        <v>8298541</v>
      </c>
      <c r="PSK236" s="1077">
        <v>8298541</v>
      </c>
      <c r="PSL236" s="1077">
        <v>8298541</v>
      </c>
      <c r="PSM236" s="1077">
        <v>8298541</v>
      </c>
      <c r="PSN236" s="1077">
        <v>8298541</v>
      </c>
      <c r="PSO236" s="1077">
        <v>8298541</v>
      </c>
      <c r="PSP236" s="1077">
        <v>8298541</v>
      </c>
      <c r="PSQ236" s="1077">
        <v>8298541</v>
      </c>
      <c r="PSR236" s="1077">
        <v>8298541</v>
      </c>
      <c r="PSS236" s="1077">
        <v>8298541</v>
      </c>
      <c r="PST236" s="1077">
        <v>8298541</v>
      </c>
      <c r="PSU236" s="1077">
        <v>8298541</v>
      </c>
      <c r="PSV236" s="1077">
        <v>8298541</v>
      </c>
      <c r="PSW236" s="1077">
        <v>8298541</v>
      </c>
      <c r="PSX236" s="1077">
        <v>8298541</v>
      </c>
      <c r="PSY236" s="1077">
        <v>8298541</v>
      </c>
      <c r="PSZ236" s="1077">
        <v>8298541</v>
      </c>
      <c r="PTA236" s="1077">
        <v>8298541</v>
      </c>
      <c r="PTB236" s="1077">
        <v>8298541</v>
      </c>
      <c r="PTC236" s="1077">
        <v>8298541</v>
      </c>
      <c r="PTD236" s="1077">
        <v>8298541</v>
      </c>
      <c r="PTE236" s="1077">
        <v>8298541</v>
      </c>
      <c r="PTF236" s="1077">
        <v>8298541</v>
      </c>
      <c r="PTG236" s="1077">
        <v>8298541</v>
      </c>
      <c r="PTH236" s="1077">
        <v>8298541</v>
      </c>
      <c r="PTI236" s="1077">
        <v>8298541</v>
      </c>
      <c r="PTJ236" s="1077">
        <v>8298541</v>
      </c>
      <c r="PTK236" s="1077">
        <v>8298541</v>
      </c>
      <c r="PTL236" s="1077">
        <v>8298541</v>
      </c>
      <c r="PTM236" s="1077">
        <v>8298541</v>
      </c>
      <c r="PTN236" s="1077">
        <v>8298541</v>
      </c>
      <c r="PTO236" s="1077">
        <v>8298541</v>
      </c>
      <c r="PTP236" s="1077">
        <v>8298541</v>
      </c>
      <c r="PTQ236" s="1077">
        <v>8298541</v>
      </c>
      <c r="PTR236" s="1077">
        <v>8298541</v>
      </c>
      <c r="PTS236" s="1077">
        <v>8298541</v>
      </c>
      <c r="PTT236" s="1077">
        <v>8298541</v>
      </c>
      <c r="PTU236" s="1077">
        <v>8298541</v>
      </c>
      <c r="PTV236" s="1077">
        <v>8298541</v>
      </c>
      <c r="PTW236" s="1077">
        <v>8298541</v>
      </c>
      <c r="PTX236" s="1077">
        <v>8298541</v>
      </c>
      <c r="PTY236" s="1077">
        <v>8298541</v>
      </c>
      <c r="PTZ236" s="1077">
        <v>8298541</v>
      </c>
      <c r="PUA236" s="1077">
        <v>8298541</v>
      </c>
      <c r="PUB236" s="1077">
        <v>8298541</v>
      </c>
      <c r="PUC236" s="1077">
        <v>8298541</v>
      </c>
      <c r="PUD236" s="1077">
        <v>8298541</v>
      </c>
      <c r="PUE236" s="1077">
        <v>8298541</v>
      </c>
      <c r="PUF236" s="1077">
        <v>8298541</v>
      </c>
      <c r="PUG236" s="1077">
        <v>8298541</v>
      </c>
      <c r="PUH236" s="1077">
        <v>8298541</v>
      </c>
      <c r="PUI236" s="1077">
        <v>8298541</v>
      </c>
      <c r="PUJ236" s="1077">
        <v>8298541</v>
      </c>
      <c r="PUK236" s="1077">
        <v>8298541</v>
      </c>
      <c r="PUL236" s="1077">
        <v>8298541</v>
      </c>
      <c r="PUM236" s="1077">
        <v>8298541</v>
      </c>
      <c r="PUN236" s="1077">
        <v>8298541</v>
      </c>
      <c r="PUO236" s="1077">
        <v>8298541</v>
      </c>
      <c r="PUP236" s="1077">
        <v>8298541</v>
      </c>
      <c r="PUQ236" s="1077">
        <v>8298541</v>
      </c>
      <c r="PUR236" s="1077">
        <v>8298541</v>
      </c>
      <c r="PUS236" s="1077">
        <v>8298541</v>
      </c>
      <c r="PUT236" s="1077">
        <v>8298541</v>
      </c>
      <c r="PUU236" s="1077">
        <v>8298541</v>
      </c>
      <c r="PUV236" s="1077">
        <v>8298541</v>
      </c>
      <c r="PUW236" s="1077">
        <v>8298541</v>
      </c>
      <c r="PUX236" s="1077">
        <v>8298541</v>
      </c>
      <c r="PUY236" s="1077">
        <v>8298541</v>
      </c>
      <c r="PUZ236" s="1077">
        <v>8298541</v>
      </c>
      <c r="PVA236" s="1077">
        <v>8298541</v>
      </c>
      <c r="PVB236" s="1077">
        <v>8298541</v>
      </c>
      <c r="PVC236" s="1077">
        <v>8298541</v>
      </c>
      <c r="PVD236" s="1077">
        <v>8298541</v>
      </c>
      <c r="PVE236" s="1077">
        <v>8298541</v>
      </c>
      <c r="PVF236" s="1077">
        <v>8298541</v>
      </c>
      <c r="PVG236" s="1077">
        <v>8298541</v>
      </c>
      <c r="PVH236" s="1077">
        <v>8298541</v>
      </c>
      <c r="PVI236" s="1077">
        <v>8298541</v>
      </c>
      <c r="PVJ236" s="1077">
        <v>8298541</v>
      </c>
      <c r="PVK236" s="1077">
        <v>8298541</v>
      </c>
      <c r="PVL236" s="1077">
        <v>8298541</v>
      </c>
      <c r="PVM236" s="1077">
        <v>8298541</v>
      </c>
      <c r="PVN236" s="1077">
        <v>8298541</v>
      </c>
      <c r="PVO236" s="1077">
        <v>8298541</v>
      </c>
      <c r="PVP236" s="1077">
        <v>8298541</v>
      </c>
      <c r="PVQ236" s="1077">
        <v>8298541</v>
      </c>
      <c r="PVR236" s="1077">
        <v>8298541</v>
      </c>
      <c r="PVS236" s="1077">
        <v>8298541</v>
      </c>
      <c r="PVT236" s="1077">
        <v>8298541</v>
      </c>
      <c r="PVU236" s="1077">
        <v>8298541</v>
      </c>
      <c r="PVV236" s="1077">
        <v>8298541</v>
      </c>
      <c r="PVW236" s="1077">
        <v>8298541</v>
      </c>
      <c r="PVX236" s="1077">
        <v>8298541</v>
      </c>
      <c r="PVY236" s="1077">
        <v>8298541</v>
      </c>
      <c r="PVZ236" s="1077">
        <v>8298541</v>
      </c>
      <c r="PWA236" s="1077">
        <v>8298541</v>
      </c>
      <c r="PWB236" s="1077">
        <v>8298541</v>
      </c>
      <c r="PWC236" s="1077">
        <v>8298541</v>
      </c>
      <c r="PWD236" s="1077">
        <v>8298541</v>
      </c>
      <c r="PWE236" s="1077">
        <v>8298541</v>
      </c>
      <c r="PWF236" s="1077">
        <v>8298541</v>
      </c>
      <c r="PWG236" s="1077">
        <v>8298541</v>
      </c>
      <c r="PWH236" s="1077">
        <v>8298541</v>
      </c>
      <c r="PWI236" s="1077">
        <v>8298541</v>
      </c>
      <c r="PWJ236" s="1077">
        <v>8298541</v>
      </c>
      <c r="PWK236" s="1077">
        <v>8298541</v>
      </c>
      <c r="PWL236" s="1077">
        <v>8298541</v>
      </c>
      <c r="PWM236" s="1077">
        <v>8298541</v>
      </c>
      <c r="PWN236" s="1077">
        <v>8298541</v>
      </c>
      <c r="PWO236" s="1077">
        <v>8298541</v>
      </c>
      <c r="PWP236" s="1077">
        <v>8298541</v>
      </c>
      <c r="PWQ236" s="1077">
        <v>8298541</v>
      </c>
      <c r="PWR236" s="1077">
        <v>8298541</v>
      </c>
      <c r="PWS236" s="1077">
        <v>8298541</v>
      </c>
      <c r="PWT236" s="1077">
        <v>8298541</v>
      </c>
      <c r="PWU236" s="1077">
        <v>8298541</v>
      </c>
      <c r="PWV236" s="1077">
        <v>8298541</v>
      </c>
      <c r="PWW236" s="1077">
        <v>8298541</v>
      </c>
      <c r="PWX236" s="1077">
        <v>8298541</v>
      </c>
      <c r="PWY236" s="1077">
        <v>8298541</v>
      </c>
      <c r="PWZ236" s="1077">
        <v>8298541</v>
      </c>
      <c r="PXA236" s="1077">
        <v>8298541</v>
      </c>
      <c r="PXB236" s="1077">
        <v>8298541</v>
      </c>
      <c r="PXC236" s="1077">
        <v>8298541</v>
      </c>
      <c r="PXD236" s="1077">
        <v>8298541</v>
      </c>
      <c r="PXE236" s="1077">
        <v>8298541</v>
      </c>
      <c r="PXF236" s="1077">
        <v>8298541</v>
      </c>
      <c r="PXG236" s="1077">
        <v>8298541</v>
      </c>
      <c r="PXH236" s="1077">
        <v>8298541</v>
      </c>
      <c r="PXI236" s="1077">
        <v>8298541</v>
      </c>
      <c r="PXJ236" s="1077">
        <v>8298541</v>
      </c>
      <c r="PXK236" s="1077">
        <v>8298541</v>
      </c>
      <c r="PXL236" s="1077">
        <v>8298541</v>
      </c>
      <c r="PXM236" s="1077">
        <v>8298541</v>
      </c>
      <c r="PXN236" s="1077">
        <v>8298541</v>
      </c>
      <c r="PXO236" s="1077">
        <v>8298541</v>
      </c>
      <c r="PXP236" s="1077">
        <v>8298541</v>
      </c>
      <c r="PXQ236" s="1077">
        <v>8298541</v>
      </c>
      <c r="PXR236" s="1077">
        <v>8298541</v>
      </c>
      <c r="PXS236" s="1077">
        <v>8298541</v>
      </c>
      <c r="PXT236" s="1077">
        <v>8298541</v>
      </c>
      <c r="PXU236" s="1077">
        <v>8298541</v>
      </c>
      <c r="PXV236" s="1077">
        <v>8298541</v>
      </c>
      <c r="PXW236" s="1077">
        <v>8298541</v>
      </c>
      <c r="PXX236" s="1077">
        <v>8298541</v>
      </c>
      <c r="PXY236" s="1077">
        <v>8298541</v>
      </c>
      <c r="PXZ236" s="1077">
        <v>8298541</v>
      </c>
      <c r="PYA236" s="1077">
        <v>8298541</v>
      </c>
      <c r="PYB236" s="1077">
        <v>8298541</v>
      </c>
      <c r="PYC236" s="1077">
        <v>8298541</v>
      </c>
      <c r="PYD236" s="1077">
        <v>8298541</v>
      </c>
      <c r="PYE236" s="1077">
        <v>8298541</v>
      </c>
      <c r="PYF236" s="1077">
        <v>8298541</v>
      </c>
      <c r="PYG236" s="1077">
        <v>8298541</v>
      </c>
      <c r="PYH236" s="1077">
        <v>8298541</v>
      </c>
      <c r="PYI236" s="1077">
        <v>8298541</v>
      </c>
      <c r="PYJ236" s="1077">
        <v>8298541</v>
      </c>
      <c r="PYK236" s="1077">
        <v>8298541</v>
      </c>
      <c r="PYL236" s="1077">
        <v>8298541</v>
      </c>
      <c r="PYM236" s="1077">
        <v>8298541</v>
      </c>
      <c r="PYN236" s="1077">
        <v>8298541</v>
      </c>
      <c r="PYO236" s="1077">
        <v>8298541</v>
      </c>
      <c r="PYP236" s="1077">
        <v>8298541</v>
      </c>
      <c r="PYQ236" s="1077">
        <v>8298541</v>
      </c>
      <c r="PYR236" s="1077">
        <v>8298541</v>
      </c>
      <c r="PYS236" s="1077">
        <v>8298541</v>
      </c>
      <c r="PYT236" s="1077">
        <v>8298541</v>
      </c>
      <c r="PYU236" s="1077">
        <v>8298541</v>
      </c>
      <c r="PYV236" s="1077">
        <v>8298541</v>
      </c>
      <c r="PYW236" s="1077">
        <v>8298541</v>
      </c>
      <c r="PYX236" s="1077">
        <v>8298541</v>
      </c>
      <c r="PYY236" s="1077">
        <v>8298541</v>
      </c>
      <c r="PYZ236" s="1077">
        <v>8298541</v>
      </c>
      <c r="PZA236" s="1077">
        <v>8298541</v>
      </c>
      <c r="PZB236" s="1077">
        <v>8298541</v>
      </c>
      <c r="PZC236" s="1077">
        <v>8298541</v>
      </c>
      <c r="PZD236" s="1077">
        <v>8298541</v>
      </c>
      <c r="PZE236" s="1077">
        <v>8298541</v>
      </c>
      <c r="PZF236" s="1077">
        <v>8298541</v>
      </c>
      <c r="PZG236" s="1077">
        <v>8298541</v>
      </c>
      <c r="PZH236" s="1077">
        <v>8298541</v>
      </c>
      <c r="PZI236" s="1077">
        <v>8298541</v>
      </c>
      <c r="PZJ236" s="1077">
        <v>8298541</v>
      </c>
      <c r="PZK236" s="1077">
        <v>8298541</v>
      </c>
      <c r="PZL236" s="1077">
        <v>8298541</v>
      </c>
      <c r="PZM236" s="1077">
        <v>8298541</v>
      </c>
      <c r="PZN236" s="1077">
        <v>8298541</v>
      </c>
      <c r="PZO236" s="1077">
        <v>8298541</v>
      </c>
      <c r="PZP236" s="1077">
        <v>8298541</v>
      </c>
      <c r="PZQ236" s="1077">
        <v>8298541</v>
      </c>
      <c r="PZR236" s="1077">
        <v>8298541</v>
      </c>
      <c r="PZS236" s="1077">
        <v>8298541</v>
      </c>
      <c r="PZT236" s="1077">
        <v>8298541</v>
      </c>
      <c r="PZU236" s="1077">
        <v>8298541</v>
      </c>
      <c r="PZV236" s="1077">
        <v>8298541</v>
      </c>
      <c r="PZW236" s="1077">
        <v>8298541</v>
      </c>
      <c r="PZX236" s="1077">
        <v>8298541</v>
      </c>
      <c r="PZY236" s="1077">
        <v>8298541</v>
      </c>
      <c r="PZZ236" s="1077">
        <v>8298541</v>
      </c>
      <c r="QAA236" s="1077">
        <v>8298541</v>
      </c>
      <c r="QAB236" s="1077">
        <v>8298541</v>
      </c>
      <c r="QAC236" s="1077">
        <v>8298541</v>
      </c>
      <c r="QAD236" s="1077">
        <v>8298541</v>
      </c>
      <c r="QAE236" s="1077">
        <v>8298541</v>
      </c>
      <c r="QAF236" s="1077">
        <v>8298541</v>
      </c>
      <c r="QAG236" s="1077">
        <v>8298541</v>
      </c>
      <c r="QAH236" s="1077">
        <v>8298541</v>
      </c>
      <c r="QAI236" s="1077">
        <v>8298541</v>
      </c>
      <c r="QAJ236" s="1077">
        <v>8298541</v>
      </c>
      <c r="QAK236" s="1077">
        <v>8298541</v>
      </c>
      <c r="QAL236" s="1077">
        <v>8298541</v>
      </c>
      <c r="QAM236" s="1077">
        <v>8298541</v>
      </c>
      <c r="QAN236" s="1077">
        <v>8298541</v>
      </c>
      <c r="QAO236" s="1077">
        <v>8298541</v>
      </c>
      <c r="QAP236" s="1077">
        <v>8298541</v>
      </c>
      <c r="QAQ236" s="1077">
        <v>8298541</v>
      </c>
      <c r="QAR236" s="1077">
        <v>8298541</v>
      </c>
      <c r="QAS236" s="1077">
        <v>8298541</v>
      </c>
      <c r="QAT236" s="1077">
        <v>8298541</v>
      </c>
      <c r="QAU236" s="1077">
        <v>8298541</v>
      </c>
      <c r="QAV236" s="1077">
        <v>8298541</v>
      </c>
      <c r="QAW236" s="1077">
        <v>8298541</v>
      </c>
      <c r="QAX236" s="1077">
        <v>8298541</v>
      </c>
      <c r="QAY236" s="1077">
        <v>8298541</v>
      </c>
      <c r="QAZ236" s="1077">
        <v>8298541</v>
      </c>
      <c r="QBA236" s="1077">
        <v>8298541</v>
      </c>
      <c r="QBB236" s="1077">
        <v>8298541</v>
      </c>
      <c r="QBC236" s="1077">
        <v>8298541</v>
      </c>
      <c r="QBD236" s="1077">
        <v>8298541</v>
      </c>
      <c r="QBE236" s="1077">
        <v>8298541</v>
      </c>
      <c r="QBF236" s="1077">
        <v>8298541</v>
      </c>
      <c r="QBG236" s="1077">
        <v>8298541</v>
      </c>
      <c r="QBH236" s="1077">
        <v>8298541</v>
      </c>
      <c r="QBI236" s="1077">
        <v>8298541</v>
      </c>
      <c r="QBJ236" s="1077">
        <v>8298541</v>
      </c>
      <c r="QBK236" s="1077">
        <v>8298541</v>
      </c>
      <c r="QBL236" s="1077">
        <v>8298541</v>
      </c>
      <c r="QBM236" s="1077">
        <v>8298541</v>
      </c>
      <c r="QBN236" s="1077">
        <v>8298541</v>
      </c>
      <c r="QBO236" s="1077">
        <v>8298541</v>
      </c>
      <c r="QBP236" s="1077">
        <v>8298541</v>
      </c>
      <c r="QBQ236" s="1077">
        <v>8298541</v>
      </c>
      <c r="QBR236" s="1077">
        <v>8298541</v>
      </c>
      <c r="QBS236" s="1077">
        <v>8298541</v>
      </c>
      <c r="QBT236" s="1077">
        <v>8298541</v>
      </c>
      <c r="QBU236" s="1077">
        <v>8298541</v>
      </c>
      <c r="QBV236" s="1077">
        <v>8298541</v>
      </c>
      <c r="QBW236" s="1077">
        <v>8298541</v>
      </c>
      <c r="QBX236" s="1077">
        <v>8298541</v>
      </c>
      <c r="QBY236" s="1077">
        <v>8298541</v>
      </c>
      <c r="QBZ236" s="1077">
        <v>8298541</v>
      </c>
      <c r="QCA236" s="1077">
        <v>8298541</v>
      </c>
      <c r="QCB236" s="1077">
        <v>8298541</v>
      </c>
      <c r="QCC236" s="1077">
        <v>8298541</v>
      </c>
      <c r="QCD236" s="1077">
        <v>8298541</v>
      </c>
      <c r="QCE236" s="1077">
        <v>8298541</v>
      </c>
      <c r="QCF236" s="1077">
        <v>8298541</v>
      </c>
      <c r="QCG236" s="1077">
        <v>8298541</v>
      </c>
      <c r="QCH236" s="1077">
        <v>8298541</v>
      </c>
      <c r="QCI236" s="1077">
        <v>8298541</v>
      </c>
      <c r="QCJ236" s="1077">
        <v>8298541</v>
      </c>
      <c r="QCK236" s="1077">
        <v>8298541</v>
      </c>
      <c r="QCL236" s="1077">
        <v>8298541</v>
      </c>
      <c r="QCM236" s="1077">
        <v>8298541</v>
      </c>
      <c r="QCN236" s="1077">
        <v>8298541</v>
      </c>
      <c r="QCO236" s="1077">
        <v>8298541</v>
      </c>
      <c r="QCP236" s="1077">
        <v>8298541</v>
      </c>
      <c r="QCQ236" s="1077">
        <v>8298541</v>
      </c>
      <c r="QCR236" s="1077">
        <v>8298541</v>
      </c>
      <c r="QCS236" s="1077">
        <v>8298541</v>
      </c>
      <c r="QCT236" s="1077">
        <v>8298541</v>
      </c>
      <c r="QCU236" s="1077">
        <v>8298541</v>
      </c>
      <c r="QCV236" s="1077">
        <v>8298541</v>
      </c>
      <c r="QCW236" s="1077">
        <v>8298541</v>
      </c>
      <c r="QCX236" s="1077">
        <v>8298541</v>
      </c>
      <c r="QCY236" s="1077">
        <v>8298541</v>
      </c>
      <c r="QCZ236" s="1077">
        <v>8298541</v>
      </c>
      <c r="QDA236" s="1077">
        <v>8298541</v>
      </c>
      <c r="QDB236" s="1077">
        <v>8298541</v>
      </c>
      <c r="QDC236" s="1077">
        <v>8298541</v>
      </c>
      <c r="QDD236" s="1077">
        <v>8298541</v>
      </c>
      <c r="QDE236" s="1077">
        <v>8298541</v>
      </c>
      <c r="QDF236" s="1077">
        <v>8298541</v>
      </c>
      <c r="QDG236" s="1077">
        <v>8298541</v>
      </c>
      <c r="QDH236" s="1077">
        <v>8298541</v>
      </c>
      <c r="QDI236" s="1077">
        <v>8298541</v>
      </c>
      <c r="QDJ236" s="1077">
        <v>8298541</v>
      </c>
      <c r="QDK236" s="1077">
        <v>8298541</v>
      </c>
      <c r="QDL236" s="1077">
        <v>8298541</v>
      </c>
      <c r="QDM236" s="1077">
        <v>8298541</v>
      </c>
      <c r="QDN236" s="1077">
        <v>8298541</v>
      </c>
      <c r="QDO236" s="1077">
        <v>8298541</v>
      </c>
      <c r="QDP236" s="1077">
        <v>8298541</v>
      </c>
      <c r="QDQ236" s="1077">
        <v>8298541</v>
      </c>
      <c r="QDR236" s="1077">
        <v>8298541</v>
      </c>
      <c r="QDS236" s="1077">
        <v>8298541</v>
      </c>
      <c r="QDT236" s="1077">
        <v>8298541</v>
      </c>
      <c r="QDU236" s="1077">
        <v>8298541</v>
      </c>
      <c r="QDV236" s="1077">
        <v>8298541</v>
      </c>
      <c r="QDW236" s="1077">
        <v>8298541</v>
      </c>
      <c r="QDX236" s="1077">
        <v>8298541</v>
      </c>
      <c r="QDY236" s="1077">
        <v>8298541</v>
      </c>
      <c r="QDZ236" s="1077">
        <v>8298541</v>
      </c>
      <c r="QEA236" s="1077">
        <v>8298541</v>
      </c>
      <c r="QEB236" s="1077">
        <v>8298541</v>
      </c>
      <c r="QEC236" s="1077">
        <v>8298541</v>
      </c>
      <c r="QED236" s="1077">
        <v>8298541</v>
      </c>
      <c r="QEE236" s="1077">
        <v>8298541</v>
      </c>
      <c r="QEF236" s="1077">
        <v>8298541</v>
      </c>
      <c r="QEG236" s="1077">
        <v>8298541</v>
      </c>
      <c r="QEH236" s="1077">
        <v>8298541</v>
      </c>
      <c r="QEI236" s="1077">
        <v>8298541</v>
      </c>
      <c r="QEJ236" s="1077">
        <v>8298541</v>
      </c>
      <c r="QEK236" s="1077">
        <v>8298541</v>
      </c>
      <c r="QEL236" s="1077">
        <v>8298541</v>
      </c>
      <c r="QEM236" s="1077">
        <v>8298541</v>
      </c>
      <c r="QEN236" s="1077">
        <v>8298541</v>
      </c>
      <c r="QEO236" s="1077">
        <v>8298541</v>
      </c>
      <c r="QEP236" s="1077">
        <v>8298541</v>
      </c>
      <c r="QEQ236" s="1077">
        <v>8298541</v>
      </c>
      <c r="QER236" s="1077">
        <v>8298541</v>
      </c>
      <c r="QES236" s="1077">
        <v>8298541</v>
      </c>
      <c r="QET236" s="1077">
        <v>8298541</v>
      </c>
      <c r="QEU236" s="1077">
        <v>8298541</v>
      </c>
      <c r="QEV236" s="1077">
        <v>8298541</v>
      </c>
      <c r="QEW236" s="1077">
        <v>8298541</v>
      </c>
      <c r="QEX236" s="1077">
        <v>8298541</v>
      </c>
      <c r="QEY236" s="1077">
        <v>8298541</v>
      </c>
      <c r="QEZ236" s="1077">
        <v>8298541</v>
      </c>
      <c r="QFA236" s="1077">
        <v>8298541</v>
      </c>
      <c r="QFB236" s="1077">
        <v>8298541</v>
      </c>
      <c r="QFC236" s="1077">
        <v>8298541</v>
      </c>
      <c r="QFD236" s="1077">
        <v>8298541</v>
      </c>
      <c r="QFE236" s="1077">
        <v>8298541</v>
      </c>
      <c r="QFF236" s="1077">
        <v>8298541</v>
      </c>
      <c r="QFG236" s="1077">
        <v>8298541</v>
      </c>
      <c r="QFH236" s="1077">
        <v>8298541</v>
      </c>
      <c r="QFI236" s="1077">
        <v>8298541</v>
      </c>
      <c r="QFJ236" s="1077">
        <v>8298541</v>
      </c>
      <c r="QFK236" s="1077">
        <v>8298541</v>
      </c>
      <c r="QFL236" s="1077">
        <v>8298541</v>
      </c>
      <c r="QFM236" s="1077">
        <v>8298541</v>
      </c>
      <c r="QFN236" s="1077">
        <v>8298541</v>
      </c>
      <c r="QFO236" s="1077">
        <v>8298541</v>
      </c>
      <c r="QFP236" s="1077">
        <v>8298541</v>
      </c>
      <c r="QFQ236" s="1077">
        <v>8298541</v>
      </c>
      <c r="QFR236" s="1077">
        <v>8298541</v>
      </c>
      <c r="QFS236" s="1077">
        <v>8298541</v>
      </c>
      <c r="QFT236" s="1077">
        <v>8298541</v>
      </c>
      <c r="QFU236" s="1077">
        <v>8298541</v>
      </c>
      <c r="QFV236" s="1077">
        <v>8298541</v>
      </c>
      <c r="QFW236" s="1077">
        <v>8298541</v>
      </c>
      <c r="QFX236" s="1077">
        <v>8298541</v>
      </c>
      <c r="QFY236" s="1077">
        <v>8298541</v>
      </c>
      <c r="QFZ236" s="1077">
        <v>8298541</v>
      </c>
      <c r="QGA236" s="1077">
        <v>8298541</v>
      </c>
      <c r="QGB236" s="1077">
        <v>8298541</v>
      </c>
      <c r="QGC236" s="1077">
        <v>8298541</v>
      </c>
      <c r="QGD236" s="1077">
        <v>8298541</v>
      </c>
      <c r="QGE236" s="1077">
        <v>8298541</v>
      </c>
      <c r="QGF236" s="1077">
        <v>8298541</v>
      </c>
      <c r="QGG236" s="1077">
        <v>8298541</v>
      </c>
      <c r="QGH236" s="1077">
        <v>8298541</v>
      </c>
      <c r="QGI236" s="1077">
        <v>8298541</v>
      </c>
      <c r="QGJ236" s="1077">
        <v>8298541</v>
      </c>
      <c r="QGK236" s="1077">
        <v>8298541</v>
      </c>
      <c r="QGL236" s="1077">
        <v>8298541</v>
      </c>
      <c r="QGM236" s="1077">
        <v>8298541</v>
      </c>
      <c r="QGN236" s="1077">
        <v>8298541</v>
      </c>
      <c r="QGO236" s="1077">
        <v>8298541</v>
      </c>
      <c r="QGP236" s="1077">
        <v>8298541</v>
      </c>
      <c r="QGQ236" s="1077">
        <v>8298541</v>
      </c>
      <c r="QGR236" s="1077">
        <v>8298541</v>
      </c>
      <c r="QGS236" s="1077">
        <v>8298541</v>
      </c>
      <c r="QGT236" s="1077">
        <v>8298541</v>
      </c>
      <c r="QGU236" s="1077">
        <v>8298541</v>
      </c>
      <c r="QGV236" s="1077">
        <v>8298541</v>
      </c>
      <c r="QGW236" s="1077">
        <v>8298541</v>
      </c>
      <c r="QGX236" s="1077">
        <v>8298541</v>
      </c>
      <c r="QGY236" s="1077">
        <v>8298541</v>
      </c>
      <c r="QGZ236" s="1077">
        <v>8298541</v>
      </c>
      <c r="QHA236" s="1077">
        <v>8298541</v>
      </c>
      <c r="QHB236" s="1077">
        <v>8298541</v>
      </c>
      <c r="QHC236" s="1077">
        <v>8298541</v>
      </c>
      <c r="QHD236" s="1077">
        <v>8298541</v>
      </c>
      <c r="QHE236" s="1077">
        <v>8298541</v>
      </c>
      <c r="QHF236" s="1077">
        <v>8298541</v>
      </c>
      <c r="QHG236" s="1077">
        <v>8298541</v>
      </c>
      <c r="QHH236" s="1077">
        <v>8298541</v>
      </c>
      <c r="QHI236" s="1077">
        <v>8298541</v>
      </c>
      <c r="QHJ236" s="1077">
        <v>8298541</v>
      </c>
      <c r="QHK236" s="1077">
        <v>8298541</v>
      </c>
      <c r="QHL236" s="1077">
        <v>8298541</v>
      </c>
      <c r="QHM236" s="1077">
        <v>8298541</v>
      </c>
      <c r="QHN236" s="1077">
        <v>8298541</v>
      </c>
      <c r="QHO236" s="1077">
        <v>8298541</v>
      </c>
      <c r="QHP236" s="1077">
        <v>8298541</v>
      </c>
      <c r="QHQ236" s="1077">
        <v>8298541</v>
      </c>
      <c r="QHR236" s="1077">
        <v>8298541</v>
      </c>
      <c r="QHS236" s="1077">
        <v>8298541</v>
      </c>
      <c r="QHT236" s="1077">
        <v>8298541</v>
      </c>
      <c r="QHU236" s="1077">
        <v>8298541</v>
      </c>
      <c r="QHV236" s="1077">
        <v>8298541</v>
      </c>
      <c r="QHW236" s="1077">
        <v>8298541</v>
      </c>
      <c r="QHX236" s="1077">
        <v>8298541</v>
      </c>
      <c r="QHY236" s="1077">
        <v>8298541</v>
      </c>
      <c r="QHZ236" s="1077">
        <v>8298541</v>
      </c>
      <c r="QIA236" s="1077">
        <v>8298541</v>
      </c>
      <c r="QIB236" s="1077">
        <v>8298541</v>
      </c>
      <c r="QIC236" s="1077">
        <v>8298541</v>
      </c>
      <c r="QID236" s="1077">
        <v>8298541</v>
      </c>
      <c r="QIE236" s="1077">
        <v>8298541</v>
      </c>
      <c r="QIF236" s="1077">
        <v>8298541</v>
      </c>
      <c r="QIG236" s="1077">
        <v>8298541</v>
      </c>
      <c r="QIH236" s="1077">
        <v>8298541</v>
      </c>
      <c r="QII236" s="1077">
        <v>8298541</v>
      </c>
      <c r="QIJ236" s="1077">
        <v>8298541</v>
      </c>
      <c r="QIK236" s="1077">
        <v>8298541</v>
      </c>
      <c r="QIL236" s="1077">
        <v>8298541</v>
      </c>
      <c r="QIM236" s="1077">
        <v>8298541</v>
      </c>
      <c r="QIN236" s="1077">
        <v>8298541</v>
      </c>
      <c r="QIO236" s="1077">
        <v>8298541</v>
      </c>
      <c r="QIP236" s="1077">
        <v>8298541</v>
      </c>
      <c r="QIQ236" s="1077">
        <v>8298541</v>
      </c>
      <c r="QIR236" s="1077">
        <v>8298541</v>
      </c>
      <c r="QIS236" s="1077">
        <v>8298541</v>
      </c>
      <c r="QIT236" s="1077">
        <v>8298541</v>
      </c>
      <c r="QIU236" s="1077">
        <v>8298541</v>
      </c>
      <c r="QIV236" s="1077">
        <v>8298541</v>
      </c>
      <c r="QIW236" s="1077">
        <v>8298541</v>
      </c>
      <c r="QIX236" s="1077">
        <v>8298541</v>
      </c>
      <c r="QIY236" s="1077">
        <v>8298541</v>
      </c>
      <c r="QIZ236" s="1077">
        <v>8298541</v>
      </c>
      <c r="QJA236" s="1077">
        <v>8298541</v>
      </c>
      <c r="QJB236" s="1077">
        <v>8298541</v>
      </c>
      <c r="QJC236" s="1077">
        <v>8298541</v>
      </c>
      <c r="QJD236" s="1077">
        <v>8298541</v>
      </c>
      <c r="QJE236" s="1077">
        <v>8298541</v>
      </c>
      <c r="QJF236" s="1077">
        <v>8298541</v>
      </c>
      <c r="QJG236" s="1077">
        <v>8298541</v>
      </c>
      <c r="QJH236" s="1077">
        <v>8298541</v>
      </c>
      <c r="QJI236" s="1077">
        <v>8298541</v>
      </c>
      <c r="QJJ236" s="1077">
        <v>8298541</v>
      </c>
      <c r="QJK236" s="1077">
        <v>8298541</v>
      </c>
      <c r="QJL236" s="1077">
        <v>8298541</v>
      </c>
      <c r="QJM236" s="1077">
        <v>8298541</v>
      </c>
      <c r="QJN236" s="1077">
        <v>8298541</v>
      </c>
      <c r="QJO236" s="1077">
        <v>8298541</v>
      </c>
      <c r="QJP236" s="1077">
        <v>8298541</v>
      </c>
      <c r="QJQ236" s="1077">
        <v>8298541</v>
      </c>
      <c r="QJR236" s="1077">
        <v>8298541</v>
      </c>
      <c r="QJS236" s="1077">
        <v>8298541</v>
      </c>
      <c r="QJT236" s="1077">
        <v>8298541</v>
      </c>
      <c r="QJU236" s="1077">
        <v>8298541</v>
      </c>
      <c r="QJV236" s="1077">
        <v>8298541</v>
      </c>
      <c r="QJW236" s="1077">
        <v>8298541</v>
      </c>
      <c r="QJX236" s="1077">
        <v>8298541</v>
      </c>
      <c r="QJY236" s="1077">
        <v>8298541</v>
      </c>
      <c r="QJZ236" s="1077">
        <v>8298541</v>
      </c>
      <c r="QKA236" s="1077">
        <v>8298541</v>
      </c>
      <c r="QKB236" s="1077">
        <v>8298541</v>
      </c>
      <c r="QKC236" s="1077">
        <v>8298541</v>
      </c>
      <c r="QKD236" s="1077">
        <v>8298541</v>
      </c>
      <c r="QKE236" s="1077">
        <v>8298541</v>
      </c>
      <c r="QKF236" s="1077">
        <v>8298541</v>
      </c>
      <c r="QKG236" s="1077">
        <v>8298541</v>
      </c>
      <c r="QKH236" s="1077">
        <v>8298541</v>
      </c>
      <c r="QKI236" s="1077">
        <v>8298541</v>
      </c>
      <c r="QKJ236" s="1077">
        <v>8298541</v>
      </c>
      <c r="QKK236" s="1077">
        <v>8298541</v>
      </c>
      <c r="QKL236" s="1077">
        <v>8298541</v>
      </c>
      <c r="QKM236" s="1077">
        <v>8298541</v>
      </c>
      <c r="QKN236" s="1077">
        <v>8298541</v>
      </c>
      <c r="QKO236" s="1077">
        <v>8298541</v>
      </c>
      <c r="QKP236" s="1077">
        <v>8298541</v>
      </c>
      <c r="QKQ236" s="1077">
        <v>8298541</v>
      </c>
      <c r="QKR236" s="1077">
        <v>8298541</v>
      </c>
      <c r="QKS236" s="1077">
        <v>8298541</v>
      </c>
      <c r="QKT236" s="1077">
        <v>8298541</v>
      </c>
      <c r="QKU236" s="1077">
        <v>8298541</v>
      </c>
      <c r="QKV236" s="1077">
        <v>8298541</v>
      </c>
      <c r="QKW236" s="1077">
        <v>8298541</v>
      </c>
      <c r="QKX236" s="1077">
        <v>8298541</v>
      </c>
      <c r="QKY236" s="1077">
        <v>8298541</v>
      </c>
      <c r="QKZ236" s="1077">
        <v>8298541</v>
      </c>
      <c r="QLA236" s="1077">
        <v>8298541</v>
      </c>
      <c r="QLB236" s="1077">
        <v>8298541</v>
      </c>
      <c r="QLC236" s="1077">
        <v>8298541</v>
      </c>
      <c r="QLD236" s="1077">
        <v>8298541</v>
      </c>
      <c r="QLE236" s="1077">
        <v>8298541</v>
      </c>
      <c r="QLF236" s="1077">
        <v>8298541</v>
      </c>
      <c r="QLG236" s="1077">
        <v>8298541</v>
      </c>
      <c r="QLH236" s="1077">
        <v>8298541</v>
      </c>
      <c r="QLI236" s="1077">
        <v>8298541</v>
      </c>
      <c r="QLJ236" s="1077">
        <v>8298541</v>
      </c>
      <c r="QLK236" s="1077">
        <v>8298541</v>
      </c>
      <c r="QLL236" s="1077">
        <v>8298541</v>
      </c>
      <c r="QLM236" s="1077">
        <v>8298541</v>
      </c>
      <c r="QLN236" s="1077">
        <v>8298541</v>
      </c>
      <c r="QLO236" s="1077">
        <v>8298541</v>
      </c>
      <c r="QLP236" s="1077">
        <v>8298541</v>
      </c>
      <c r="QLQ236" s="1077">
        <v>8298541</v>
      </c>
      <c r="QLR236" s="1077">
        <v>8298541</v>
      </c>
      <c r="QLS236" s="1077">
        <v>8298541</v>
      </c>
      <c r="QLT236" s="1077">
        <v>8298541</v>
      </c>
      <c r="QLU236" s="1077">
        <v>8298541</v>
      </c>
      <c r="QLV236" s="1077">
        <v>8298541</v>
      </c>
      <c r="QLW236" s="1077">
        <v>8298541</v>
      </c>
      <c r="QLX236" s="1077">
        <v>8298541</v>
      </c>
      <c r="QLY236" s="1077">
        <v>8298541</v>
      </c>
      <c r="QLZ236" s="1077">
        <v>8298541</v>
      </c>
      <c r="QMA236" s="1077">
        <v>8298541</v>
      </c>
      <c r="QMB236" s="1077">
        <v>8298541</v>
      </c>
      <c r="QMC236" s="1077">
        <v>8298541</v>
      </c>
      <c r="QMD236" s="1077">
        <v>8298541</v>
      </c>
      <c r="QME236" s="1077">
        <v>8298541</v>
      </c>
      <c r="QMF236" s="1077">
        <v>8298541</v>
      </c>
      <c r="QMG236" s="1077">
        <v>8298541</v>
      </c>
      <c r="QMH236" s="1077">
        <v>8298541</v>
      </c>
      <c r="QMI236" s="1077">
        <v>8298541</v>
      </c>
      <c r="QMJ236" s="1077">
        <v>8298541</v>
      </c>
      <c r="QMK236" s="1077">
        <v>8298541</v>
      </c>
      <c r="QML236" s="1077">
        <v>8298541</v>
      </c>
      <c r="QMM236" s="1077">
        <v>8298541</v>
      </c>
      <c r="QMN236" s="1077">
        <v>8298541</v>
      </c>
      <c r="QMO236" s="1077">
        <v>8298541</v>
      </c>
      <c r="QMP236" s="1077">
        <v>8298541</v>
      </c>
      <c r="QMQ236" s="1077">
        <v>8298541</v>
      </c>
      <c r="QMR236" s="1077">
        <v>8298541</v>
      </c>
      <c r="QMS236" s="1077">
        <v>8298541</v>
      </c>
      <c r="QMT236" s="1077">
        <v>8298541</v>
      </c>
      <c r="QMU236" s="1077">
        <v>8298541</v>
      </c>
      <c r="QMV236" s="1077">
        <v>8298541</v>
      </c>
      <c r="QMW236" s="1077">
        <v>8298541</v>
      </c>
      <c r="QMX236" s="1077">
        <v>8298541</v>
      </c>
      <c r="QMY236" s="1077">
        <v>8298541</v>
      </c>
      <c r="QMZ236" s="1077">
        <v>8298541</v>
      </c>
      <c r="QNA236" s="1077">
        <v>8298541</v>
      </c>
      <c r="QNB236" s="1077">
        <v>8298541</v>
      </c>
      <c r="QNC236" s="1077">
        <v>8298541</v>
      </c>
      <c r="QND236" s="1077">
        <v>8298541</v>
      </c>
      <c r="QNE236" s="1077">
        <v>8298541</v>
      </c>
      <c r="QNF236" s="1077">
        <v>8298541</v>
      </c>
      <c r="QNG236" s="1077">
        <v>8298541</v>
      </c>
      <c r="QNH236" s="1077">
        <v>8298541</v>
      </c>
      <c r="QNI236" s="1077">
        <v>8298541</v>
      </c>
      <c r="QNJ236" s="1077">
        <v>8298541</v>
      </c>
      <c r="QNK236" s="1077">
        <v>8298541</v>
      </c>
      <c r="QNL236" s="1077">
        <v>8298541</v>
      </c>
      <c r="QNM236" s="1077">
        <v>8298541</v>
      </c>
      <c r="QNN236" s="1077">
        <v>8298541</v>
      </c>
      <c r="QNO236" s="1077">
        <v>8298541</v>
      </c>
      <c r="QNP236" s="1077">
        <v>8298541</v>
      </c>
      <c r="QNQ236" s="1077">
        <v>8298541</v>
      </c>
      <c r="QNR236" s="1077">
        <v>8298541</v>
      </c>
      <c r="QNS236" s="1077">
        <v>8298541</v>
      </c>
      <c r="QNT236" s="1077">
        <v>8298541</v>
      </c>
      <c r="QNU236" s="1077">
        <v>8298541</v>
      </c>
      <c r="QNV236" s="1077">
        <v>8298541</v>
      </c>
      <c r="QNW236" s="1077">
        <v>8298541</v>
      </c>
      <c r="QNX236" s="1077">
        <v>8298541</v>
      </c>
      <c r="QNY236" s="1077">
        <v>8298541</v>
      </c>
      <c r="QNZ236" s="1077">
        <v>8298541</v>
      </c>
      <c r="QOA236" s="1077">
        <v>8298541</v>
      </c>
      <c r="QOB236" s="1077">
        <v>8298541</v>
      </c>
      <c r="QOC236" s="1077">
        <v>8298541</v>
      </c>
      <c r="QOD236" s="1077">
        <v>8298541</v>
      </c>
      <c r="QOE236" s="1077">
        <v>8298541</v>
      </c>
      <c r="QOF236" s="1077">
        <v>8298541</v>
      </c>
      <c r="QOG236" s="1077">
        <v>8298541</v>
      </c>
      <c r="QOH236" s="1077">
        <v>8298541</v>
      </c>
      <c r="QOI236" s="1077">
        <v>8298541</v>
      </c>
      <c r="QOJ236" s="1077">
        <v>8298541</v>
      </c>
      <c r="QOK236" s="1077">
        <v>8298541</v>
      </c>
      <c r="QOL236" s="1077">
        <v>8298541</v>
      </c>
      <c r="QOM236" s="1077">
        <v>8298541</v>
      </c>
      <c r="QON236" s="1077">
        <v>8298541</v>
      </c>
      <c r="QOO236" s="1077">
        <v>8298541</v>
      </c>
      <c r="QOP236" s="1077">
        <v>8298541</v>
      </c>
      <c r="QOQ236" s="1077">
        <v>8298541</v>
      </c>
      <c r="QOR236" s="1077">
        <v>8298541</v>
      </c>
      <c r="QOS236" s="1077">
        <v>8298541</v>
      </c>
      <c r="QOT236" s="1077">
        <v>8298541</v>
      </c>
      <c r="QOU236" s="1077">
        <v>8298541</v>
      </c>
      <c r="QOV236" s="1077">
        <v>8298541</v>
      </c>
      <c r="QOW236" s="1077">
        <v>8298541</v>
      </c>
      <c r="QOX236" s="1077">
        <v>8298541</v>
      </c>
      <c r="QOY236" s="1077">
        <v>8298541</v>
      </c>
      <c r="QOZ236" s="1077">
        <v>8298541</v>
      </c>
      <c r="QPA236" s="1077">
        <v>8298541</v>
      </c>
      <c r="QPB236" s="1077">
        <v>8298541</v>
      </c>
      <c r="QPC236" s="1077">
        <v>8298541</v>
      </c>
      <c r="QPD236" s="1077">
        <v>8298541</v>
      </c>
      <c r="QPE236" s="1077">
        <v>8298541</v>
      </c>
      <c r="QPF236" s="1077">
        <v>8298541</v>
      </c>
      <c r="QPG236" s="1077">
        <v>8298541</v>
      </c>
      <c r="QPH236" s="1077">
        <v>8298541</v>
      </c>
      <c r="QPI236" s="1077">
        <v>8298541</v>
      </c>
      <c r="QPJ236" s="1077">
        <v>8298541</v>
      </c>
      <c r="QPK236" s="1077">
        <v>8298541</v>
      </c>
      <c r="QPL236" s="1077">
        <v>8298541</v>
      </c>
      <c r="QPM236" s="1077">
        <v>8298541</v>
      </c>
      <c r="QPN236" s="1077">
        <v>8298541</v>
      </c>
      <c r="QPO236" s="1077">
        <v>8298541</v>
      </c>
      <c r="QPP236" s="1077">
        <v>8298541</v>
      </c>
      <c r="QPQ236" s="1077">
        <v>8298541</v>
      </c>
      <c r="QPR236" s="1077">
        <v>8298541</v>
      </c>
      <c r="QPS236" s="1077">
        <v>8298541</v>
      </c>
      <c r="QPT236" s="1077">
        <v>8298541</v>
      </c>
      <c r="QPU236" s="1077">
        <v>8298541</v>
      </c>
      <c r="QPV236" s="1077">
        <v>8298541</v>
      </c>
      <c r="QPW236" s="1077">
        <v>8298541</v>
      </c>
      <c r="QPX236" s="1077">
        <v>8298541</v>
      </c>
      <c r="QPY236" s="1077">
        <v>8298541</v>
      </c>
      <c r="QPZ236" s="1077">
        <v>8298541</v>
      </c>
      <c r="QQA236" s="1077">
        <v>8298541</v>
      </c>
      <c r="QQB236" s="1077">
        <v>8298541</v>
      </c>
      <c r="QQC236" s="1077">
        <v>8298541</v>
      </c>
      <c r="QQD236" s="1077">
        <v>8298541</v>
      </c>
      <c r="QQE236" s="1077">
        <v>8298541</v>
      </c>
      <c r="QQF236" s="1077">
        <v>8298541</v>
      </c>
      <c r="QQG236" s="1077">
        <v>8298541</v>
      </c>
      <c r="QQH236" s="1077">
        <v>8298541</v>
      </c>
      <c r="QQI236" s="1077">
        <v>8298541</v>
      </c>
      <c r="QQJ236" s="1077">
        <v>8298541</v>
      </c>
      <c r="QQK236" s="1077">
        <v>8298541</v>
      </c>
      <c r="QQL236" s="1077">
        <v>8298541</v>
      </c>
      <c r="QQM236" s="1077">
        <v>8298541</v>
      </c>
      <c r="QQN236" s="1077">
        <v>8298541</v>
      </c>
      <c r="QQO236" s="1077">
        <v>8298541</v>
      </c>
      <c r="QQP236" s="1077">
        <v>8298541</v>
      </c>
      <c r="QQQ236" s="1077">
        <v>8298541</v>
      </c>
      <c r="QQR236" s="1077">
        <v>8298541</v>
      </c>
      <c r="QQS236" s="1077">
        <v>8298541</v>
      </c>
      <c r="QQT236" s="1077">
        <v>8298541</v>
      </c>
      <c r="QQU236" s="1077">
        <v>8298541</v>
      </c>
      <c r="QQV236" s="1077">
        <v>8298541</v>
      </c>
      <c r="QQW236" s="1077">
        <v>8298541</v>
      </c>
      <c r="QQX236" s="1077">
        <v>8298541</v>
      </c>
      <c r="QQY236" s="1077">
        <v>8298541</v>
      </c>
      <c r="QQZ236" s="1077">
        <v>8298541</v>
      </c>
      <c r="QRA236" s="1077">
        <v>8298541</v>
      </c>
      <c r="QRB236" s="1077">
        <v>8298541</v>
      </c>
      <c r="QRC236" s="1077">
        <v>8298541</v>
      </c>
      <c r="QRD236" s="1077">
        <v>8298541</v>
      </c>
      <c r="QRE236" s="1077">
        <v>8298541</v>
      </c>
      <c r="QRF236" s="1077">
        <v>8298541</v>
      </c>
      <c r="QRG236" s="1077">
        <v>8298541</v>
      </c>
      <c r="QRH236" s="1077">
        <v>8298541</v>
      </c>
      <c r="QRI236" s="1077">
        <v>8298541</v>
      </c>
      <c r="QRJ236" s="1077">
        <v>8298541</v>
      </c>
      <c r="QRK236" s="1077">
        <v>8298541</v>
      </c>
      <c r="QRL236" s="1077">
        <v>8298541</v>
      </c>
      <c r="QRM236" s="1077">
        <v>8298541</v>
      </c>
      <c r="QRN236" s="1077">
        <v>8298541</v>
      </c>
      <c r="QRO236" s="1077">
        <v>8298541</v>
      </c>
      <c r="QRP236" s="1077">
        <v>8298541</v>
      </c>
      <c r="QRQ236" s="1077">
        <v>8298541</v>
      </c>
      <c r="QRR236" s="1077">
        <v>8298541</v>
      </c>
      <c r="QRS236" s="1077">
        <v>8298541</v>
      </c>
      <c r="QRT236" s="1077">
        <v>8298541</v>
      </c>
      <c r="QRU236" s="1077">
        <v>8298541</v>
      </c>
      <c r="QRV236" s="1077">
        <v>8298541</v>
      </c>
      <c r="QRW236" s="1077">
        <v>8298541</v>
      </c>
      <c r="QRX236" s="1077">
        <v>8298541</v>
      </c>
      <c r="QRY236" s="1077">
        <v>8298541</v>
      </c>
      <c r="QRZ236" s="1077">
        <v>8298541</v>
      </c>
      <c r="QSA236" s="1077">
        <v>8298541</v>
      </c>
      <c r="QSB236" s="1077">
        <v>8298541</v>
      </c>
      <c r="QSC236" s="1077">
        <v>8298541</v>
      </c>
      <c r="QSD236" s="1077">
        <v>8298541</v>
      </c>
      <c r="QSE236" s="1077">
        <v>8298541</v>
      </c>
      <c r="QSF236" s="1077">
        <v>8298541</v>
      </c>
      <c r="QSG236" s="1077">
        <v>8298541</v>
      </c>
      <c r="QSH236" s="1077">
        <v>8298541</v>
      </c>
      <c r="QSI236" s="1077">
        <v>8298541</v>
      </c>
      <c r="QSJ236" s="1077">
        <v>8298541</v>
      </c>
      <c r="QSK236" s="1077">
        <v>8298541</v>
      </c>
      <c r="QSL236" s="1077">
        <v>8298541</v>
      </c>
      <c r="QSM236" s="1077">
        <v>8298541</v>
      </c>
      <c r="QSN236" s="1077">
        <v>8298541</v>
      </c>
      <c r="QSO236" s="1077">
        <v>8298541</v>
      </c>
      <c r="QSP236" s="1077">
        <v>8298541</v>
      </c>
      <c r="QSQ236" s="1077">
        <v>8298541</v>
      </c>
      <c r="QSR236" s="1077">
        <v>8298541</v>
      </c>
      <c r="QSS236" s="1077">
        <v>8298541</v>
      </c>
      <c r="QST236" s="1077">
        <v>8298541</v>
      </c>
      <c r="QSU236" s="1077">
        <v>8298541</v>
      </c>
      <c r="QSV236" s="1077">
        <v>8298541</v>
      </c>
      <c r="QSW236" s="1077">
        <v>8298541</v>
      </c>
      <c r="QSX236" s="1077">
        <v>8298541</v>
      </c>
      <c r="QSY236" s="1077">
        <v>8298541</v>
      </c>
      <c r="QSZ236" s="1077">
        <v>8298541</v>
      </c>
      <c r="QTA236" s="1077">
        <v>8298541</v>
      </c>
      <c r="QTB236" s="1077">
        <v>8298541</v>
      </c>
      <c r="QTC236" s="1077">
        <v>8298541</v>
      </c>
      <c r="QTD236" s="1077">
        <v>8298541</v>
      </c>
      <c r="QTE236" s="1077">
        <v>8298541</v>
      </c>
      <c r="QTF236" s="1077">
        <v>8298541</v>
      </c>
      <c r="QTG236" s="1077">
        <v>8298541</v>
      </c>
      <c r="QTH236" s="1077">
        <v>8298541</v>
      </c>
      <c r="QTI236" s="1077">
        <v>8298541</v>
      </c>
      <c r="QTJ236" s="1077">
        <v>8298541</v>
      </c>
      <c r="QTK236" s="1077">
        <v>8298541</v>
      </c>
      <c r="QTL236" s="1077">
        <v>8298541</v>
      </c>
      <c r="QTM236" s="1077">
        <v>8298541</v>
      </c>
      <c r="QTN236" s="1077">
        <v>8298541</v>
      </c>
      <c r="QTO236" s="1077">
        <v>8298541</v>
      </c>
      <c r="QTP236" s="1077">
        <v>8298541</v>
      </c>
      <c r="QTQ236" s="1077">
        <v>8298541</v>
      </c>
      <c r="QTR236" s="1077">
        <v>8298541</v>
      </c>
      <c r="QTS236" s="1077">
        <v>8298541</v>
      </c>
      <c r="QTT236" s="1077">
        <v>8298541</v>
      </c>
      <c r="QTU236" s="1077">
        <v>8298541</v>
      </c>
      <c r="QTV236" s="1077">
        <v>8298541</v>
      </c>
      <c r="QTW236" s="1077">
        <v>8298541</v>
      </c>
      <c r="QTX236" s="1077">
        <v>8298541</v>
      </c>
      <c r="QTY236" s="1077">
        <v>8298541</v>
      </c>
      <c r="QTZ236" s="1077">
        <v>8298541</v>
      </c>
      <c r="QUA236" s="1077">
        <v>8298541</v>
      </c>
      <c r="QUB236" s="1077">
        <v>8298541</v>
      </c>
      <c r="QUC236" s="1077">
        <v>8298541</v>
      </c>
      <c r="QUD236" s="1077">
        <v>8298541</v>
      </c>
      <c r="QUE236" s="1077">
        <v>8298541</v>
      </c>
      <c r="QUF236" s="1077">
        <v>8298541</v>
      </c>
      <c r="QUG236" s="1077">
        <v>8298541</v>
      </c>
      <c r="QUH236" s="1077">
        <v>8298541</v>
      </c>
      <c r="QUI236" s="1077">
        <v>8298541</v>
      </c>
      <c r="QUJ236" s="1077">
        <v>8298541</v>
      </c>
      <c r="QUK236" s="1077">
        <v>8298541</v>
      </c>
      <c r="QUL236" s="1077">
        <v>8298541</v>
      </c>
      <c r="QUM236" s="1077">
        <v>8298541</v>
      </c>
      <c r="QUN236" s="1077">
        <v>8298541</v>
      </c>
      <c r="QUO236" s="1077">
        <v>8298541</v>
      </c>
      <c r="QUP236" s="1077">
        <v>8298541</v>
      </c>
      <c r="QUQ236" s="1077">
        <v>8298541</v>
      </c>
      <c r="QUR236" s="1077">
        <v>8298541</v>
      </c>
      <c r="QUS236" s="1077">
        <v>8298541</v>
      </c>
      <c r="QUT236" s="1077">
        <v>8298541</v>
      </c>
      <c r="QUU236" s="1077">
        <v>8298541</v>
      </c>
      <c r="QUV236" s="1077">
        <v>8298541</v>
      </c>
      <c r="QUW236" s="1077">
        <v>8298541</v>
      </c>
      <c r="QUX236" s="1077">
        <v>8298541</v>
      </c>
      <c r="QUY236" s="1077">
        <v>8298541</v>
      </c>
      <c r="QUZ236" s="1077">
        <v>8298541</v>
      </c>
      <c r="QVA236" s="1077">
        <v>8298541</v>
      </c>
      <c r="QVB236" s="1077">
        <v>8298541</v>
      </c>
      <c r="QVC236" s="1077">
        <v>8298541</v>
      </c>
      <c r="QVD236" s="1077">
        <v>8298541</v>
      </c>
      <c r="QVE236" s="1077">
        <v>8298541</v>
      </c>
      <c r="QVF236" s="1077">
        <v>8298541</v>
      </c>
      <c r="QVG236" s="1077">
        <v>8298541</v>
      </c>
      <c r="QVH236" s="1077">
        <v>8298541</v>
      </c>
      <c r="QVI236" s="1077">
        <v>8298541</v>
      </c>
      <c r="QVJ236" s="1077">
        <v>8298541</v>
      </c>
      <c r="QVK236" s="1077">
        <v>8298541</v>
      </c>
      <c r="QVL236" s="1077">
        <v>8298541</v>
      </c>
      <c r="QVM236" s="1077">
        <v>8298541</v>
      </c>
      <c r="QVN236" s="1077">
        <v>8298541</v>
      </c>
      <c r="QVO236" s="1077">
        <v>8298541</v>
      </c>
      <c r="QVP236" s="1077">
        <v>8298541</v>
      </c>
      <c r="QVQ236" s="1077">
        <v>8298541</v>
      </c>
      <c r="QVR236" s="1077">
        <v>8298541</v>
      </c>
      <c r="QVS236" s="1077">
        <v>8298541</v>
      </c>
      <c r="QVT236" s="1077">
        <v>8298541</v>
      </c>
      <c r="QVU236" s="1077">
        <v>8298541</v>
      </c>
      <c r="QVV236" s="1077">
        <v>8298541</v>
      </c>
      <c r="QVW236" s="1077">
        <v>8298541</v>
      </c>
      <c r="QVX236" s="1077">
        <v>8298541</v>
      </c>
      <c r="QVY236" s="1077">
        <v>8298541</v>
      </c>
      <c r="QVZ236" s="1077">
        <v>8298541</v>
      </c>
      <c r="QWA236" s="1077">
        <v>8298541</v>
      </c>
      <c r="QWB236" s="1077">
        <v>8298541</v>
      </c>
      <c r="QWC236" s="1077">
        <v>8298541</v>
      </c>
      <c r="QWD236" s="1077">
        <v>8298541</v>
      </c>
      <c r="QWE236" s="1077">
        <v>8298541</v>
      </c>
      <c r="QWF236" s="1077">
        <v>8298541</v>
      </c>
      <c r="QWG236" s="1077">
        <v>8298541</v>
      </c>
      <c r="QWH236" s="1077">
        <v>8298541</v>
      </c>
      <c r="QWI236" s="1077">
        <v>8298541</v>
      </c>
      <c r="QWJ236" s="1077">
        <v>8298541</v>
      </c>
      <c r="QWK236" s="1077">
        <v>8298541</v>
      </c>
      <c r="QWL236" s="1077">
        <v>8298541</v>
      </c>
      <c r="QWM236" s="1077">
        <v>8298541</v>
      </c>
      <c r="QWN236" s="1077">
        <v>8298541</v>
      </c>
      <c r="QWO236" s="1077">
        <v>8298541</v>
      </c>
      <c r="QWP236" s="1077">
        <v>8298541</v>
      </c>
      <c r="QWQ236" s="1077">
        <v>8298541</v>
      </c>
      <c r="QWR236" s="1077">
        <v>8298541</v>
      </c>
      <c r="QWS236" s="1077">
        <v>8298541</v>
      </c>
      <c r="QWT236" s="1077">
        <v>8298541</v>
      </c>
      <c r="QWU236" s="1077">
        <v>8298541</v>
      </c>
      <c r="QWV236" s="1077">
        <v>8298541</v>
      </c>
      <c r="QWW236" s="1077">
        <v>8298541</v>
      </c>
      <c r="QWX236" s="1077">
        <v>8298541</v>
      </c>
      <c r="QWY236" s="1077">
        <v>8298541</v>
      </c>
      <c r="QWZ236" s="1077">
        <v>8298541</v>
      </c>
      <c r="QXA236" s="1077">
        <v>8298541</v>
      </c>
      <c r="QXB236" s="1077">
        <v>8298541</v>
      </c>
      <c r="QXC236" s="1077">
        <v>8298541</v>
      </c>
      <c r="QXD236" s="1077">
        <v>8298541</v>
      </c>
      <c r="QXE236" s="1077">
        <v>8298541</v>
      </c>
      <c r="QXF236" s="1077">
        <v>8298541</v>
      </c>
      <c r="QXG236" s="1077">
        <v>8298541</v>
      </c>
      <c r="QXH236" s="1077">
        <v>8298541</v>
      </c>
      <c r="QXI236" s="1077">
        <v>8298541</v>
      </c>
      <c r="QXJ236" s="1077">
        <v>8298541</v>
      </c>
      <c r="QXK236" s="1077">
        <v>8298541</v>
      </c>
      <c r="QXL236" s="1077">
        <v>8298541</v>
      </c>
      <c r="QXM236" s="1077">
        <v>8298541</v>
      </c>
      <c r="QXN236" s="1077">
        <v>8298541</v>
      </c>
      <c r="QXO236" s="1077">
        <v>8298541</v>
      </c>
      <c r="QXP236" s="1077">
        <v>8298541</v>
      </c>
      <c r="QXQ236" s="1077">
        <v>8298541</v>
      </c>
      <c r="QXR236" s="1077">
        <v>8298541</v>
      </c>
      <c r="QXS236" s="1077">
        <v>8298541</v>
      </c>
      <c r="QXT236" s="1077">
        <v>8298541</v>
      </c>
      <c r="QXU236" s="1077">
        <v>8298541</v>
      </c>
      <c r="QXV236" s="1077">
        <v>8298541</v>
      </c>
      <c r="QXW236" s="1077">
        <v>8298541</v>
      </c>
      <c r="QXX236" s="1077">
        <v>8298541</v>
      </c>
      <c r="QXY236" s="1077">
        <v>8298541</v>
      </c>
      <c r="QXZ236" s="1077">
        <v>8298541</v>
      </c>
      <c r="QYA236" s="1077">
        <v>8298541</v>
      </c>
      <c r="QYB236" s="1077">
        <v>8298541</v>
      </c>
      <c r="QYC236" s="1077">
        <v>8298541</v>
      </c>
      <c r="QYD236" s="1077">
        <v>8298541</v>
      </c>
      <c r="QYE236" s="1077">
        <v>8298541</v>
      </c>
      <c r="QYF236" s="1077">
        <v>8298541</v>
      </c>
      <c r="QYG236" s="1077">
        <v>8298541</v>
      </c>
      <c r="QYH236" s="1077">
        <v>8298541</v>
      </c>
      <c r="QYI236" s="1077">
        <v>8298541</v>
      </c>
      <c r="QYJ236" s="1077">
        <v>8298541</v>
      </c>
      <c r="QYK236" s="1077">
        <v>8298541</v>
      </c>
      <c r="QYL236" s="1077">
        <v>8298541</v>
      </c>
      <c r="QYM236" s="1077">
        <v>8298541</v>
      </c>
      <c r="QYN236" s="1077">
        <v>8298541</v>
      </c>
      <c r="QYO236" s="1077">
        <v>8298541</v>
      </c>
      <c r="QYP236" s="1077">
        <v>8298541</v>
      </c>
      <c r="QYQ236" s="1077">
        <v>8298541</v>
      </c>
      <c r="QYR236" s="1077">
        <v>8298541</v>
      </c>
      <c r="QYS236" s="1077">
        <v>8298541</v>
      </c>
      <c r="QYT236" s="1077">
        <v>8298541</v>
      </c>
      <c r="QYU236" s="1077">
        <v>8298541</v>
      </c>
      <c r="QYV236" s="1077">
        <v>8298541</v>
      </c>
      <c r="QYW236" s="1077">
        <v>8298541</v>
      </c>
      <c r="QYX236" s="1077">
        <v>8298541</v>
      </c>
      <c r="QYY236" s="1077">
        <v>8298541</v>
      </c>
      <c r="QYZ236" s="1077">
        <v>8298541</v>
      </c>
      <c r="QZA236" s="1077">
        <v>8298541</v>
      </c>
      <c r="QZB236" s="1077">
        <v>8298541</v>
      </c>
      <c r="QZC236" s="1077">
        <v>8298541</v>
      </c>
      <c r="QZD236" s="1077">
        <v>8298541</v>
      </c>
      <c r="QZE236" s="1077">
        <v>8298541</v>
      </c>
      <c r="QZF236" s="1077">
        <v>8298541</v>
      </c>
      <c r="QZG236" s="1077">
        <v>8298541</v>
      </c>
      <c r="QZH236" s="1077">
        <v>8298541</v>
      </c>
      <c r="QZI236" s="1077">
        <v>8298541</v>
      </c>
      <c r="QZJ236" s="1077">
        <v>8298541</v>
      </c>
      <c r="QZK236" s="1077">
        <v>8298541</v>
      </c>
      <c r="QZL236" s="1077">
        <v>8298541</v>
      </c>
      <c r="QZM236" s="1077">
        <v>8298541</v>
      </c>
      <c r="QZN236" s="1077">
        <v>8298541</v>
      </c>
      <c r="QZO236" s="1077">
        <v>8298541</v>
      </c>
      <c r="QZP236" s="1077">
        <v>8298541</v>
      </c>
      <c r="QZQ236" s="1077">
        <v>8298541</v>
      </c>
      <c r="QZR236" s="1077">
        <v>8298541</v>
      </c>
      <c r="QZS236" s="1077">
        <v>8298541</v>
      </c>
      <c r="QZT236" s="1077">
        <v>8298541</v>
      </c>
      <c r="QZU236" s="1077">
        <v>8298541</v>
      </c>
      <c r="QZV236" s="1077">
        <v>8298541</v>
      </c>
      <c r="QZW236" s="1077">
        <v>8298541</v>
      </c>
      <c r="QZX236" s="1077">
        <v>8298541</v>
      </c>
      <c r="QZY236" s="1077">
        <v>8298541</v>
      </c>
      <c r="QZZ236" s="1077">
        <v>8298541</v>
      </c>
      <c r="RAA236" s="1077">
        <v>8298541</v>
      </c>
      <c r="RAB236" s="1077">
        <v>8298541</v>
      </c>
      <c r="RAC236" s="1077">
        <v>8298541</v>
      </c>
      <c r="RAD236" s="1077">
        <v>8298541</v>
      </c>
      <c r="RAE236" s="1077">
        <v>8298541</v>
      </c>
      <c r="RAF236" s="1077">
        <v>8298541</v>
      </c>
      <c r="RAG236" s="1077">
        <v>8298541</v>
      </c>
      <c r="RAH236" s="1077">
        <v>8298541</v>
      </c>
      <c r="RAI236" s="1077">
        <v>8298541</v>
      </c>
      <c r="RAJ236" s="1077">
        <v>8298541</v>
      </c>
      <c r="RAK236" s="1077">
        <v>8298541</v>
      </c>
      <c r="RAL236" s="1077">
        <v>8298541</v>
      </c>
      <c r="RAM236" s="1077">
        <v>8298541</v>
      </c>
      <c r="RAN236" s="1077">
        <v>8298541</v>
      </c>
      <c r="RAO236" s="1077">
        <v>8298541</v>
      </c>
      <c r="RAP236" s="1077">
        <v>8298541</v>
      </c>
      <c r="RAQ236" s="1077">
        <v>8298541</v>
      </c>
      <c r="RAR236" s="1077">
        <v>8298541</v>
      </c>
      <c r="RAS236" s="1077">
        <v>8298541</v>
      </c>
      <c r="RAT236" s="1077">
        <v>8298541</v>
      </c>
      <c r="RAU236" s="1077">
        <v>8298541</v>
      </c>
      <c r="RAV236" s="1077">
        <v>8298541</v>
      </c>
      <c r="RAW236" s="1077">
        <v>8298541</v>
      </c>
      <c r="RAX236" s="1077">
        <v>8298541</v>
      </c>
      <c r="RAY236" s="1077">
        <v>8298541</v>
      </c>
      <c r="RAZ236" s="1077">
        <v>8298541</v>
      </c>
      <c r="RBA236" s="1077">
        <v>8298541</v>
      </c>
      <c r="RBB236" s="1077">
        <v>8298541</v>
      </c>
      <c r="RBC236" s="1077">
        <v>8298541</v>
      </c>
      <c r="RBD236" s="1077">
        <v>8298541</v>
      </c>
      <c r="RBE236" s="1077">
        <v>8298541</v>
      </c>
      <c r="RBF236" s="1077">
        <v>8298541</v>
      </c>
      <c r="RBG236" s="1077">
        <v>8298541</v>
      </c>
      <c r="RBH236" s="1077">
        <v>8298541</v>
      </c>
      <c r="RBI236" s="1077">
        <v>8298541</v>
      </c>
      <c r="RBJ236" s="1077">
        <v>8298541</v>
      </c>
      <c r="RBK236" s="1077">
        <v>8298541</v>
      </c>
      <c r="RBL236" s="1077">
        <v>8298541</v>
      </c>
      <c r="RBM236" s="1077">
        <v>8298541</v>
      </c>
      <c r="RBN236" s="1077">
        <v>8298541</v>
      </c>
      <c r="RBO236" s="1077">
        <v>8298541</v>
      </c>
      <c r="RBP236" s="1077">
        <v>8298541</v>
      </c>
      <c r="RBQ236" s="1077">
        <v>8298541</v>
      </c>
      <c r="RBR236" s="1077">
        <v>8298541</v>
      </c>
      <c r="RBS236" s="1077">
        <v>8298541</v>
      </c>
      <c r="RBT236" s="1077">
        <v>8298541</v>
      </c>
      <c r="RBU236" s="1077">
        <v>8298541</v>
      </c>
      <c r="RBV236" s="1077">
        <v>8298541</v>
      </c>
      <c r="RBW236" s="1077">
        <v>8298541</v>
      </c>
      <c r="RBX236" s="1077">
        <v>8298541</v>
      </c>
      <c r="RBY236" s="1077">
        <v>8298541</v>
      </c>
      <c r="RBZ236" s="1077">
        <v>8298541</v>
      </c>
      <c r="RCA236" s="1077">
        <v>8298541</v>
      </c>
      <c r="RCB236" s="1077">
        <v>8298541</v>
      </c>
      <c r="RCC236" s="1077">
        <v>8298541</v>
      </c>
      <c r="RCD236" s="1077">
        <v>8298541</v>
      </c>
      <c r="RCE236" s="1077">
        <v>8298541</v>
      </c>
      <c r="RCF236" s="1077">
        <v>8298541</v>
      </c>
      <c r="RCG236" s="1077">
        <v>8298541</v>
      </c>
      <c r="RCH236" s="1077">
        <v>8298541</v>
      </c>
      <c r="RCI236" s="1077">
        <v>8298541</v>
      </c>
      <c r="RCJ236" s="1077">
        <v>8298541</v>
      </c>
      <c r="RCK236" s="1077">
        <v>8298541</v>
      </c>
      <c r="RCL236" s="1077">
        <v>8298541</v>
      </c>
      <c r="RCM236" s="1077">
        <v>8298541</v>
      </c>
      <c r="RCN236" s="1077">
        <v>8298541</v>
      </c>
      <c r="RCO236" s="1077">
        <v>8298541</v>
      </c>
      <c r="RCP236" s="1077">
        <v>8298541</v>
      </c>
      <c r="RCQ236" s="1077">
        <v>8298541</v>
      </c>
      <c r="RCR236" s="1077">
        <v>8298541</v>
      </c>
      <c r="RCS236" s="1077">
        <v>8298541</v>
      </c>
      <c r="RCT236" s="1077">
        <v>8298541</v>
      </c>
      <c r="RCU236" s="1077">
        <v>8298541</v>
      </c>
      <c r="RCV236" s="1077">
        <v>8298541</v>
      </c>
      <c r="RCW236" s="1077">
        <v>8298541</v>
      </c>
      <c r="RCX236" s="1077">
        <v>8298541</v>
      </c>
      <c r="RCY236" s="1077">
        <v>8298541</v>
      </c>
      <c r="RCZ236" s="1077">
        <v>8298541</v>
      </c>
      <c r="RDA236" s="1077">
        <v>8298541</v>
      </c>
      <c r="RDB236" s="1077">
        <v>8298541</v>
      </c>
      <c r="RDC236" s="1077">
        <v>8298541</v>
      </c>
      <c r="RDD236" s="1077">
        <v>8298541</v>
      </c>
      <c r="RDE236" s="1077">
        <v>8298541</v>
      </c>
      <c r="RDF236" s="1077">
        <v>8298541</v>
      </c>
      <c r="RDG236" s="1077">
        <v>8298541</v>
      </c>
      <c r="RDH236" s="1077">
        <v>8298541</v>
      </c>
      <c r="RDI236" s="1077">
        <v>8298541</v>
      </c>
      <c r="RDJ236" s="1077">
        <v>8298541</v>
      </c>
      <c r="RDK236" s="1077">
        <v>8298541</v>
      </c>
      <c r="RDL236" s="1077">
        <v>8298541</v>
      </c>
      <c r="RDM236" s="1077">
        <v>8298541</v>
      </c>
      <c r="RDN236" s="1077">
        <v>8298541</v>
      </c>
      <c r="RDO236" s="1077">
        <v>8298541</v>
      </c>
      <c r="RDP236" s="1077">
        <v>8298541</v>
      </c>
      <c r="RDQ236" s="1077">
        <v>8298541</v>
      </c>
      <c r="RDR236" s="1077">
        <v>8298541</v>
      </c>
      <c r="RDS236" s="1077">
        <v>8298541</v>
      </c>
      <c r="RDT236" s="1077">
        <v>8298541</v>
      </c>
      <c r="RDU236" s="1077">
        <v>8298541</v>
      </c>
      <c r="RDV236" s="1077">
        <v>8298541</v>
      </c>
      <c r="RDW236" s="1077">
        <v>8298541</v>
      </c>
      <c r="RDX236" s="1077">
        <v>8298541</v>
      </c>
      <c r="RDY236" s="1077">
        <v>8298541</v>
      </c>
      <c r="RDZ236" s="1077">
        <v>8298541</v>
      </c>
      <c r="REA236" s="1077">
        <v>8298541</v>
      </c>
      <c r="REB236" s="1077">
        <v>8298541</v>
      </c>
      <c r="REC236" s="1077">
        <v>8298541</v>
      </c>
      <c r="RED236" s="1077">
        <v>8298541</v>
      </c>
      <c r="REE236" s="1077">
        <v>8298541</v>
      </c>
      <c r="REF236" s="1077">
        <v>8298541</v>
      </c>
      <c r="REG236" s="1077">
        <v>8298541</v>
      </c>
      <c r="REH236" s="1077">
        <v>8298541</v>
      </c>
      <c r="REI236" s="1077">
        <v>8298541</v>
      </c>
      <c r="REJ236" s="1077">
        <v>8298541</v>
      </c>
      <c r="REK236" s="1077">
        <v>8298541</v>
      </c>
      <c r="REL236" s="1077">
        <v>8298541</v>
      </c>
      <c r="REM236" s="1077">
        <v>8298541</v>
      </c>
      <c r="REN236" s="1077">
        <v>8298541</v>
      </c>
      <c r="REO236" s="1077">
        <v>8298541</v>
      </c>
      <c r="REP236" s="1077">
        <v>8298541</v>
      </c>
      <c r="REQ236" s="1077">
        <v>8298541</v>
      </c>
      <c r="RER236" s="1077">
        <v>8298541</v>
      </c>
      <c r="RES236" s="1077">
        <v>8298541</v>
      </c>
      <c r="RET236" s="1077">
        <v>8298541</v>
      </c>
      <c r="REU236" s="1077">
        <v>8298541</v>
      </c>
      <c r="REV236" s="1077">
        <v>8298541</v>
      </c>
      <c r="REW236" s="1077">
        <v>8298541</v>
      </c>
      <c r="REX236" s="1077">
        <v>8298541</v>
      </c>
      <c r="REY236" s="1077">
        <v>8298541</v>
      </c>
      <c r="REZ236" s="1077">
        <v>8298541</v>
      </c>
      <c r="RFA236" s="1077">
        <v>8298541</v>
      </c>
      <c r="RFB236" s="1077">
        <v>8298541</v>
      </c>
      <c r="RFC236" s="1077">
        <v>8298541</v>
      </c>
      <c r="RFD236" s="1077">
        <v>8298541</v>
      </c>
      <c r="RFE236" s="1077">
        <v>8298541</v>
      </c>
      <c r="RFF236" s="1077">
        <v>8298541</v>
      </c>
      <c r="RFG236" s="1077">
        <v>8298541</v>
      </c>
      <c r="RFH236" s="1077">
        <v>8298541</v>
      </c>
      <c r="RFI236" s="1077">
        <v>8298541</v>
      </c>
      <c r="RFJ236" s="1077">
        <v>8298541</v>
      </c>
      <c r="RFK236" s="1077">
        <v>8298541</v>
      </c>
      <c r="RFL236" s="1077">
        <v>8298541</v>
      </c>
      <c r="RFM236" s="1077">
        <v>8298541</v>
      </c>
      <c r="RFN236" s="1077">
        <v>8298541</v>
      </c>
      <c r="RFO236" s="1077">
        <v>8298541</v>
      </c>
      <c r="RFP236" s="1077">
        <v>8298541</v>
      </c>
      <c r="RFQ236" s="1077">
        <v>8298541</v>
      </c>
      <c r="RFR236" s="1077">
        <v>8298541</v>
      </c>
      <c r="RFS236" s="1077">
        <v>8298541</v>
      </c>
      <c r="RFT236" s="1077">
        <v>8298541</v>
      </c>
      <c r="RFU236" s="1077">
        <v>8298541</v>
      </c>
      <c r="RFV236" s="1077">
        <v>8298541</v>
      </c>
      <c r="RFW236" s="1077">
        <v>8298541</v>
      </c>
      <c r="RFX236" s="1077">
        <v>8298541</v>
      </c>
      <c r="RFY236" s="1077">
        <v>8298541</v>
      </c>
      <c r="RFZ236" s="1077">
        <v>8298541</v>
      </c>
      <c r="RGA236" s="1077">
        <v>8298541</v>
      </c>
      <c r="RGB236" s="1077">
        <v>8298541</v>
      </c>
      <c r="RGC236" s="1077">
        <v>8298541</v>
      </c>
      <c r="RGD236" s="1077">
        <v>8298541</v>
      </c>
      <c r="RGE236" s="1077">
        <v>8298541</v>
      </c>
      <c r="RGF236" s="1077">
        <v>8298541</v>
      </c>
      <c r="RGG236" s="1077">
        <v>8298541</v>
      </c>
      <c r="RGH236" s="1077">
        <v>8298541</v>
      </c>
      <c r="RGI236" s="1077">
        <v>8298541</v>
      </c>
      <c r="RGJ236" s="1077">
        <v>8298541</v>
      </c>
      <c r="RGK236" s="1077">
        <v>8298541</v>
      </c>
      <c r="RGL236" s="1077">
        <v>8298541</v>
      </c>
      <c r="RGM236" s="1077">
        <v>8298541</v>
      </c>
      <c r="RGN236" s="1077">
        <v>8298541</v>
      </c>
      <c r="RGO236" s="1077">
        <v>8298541</v>
      </c>
      <c r="RGP236" s="1077">
        <v>8298541</v>
      </c>
      <c r="RGQ236" s="1077">
        <v>8298541</v>
      </c>
      <c r="RGR236" s="1077">
        <v>8298541</v>
      </c>
      <c r="RGS236" s="1077">
        <v>8298541</v>
      </c>
      <c r="RGT236" s="1077">
        <v>8298541</v>
      </c>
      <c r="RGU236" s="1077">
        <v>8298541</v>
      </c>
      <c r="RGV236" s="1077">
        <v>8298541</v>
      </c>
      <c r="RGW236" s="1077">
        <v>8298541</v>
      </c>
      <c r="RGX236" s="1077">
        <v>8298541</v>
      </c>
      <c r="RGY236" s="1077">
        <v>8298541</v>
      </c>
      <c r="RGZ236" s="1077">
        <v>8298541</v>
      </c>
      <c r="RHA236" s="1077">
        <v>8298541</v>
      </c>
      <c r="RHB236" s="1077">
        <v>8298541</v>
      </c>
      <c r="RHC236" s="1077">
        <v>8298541</v>
      </c>
      <c r="RHD236" s="1077">
        <v>8298541</v>
      </c>
      <c r="RHE236" s="1077">
        <v>8298541</v>
      </c>
      <c r="RHF236" s="1077">
        <v>8298541</v>
      </c>
      <c r="RHG236" s="1077">
        <v>8298541</v>
      </c>
      <c r="RHH236" s="1077">
        <v>8298541</v>
      </c>
      <c r="RHI236" s="1077">
        <v>8298541</v>
      </c>
      <c r="RHJ236" s="1077">
        <v>8298541</v>
      </c>
      <c r="RHK236" s="1077">
        <v>8298541</v>
      </c>
      <c r="RHL236" s="1077">
        <v>8298541</v>
      </c>
      <c r="RHM236" s="1077">
        <v>8298541</v>
      </c>
      <c r="RHN236" s="1077">
        <v>8298541</v>
      </c>
      <c r="RHO236" s="1077">
        <v>8298541</v>
      </c>
      <c r="RHP236" s="1077">
        <v>8298541</v>
      </c>
      <c r="RHQ236" s="1077">
        <v>8298541</v>
      </c>
      <c r="RHR236" s="1077">
        <v>8298541</v>
      </c>
      <c r="RHS236" s="1077">
        <v>8298541</v>
      </c>
      <c r="RHT236" s="1077">
        <v>8298541</v>
      </c>
      <c r="RHU236" s="1077">
        <v>8298541</v>
      </c>
      <c r="RHV236" s="1077">
        <v>8298541</v>
      </c>
      <c r="RHW236" s="1077">
        <v>8298541</v>
      </c>
      <c r="RHX236" s="1077">
        <v>8298541</v>
      </c>
      <c r="RHY236" s="1077">
        <v>8298541</v>
      </c>
      <c r="RHZ236" s="1077">
        <v>8298541</v>
      </c>
      <c r="RIA236" s="1077">
        <v>8298541</v>
      </c>
      <c r="RIB236" s="1077">
        <v>8298541</v>
      </c>
      <c r="RIC236" s="1077">
        <v>8298541</v>
      </c>
      <c r="RID236" s="1077">
        <v>8298541</v>
      </c>
      <c r="RIE236" s="1077">
        <v>8298541</v>
      </c>
      <c r="RIF236" s="1077">
        <v>8298541</v>
      </c>
      <c r="RIG236" s="1077">
        <v>8298541</v>
      </c>
      <c r="RIH236" s="1077">
        <v>8298541</v>
      </c>
      <c r="RII236" s="1077">
        <v>8298541</v>
      </c>
      <c r="RIJ236" s="1077">
        <v>8298541</v>
      </c>
      <c r="RIK236" s="1077">
        <v>8298541</v>
      </c>
      <c r="RIL236" s="1077">
        <v>8298541</v>
      </c>
      <c r="RIM236" s="1077">
        <v>8298541</v>
      </c>
      <c r="RIN236" s="1077">
        <v>8298541</v>
      </c>
      <c r="RIO236" s="1077">
        <v>8298541</v>
      </c>
      <c r="RIP236" s="1077">
        <v>8298541</v>
      </c>
      <c r="RIQ236" s="1077">
        <v>8298541</v>
      </c>
      <c r="RIR236" s="1077">
        <v>8298541</v>
      </c>
      <c r="RIS236" s="1077">
        <v>8298541</v>
      </c>
      <c r="RIT236" s="1077">
        <v>8298541</v>
      </c>
      <c r="RIU236" s="1077">
        <v>8298541</v>
      </c>
      <c r="RIV236" s="1077">
        <v>8298541</v>
      </c>
      <c r="RIW236" s="1077">
        <v>8298541</v>
      </c>
      <c r="RIX236" s="1077">
        <v>8298541</v>
      </c>
      <c r="RIY236" s="1077">
        <v>8298541</v>
      </c>
      <c r="RIZ236" s="1077">
        <v>8298541</v>
      </c>
      <c r="RJA236" s="1077">
        <v>8298541</v>
      </c>
      <c r="RJB236" s="1077">
        <v>8298541</v>
      </c>
      <c r="RJC236" s="1077">
        <v>8298541</v>
      </c>
      <c r="RJD236" s="1077">
        <v>8298541</v>
      </c>
      <c r="RJE236" s="1077">
        <v>8298541</v>
      </c>
      <c r="RJF236" s="1077">
        <v>8298541</v>
      </c>
      <c r="RJG236" s="1077">
        <v>8298541</v>
      </c>
      <c r="RJH236" s="1077">
        <v>8298541</v>
      </c>
      <c r="RJI236" s="1077">
        <v>8298541</v>
      </c>
      <c r="RJJ236" s="1077">
        <v>8298541</v>
      </c>
      <c r="RJK236" s="1077">
        <v>8298541</v>
      </c>
      <c r="RJL236" s="1077">
        <v>8298541</v>
      </c>
      <c r="RJM236" s="1077">
        <v>8298541</v>
      </c>
      <c r="RJN236" s="1077">
        <v>8298541</v>
      </c>
      <c r="RJO236" s="1077">
        <v>8298541</v>
      </c>
      <c r="RJP236" s="1077">
        <v>8298541</v>
      </c>
      <c r="RJQ236" s="1077">
        <v>8298541</v>
      </c>
      <c r="RJR236" s="1077">
        <v>8298541</v>
      </c>
      <c r="RJS236" s="1077">
        <v>8298541</v>
      </c>
      <c r="RJT236" s="1077">
        <v>8298541</v>
      </c>
      <c r="RJU236" s="1077">
        <v>8298541</v>
      </c>
      <c r="RJV236" s="1077">
        <v>8298541</v>
      </c>
      <c r="RJW236" s="1077">
        <v>8298541</v>
      </c>
      <c r="RJX236" s="1077">
        <v>8298541</v>
      </c>
      <c r="RJY236" s="1077">
        <v>8298541</v>
      </c>
      <c r="RJZ236" s="1077">
        <v>8298541</v>
      </c>
      <c r="RKA236" s="1077">
        <v>8298541</v>
      </c>
      <c r="RKB236" s="1077">
        <v>8298541</v>
      </c>
      <c r="RKC236" s="1077">
        <v>8298541</v>
      </c>
      <c r="RKD236" s="1077">
        <v>8298541</v>
      </c>
      <c r="RKE236" s="1077">
        <v>8298541</v>
      </c>
      <c r="RKF236" s="1077">
        <v>8298541</v>
      </c>
      <c r="RKG236" s="1077">
        <v>8298541</v>
      </c>
      <c r="RKH236" s="1077">
        <v>8298541</v>
      </c>
      <c r="RKI236" s="1077">
        <v>8298541</v>
      </c>
      <c r="RKJ236" s="1077">
        <v>8298541</v>
      </c>
      <c r="RKK236" s="1077">
        <v>8298541</v>
      </c>
      <c r="RKL236" s="1077">
        <v>8298541</v>
      </c>
      <c r="RKM236" s="1077">
        <v>8298541</v>
      </c>
      <c r="RKN236" s="1077">
        <v>8298541</v>
      </c>
      <c r="RKO236" s="1077">
        <v>8298541</v>
      </c>
      <c r="RKP236" s="1077">
        <v>8298541</v>
      </c>
      <c r="RKQ236" s="1077">
        <v>8298541</v>
      </c>
      <c r="RKR236" s="1077">
        <v>8298541</v>
      </c>
      <c r="RKS236" s="1077">
        <v>8298541</v>
      </c>
      <c r="RKT236" s="1077">
        <v>8298541</v>
      </c>
      <c r="RKU236" s="1077">
        <v>8298541</v>
      </c>
      <c r="RKV236" s="1077">
        <v>8298541</v>
      </c>
      <c r="RKW236" s="1077">
        <v>8298541</v>
      </c>
      <c r="RKX236" s="1077">
        <v>8298541</v>
      </c>
      <c r="RKY236" s="1077">
        <v>8298541</v>
      </c>
      <c r="RKZ236" s="1077">
        <v>8298541</v>
      </c>
      <c r="RLA236" s="1077">
        <v>8298541</v>
      </c>
      <c r="RLB236" s="1077">
        <v>8298541</v>
      </c>
      <c r="RLC236" s="1077">
        <v>8298541</v>
      </c>
      <c r="RLD236" s="1077">
        <v>8298541</v>
      </c>
      <c r="RLE236" s="1077">
        <v>8298541</v>
      </c>
      <c r="RLF236" s="1077">
        <v>8298541</v>
      </c>
      <c r="RLG236" s="1077">
        <v>8298541</v>
      </c>
      <c r="RLH236" s="1077">
        <v>8298541</v>
      </c>
      <c r="RLI236" s="1077">
        <v>8298541</v>
      </c>
      <c r="RLJ236" s="1077">
        <v>8298541</v>
      </c>
      <c r="RLK236" s="1077">
        <v>8298541</v>
      </c>
      <c r="RLL236" s="1077">
        <v>8298541</v>
      </c>
      <c r="RLM236" s="1077">
        <v>8298541</v>
      </c>
      <c r="RLN236" s="1077">
        <v>8298541</v>
      </c>
      <c r="RLO236" s="1077">
        <v>8298541</v>
      </c>
      <c r="RLP236" s="1077">
        <v>8298541</v>
      </c>
      <c r="RLQ236" s="1077">
        <v>8298541</v>
      </c>
      <c r="RLR236" s="1077">
        <v>8298541</v>
      </c>
      <c r="RLS236" s="1077">
        <v>8298541</v>
      </c>
      <c r="RLT236" s="1077">
        <v>8298541</v>
      </c>
      <c r="RLU236" s="1077">
        <v>8298541</v>
      </c>
      <c r="RLV236" s="1077">
        <v>8298541</v>
      </c>
      <c r="RLW236" s="1077">
        <v>8298541</v>
      </c>
      <c r="RLX236" s="1077">
        <v>8298541</v>
      </c>
      <c r="RLY236" s="1077">
        <v>8298541</v>
      </c>
      <c r="RLZ236" s="1077">
        <v>8298541</v>
      </c>
      <c r="RMA236" s="1077">
        <v>8298541</v>
      </c>
      <c r="RMB236" s="1077">
        <v>8298541</v>
      </c>
      <c r="RMC236" s="1077">
        <v>8298541</v>
      </c>
      <c r="RMD236" s="1077">
        <v>8298541</v>
      </c>
      <c r="RME236" s="1077">
        <v>8298541</v>
      </c>
      <c r="RMF236" s="1077">
        <v>8298541</v>
      </c>
      <c r="RMG236" s="1077">
        <v>8298541</v>
      </c>
      <c r="RMH236" s="1077">
        <v>8298541</v>
      </c>
      <c r="RMI236" s="1077">
        <v>8298541</v>
      </c>
      <c r="RMJ236" s="1077">
        <v>8298541</v>
      </c>
      <c r="RMK236" s="1077">
        <v>8298541</v>
      </c>
      <c r="RML236" s="1077">
        <v>8298541</v>
      </c>
      <c r="RMM236" s="1077">
        <v>8298541</v>
      </c>
      <c r="RMN236" s="1077">
        <v>8298541</v>
      </c>
      <c r="RMO236" s="1077">
        <v>8298541</v>
      </c>
      <c r="RMP236" s="1077">
        <v>8298541</v>
      </c>
      <c r="RMQ236" s="1077">
        <v>8298541</v>
      </c>
      <c r="RMR236" s="1077">
        <v>8298541</v>
      </c>
      <c r="RMS236" s="1077">
        <v>8298541</v>
      </c>
      <c r="RMT236" s="1077">
        <v>8298541</v>
      </c>
      <c r="RMU236" s="1077">
        <v>8298541</v>
      </c>
      <c r="RMV236" s="1077">
        <v>8298541</v>
      </c>
      <c r="RMW236" s="1077">
        <v>8298541</v>
      </c>
      <c r="RMX236" s="1077">
        <v>8298541</v>
      </c>
      <c r="RMY236" s="1077">
        <v>8298541</v>
      </c>
      <c r="RMZ236" s="1077">
        <v>8298541</v>
      </c>
      <c r="RNA236" s="1077">
        <v>8298541</v>
      </c>
      <c r="RNB236" s="1077">
        <v>8298541</v>
      </c>
      <c r="RNC236" s="1077">
        <v>8298541</v>
      </c>
      <c r="RND236" s="1077">
        <v>8298541</v>
      </c>
      <c r="RNE236" s="1077">
        <v>8298541</v>
      </c>
      <c r="RNF236" s="1077">
        <v>8298541</v>
      </c>
      <c r="RNG236" s="1077">
        <v>8298541</v>
      </c>
      <c r="RNH236" s="1077">
        <v>8298541</v>
      </c>
      <c r="RNI236" s="1077">
        <v>8298541</v>
      </c>
      <c r="RNJ236" s="1077">
        <v>8298541</v>
      </c>
      <c r="RNK236" s="1077">
        <v>8298541</v>
      </c>
      <c r="RNL236" s="1077">
        <v>8298541</v>
      </c>
      <c r="RNM236" s="1077">
        <v>8298541</v>
      </c>
      <c r="RNN236" s="1077">
        <v>8298541</v>
      </c>
      <c r="RNO236" s="1077">
        <v>8298541</v>
      </c>
      <c r="RNP236" s="1077">
        <v>8298541</v>
      </c>
      <c r="RNQ236" s="1077">
        <v>8298541</v>
      </c>
      <c r="RNR236" s="1077">
        <v>8298541</v>
      </c>
      <c r="RNS236" s="1077">
        <v>8298541</v>
      </c>
      <c r="RNT236" s="1077">
        <v>8298541</v>
      </c>
      <c r="RNU236" s="1077">
        <v>8298541</v>
      </c>
      <c r="RNV236" s="1077">
        <v>8298541</v>
      </c>
      <c r="RNW236" s="1077">
        <v>8298541</v>
      </c>
      <c r="RNX236" s="1077">
        <v>8298541</v>
      </c>
      <c r="RNY236" s="1077">
        <v>8298541</v>
      </c>
      <c r="RNZ236" s="1077">
        <v>8298541</v>
      </c>
      <c r="ROA236" s="1077">
        <v>8298541</v>
      </c>
      <c r="ROB236" s="1077">
        <v>8298541</v>
      </c>
      <c r="ROC236" s="1077">
        <v>8298541</v>
      </c>
      <c r="ROD236" s="1077">
        <v>8298541</v>
      </c>
      <c r="ROE236" s="1077">
        <v>8298541</v>
      </c>
      <c r="ROF236" s="1077">
        <v>8298541</v>
      </c>
      <c r="ROG236" s="1077">
        <v>8298541</v>
      </c>
      <c r="ROH236" s="1077">
        <v>8298541</v>
      </c>
      <c r="ROI236" s="1077">
        <v>8298541</v>
      </c>
      <c r="ROJ236" s="1077">
        <v>8298541</v>
      </c>
      <c r="ROK236" s="1077">
        <v>8298541</v>
      </c>
      <c r="ROL236" s="1077">
        <v>8298541</v>
      </c>
      <c r="ROM236" s="1077">
        <v>8298541</v>
      </c>
      <c r="RON236" s="1077">
        <v>8298541</v>
      </c>
      <c r="ROO236" s="1077">
        <v>8298541</v>
      </c>
      <c r="ROP236" s="1077">
        <v>8298541</v>
      </c>
      <c r="ROQ236" s="1077">
        <v>8298541</v>
      </c>
      <c r="ROR236" s="1077">
        <v>8298541</v>
      </c>
      <c r="ROS236" s="1077">
        <v>8298541</v>
      </c>
      <c r="ROT236" s="1077">
        <v>8298541</v>
      </c>
      <c r="ROU236" s="1077">
        <v>8298541</v>
      </c>
      <c r="ROV236" s="1077">
        <v>8298541</v>
      </c>
      <c r="ROW236" s="1077">
        <v>8298541</v>
      </c>
      <c r="ROX236" s="1077">
        <v>8298541</v>
      </c>
      <c r="ROY236" s="1077">
        <v>8298541</v>
      </c>
      <c r="ROZ236" s="1077">
        <v>8298541</v>
      </c>
      <c r="RPA236" s="1077">
        <v>8298541</v>
      </c>
      <c r="RPB236" s="1077">
        <v>8298541</v>
      </c>
      <c r="RPC236" s="1077">
        <v>8298541</v>
      </c>
      <c r="RPD236" s="1077">
        <v>8298541</v>
      </c>
      <c r="RPE236" s="1077">
        <v>8298541</v>
      </c>
      <c r="RPF236" s="1077">
        <v>8298541</v>
      </c>
      <c r="RPG236" s="1077">
        <v>8298541</v>
      </c>
      <c r="RPH236" s="1077">
        <v>8298541</v>
      </c>
      <c r="RPI236" s="1077">
        <v>8298541</v>
      </c>
      <c r="RPJ236" s="1077">
        <v>8298541</v>
      </c>
      <c r="RPK236" s="1077">
        <v>8298541</v>
      </c>
      <c r="RPL236" s="1077">
        <v>8298541</v>
      </c>
      <c r="RPM236" s="1077">
        <v>8298541</v>
      </c>
      <c r="RPN236" s="1077">
        <v>8298541</v>
      </c>
      <c r="RPO236" s="1077">
        <v>8298541</v>
      </c>
      <c r="RPP236" s="1077">
        <v>8298541</v>
      </c>
      <c r="RPQ236" s="1077">
        <v>8298541</v>
      </c>
      <c r="RPR236" s="1077">
        <v>8298541</v>
      </c>
      <c r="RPS236" s="1077">
        <v>8298541</v>
      </c>
      <c r="RPT236" s="1077">
        <v>8298541</v>
      </c>
      <c r="RPU236" s="1077">
        <v>8298541</v>
      </c>
      <c r="RPV236" s="1077">
        <v>8298541</v>
      </c>
      <c r="RPW236" s="1077">
        <v>8298541</v>
      </c>
      <c r="RPX236" s="1077">
        <v>8298541</v>
      </c>
      <c r="RPY236" s="1077">
        <v>8298541</v>
      </c>
      <c r="RPZ236" s="1077">
        <v>8298541</v>
      </c>
      <c r="RQA236" s="1077">
        <v>8298541</v>
      </c>
      <c r="RQB236" s="1077">
        <v>8298541</v>
      </c>
      <c r="RQC236" s="1077">
        <v>8298541</v>
      </c>
      <c r="RQD236" s="1077">
        <v>8298541</v>
      </c>
      <c r="RQE236" s="1077">
        <v>8298541</v>
      </c>
      <c r="RQF236" s="1077">
        <v>8298541</v>
      </c>
      <c r="RQG236" s="1077">
        <v>8298541</v>
      </c>
      <c r="RQH236" s="1077">
        <v>8298541</v>
      </c>
      <c r="RQI236" s="1077">
        <v>8298541</v>
      </c>
      <c r="RQJ236" s="1077">
        <v>8298541</v>
      </c>
      <c r="RQK236" s="1077">
        <v>8298541</v>
      </c>
      <c r="RQL236" s="1077">
        <v>8298541</v>
      </c>
      <c r="RQM236" s="1077">
        <v>8298541</v>
      </c>
      <c r="RQN236" s="1077">
        <v>8298541</v>
      </c>
      <c r="RQO236" s="1077">
        <v>8298541</v>
      </c>
      <c r="RQP236" s="1077">
        <v>8298541</v>
      </c>
      <c r="RQQ236" s="1077">
        <v>8298541</v>
      </c>
      <c r="RQR236" s="1077">
        <v>8298541</v>
      </c>
      <c r="RQS236" s="1077">
        <v>8298541</v>
      </c>
      <c r="RQT236" s="1077">
        <v>8298541</v>
      </c>
      <c r="RQU236" s="1077">
        <v>8298541</v>
      </c>
      <c r="RQV236" s="1077">
        <v>8298541</v>
      </c>
      <c r="RQW236" s="1077">
        <v>8298541</v>
      </c>
      <c r="RQX236" s="1077">
        <v>8298541</v>
      </c>
      <c r="RQY236" s="1077">
        <v>8298541</v>
      </c>
      <c r="RQZ236" s="1077">
        <v>8298541</v>
      </c>
      <c r="RRA236" s="1077">
        <v>8298541</v>
      </c>
      <c r="RRB236" s="1077">
        <v>8298541</v>
      </c>
      <c r="RRC236" s="1077">
        <v>8298541</v>
      </c>
      <c r="RRD236" s="1077">
        <v>8298541</v>
      </c>
      <c r="RRE236" s="1077">
        <v>8298541</v>
      </c>
      <c r="RRF236" s="1077">
        <v>8298541</v>
      </c>
      <c r="RRG236" s="1077">
        <v>8298541</v>
      </c>
      <c r="RRH236" s="1077">
        <v>8298541</v>
      </c>
      <c r="RRI236" s="1077">
        <v>8298541</v>
      </c>
      <c r="RRJ236" s="1077">
        <v>8298541</v>
      </c>
      <c r="RRK236" s="1077">
        <v>8298541</v>
      </c>
      <c r="RRL236" s="1077">
        <v>8298541</v>
      </c>
      <c r="RRM236" s="1077">
        <v>8298541</v>
      </c>
      <c r="RRN236" s="1077">
        <v>8298541</v>
      </c>
      <c r="RRO236" s="1077">
        <v>8298541</v>
      </c>
      <c r="RRP236" s="1077">
        <v>8298541</v>
      </c>
      <c r="RRQ236" s="1077">
        <v>8298541</v>
      </c>
      <c r="RRR236" s="1077">
        <v>8298541</v>
      </c>
      <c r="RRS236" s="1077">
        <v>8298541</v>
      </c>
      <c r="RRT236" s="1077">
        <v>8298541</v>
      </c>
      <c r="RRU236" s="1077">
        <v>8298541</v>
      </c>
      <c r="RRV236" s="1077">
        <v>8298541</v>
      </c>
      <c r="RRW236" s="1077">
        <v>8298541</v>
      </c>
      <c r="RRX236" s="1077">
        <v>8298541</v>
      </c>
      <c r="RRY236" s="1077">
        <v>8298541</v>
      </c>
      <c r="RRZ236" s="1077">
        <v>8298541</v>
      </c>
      <c r="RSA236" s="1077">
        <v>8298541</v>
      </c>
      <c r="RSB236" s="1077">
        <v>8298541</v>
      </c>
      <c r="RSC236" s="1077">
        <v>8298541</v>
      </c>
      <c r="RSD236" s="1077">
        <v>8298541</v>
      </c>
      <c r="RSE236" s="1077">
        <v>8298541</v>
      </c>
      <c r="RSF236" s="1077">
        <v>8298541</v>
      </c>
      <c r="RSG236" s="1077">
        <v>8298541</v>
      </c>
      <c r="RSH236" s="1077">
        <v>8298541</v>
      </c>
      <c r="RSI236" s="1077">
        <v>8298541</v>
      </c>
      <c r="RSJ236" s="1077">
        <v>8298541</v>
      </c>
      <c r="RSK236" s="1077">
        <v>8298541</v>
      </c>
      <c r="RSL236" s="1077">
        <v>8298541</v>
      </c>
      <c r="RSM236" s="1077">
        <v>8298541</v>
      </c>
      <c r="RSN236" s="1077">
        <v>8298541</v>
      </c>
      <c r="RSO236" s="1077">
        <v>8298541</v>
      </c>
      <c r="RSP236" s="1077">
        <v>8298541</v>
      </c>
      <c r="RSQ236" s="1077">
        <v>8298541</v>
      </c>
      <c r="RSR236" s="1077">
        <v>8298541</v>
      </c>
      <c r="RSS236" s="1077">
        <v>8298541</v>
      </c>
      <c r="RST236" s="1077">
        <v>8298541</v>
      </c>
      <c r="RSU236" s="1077">
        <v>8298541</v>
      </c>
      <c r="RSV236" s="1077">
        <v>8298541</v>
      </c>
      <c r="RSW236" s="1077">
        <v>8298541</v>
      </c>
      <c r="RSX236" s="1077">
        <v>8298541</v>
      </c>
      <c r="RSY236" s="1077">
        <v>8298541</v>
      </c>
      <c r="RSZ236" s="1077">
        <v>8298541</v>
      </c>
      <c r="RTA236" s="1077">
        <v>8298541</v>
      </c>
      <c r="RTB236" s="1077">
        <v>8298541</v>
      </c>
      <c r="RTC236" s="1077">
        <v>8298541</v>
      </c>
      <c r="RTD236" s="1077">
        <v>8298541</v>
      </c>
      <c r="RTE236" s="1077">
        <v>8298541</v>
      </c>
      <c r="RTF236" s="1077">
        <v>8298541</v>
      </c>
      <c r="RTG236" s="1077">
        <v>8298541</v>
      </c>
      <c r="RTH236" s="1077">
        <v>8298541</v>
      </c>
      <c r="RTI236" s="1077">
        <v>8298541</v>
      </c>
      <c r="RTJ236" s="1077">
        <v>8298541</v>
      </c>
      <c r="RTK236" s="1077">
        <v>8298541</v>
      </c>
      <c r="RTL236" s="1077">
        <v>8298541</v>
      </c>
      <c r="RTM236" s="1077">
        <v>8298541</v>
      </c>
      <c r="RTN236" s="1077">
        <v>8298541</v>
      </c>
      <c r="RTO236" s="1077">
        <v>8298541</v>
      </c>
      <c r="RTP236" s="1077">
        <v>8298541</v>
      </c>
      <c r="RTQ236" s="1077">
        <v>8298541</v>
      </c>
      <c r="RTR236" s="1077">
        <v>8298541</v>
      </c>
      <c r="RTS236" s="1077">
        <v>8298541</v>
      </c>
      <c r="RTT236" s="1077">
        <v>8298541</v>
      </c>
      <c r="RTU236" s="1077">
        <v>8298541</v>
      </c>
      <c r="RTV236" s="1077">
        <v>8298541</v>
      </c>
      <c r="RTW236" s="1077">
        <v>8298541</v>
      </c>
      <c r="RTX236" s="1077">
        <v>8298541</v>
      </c>
      <c r="RTY236" s="1077">
        <v>8298541</v>
      </c>
      <c r="RTZ236" s="1077">
        <v>8298541</v>
      </c>
      <c r="RUA236" s="1077">
        <v>8298541</v>
      </c>
      <c r="RUB236" s="1077">
        <v>8298541</v>
      </c>
      <c r="RUC236" s="1077">
        <v>8298541</v>
      </c>
      <c r="RUD236" s="1077">
        <v>8298541</v>
      </c>
      <c r="RUE236" s="1077">
        <v>8298541</v>
      </c>
      <c r="RUF236" s="1077">
        <v>8298541</v>
      </c>
      <c r="RUG236" s="1077">
        <v>8298541</v>
      </c>
      <c r="RUH236" s="1077">
        <v>8298541</v>
      </c>
      <c r="RUI236" s="1077">
        <v>8298541</v>
      </c>
      <c r="RUJ236" s="1077">
        <v>8298541</v>
      </c>
      <c r="RUK236" s="1077">
        <v>8298541</v>
      </c>
      <c r="RUL236" s="1077">
        <v>8298541</v>
      </c>
      <c r="RUM236" s="1077">
        <v>8298541</v>
      </c>
      <c r="RUN236" s="1077">
        <v>8298541</v>
      </c>
      <c r="RUO236" s="1077">
        <v>8298541</v>
      </c>
      <c r="RUP236" s="1077">
        <v>8298541</v>
      </c>
      <c r="RUQ236" s="1077">
        <v>8298541</v>
      </c>
      <c r="RUR236" s="1077">
        <v>8298541</v>
      </c>
      <c r="RUS236" s="1077">
        <v>8298541</v>
      </c>
      <c r="RUT236" s="1077">
        <v>8298541</v>
      </c>
      <c r="RUU236" s="1077">
        <v>8298541</v>
      </c>
      <c r="RUV236" s="1077">
        <v>8298541</v>
      </c>
      <c r="RUW236" s="1077">
        <v>8298541</v>
      </c>
      <c r="RUX236" s="1077">
        <v>8298541</v>
      </c>
      <c r="RUY236" s="1077">
        <v>8298541</v>
      </c>
      <c r="RUZ236" s="1077">
        <v>8298541</v>
      </c>
      <c r="RVA236" s="1077">
        <v>8298541</v>
      </c>
      <c r="RVB236" s="1077">
        <v>8298541</v>
      </c>
      <c r="RVC236" s="1077">
        <v>8298541</v>
      </c>
      <c r="RVD236" s="1077">
        <v>8298541</v>
      </c>
      <c r="RVE236" s="1077">
        <v>8298541</v>
      </c>
      <c r="RVF236" s="1077">
        <v>8298541</v>
      </c>
      <c r="RVG236" s="1077">
        <v>8298541</v>
      </c>
      <c r="RVH236" s="1077">
        <v>8298541</v>
      </c>
      <c r="RVI236" s="1077">
        <v>8298541</v>
      </c>
      <c r="RVJ236" s="1077">
        <v>8298541</v>
      </c>
      <c r="RVK236" s="1077">
        <v>8298541</v>
      </c>
      <c r="RVL236" s="1077">
        <v>8298541</v>
      </c>
      <c r="RVM236" s="1077">
        <v>8298541</v>
      </c>
      <c r="RVN236" s="1077">
        <v>8298541</v>
      </c>
      <c r="RVO236" s="1077">
        <v>8298541</v>
      </c>
      <c r="RVP236" s="1077">
        <v>8298541</v>
      </c>
      <c r="RVQ236" s="1077">
        <v>8298541</v>
      </c>
      <c r="RVR236" s="1077">
        <v>8298541</v>
      </c>
      <c r="RVS236" s="1077">
        <v>8298541</v>
      </c>
      <c r="RVT236" s="1077">
        <v>8298541</v>
      </c>
      <c r="RVU236" s="1077">
        <v>8298541</v>
      </c>
      <c r="RVV236" s="1077">
        <v>8298541</v>
      </c>
      <c r="RVW236" s="1077">
        <v>8298541</v>
      </c>
      <c r="RVX236" s="1077">
        <v>8298541</v>
      </c>
      <c r="RVY236" s="1077">
        <v>8298541</v>
      </c>
      <c r="RVZ236" s="1077">
        <v>8298541</v>
      </c>
      <c r="RWA236" s="1077">
        <v>8298541</v>
      </c>
      <c r="RWB236" s="1077">
        <v>8298541</v>
      </c>
      <c r="RWC236" s="1077">
        <v>8298541</v>
      </c>
      <c r="RWD236" s="1077">
        <v>8298541</v>
      </c>
      <c r="RWE236" s="1077">
        <v>8298541</v>
      </c>
      <c r="RWF236" s="1077">
        <v>8298541</v>
      </c>
      <c r="RWG236" s="1077">
        <v>8298541</v>
      </c>
      <c r="RWH236" s="1077">
        <v>8298541</v>
      </c>
      <c r="RWI236" s="1077">
        <v>8298541</v>
      </c>
      <c r="RWJ236" s="1077">
        <v>8298541</v>
      </c>
      <c r="RWK236" s="1077">
        <v>8298541</v>
      </c>
      <c r="RWL236" s="1077">
        <v>8298541</v>
      </c>
      <c r="RWM236" s="1077">
        <v>8298541</v>
      </c>
      <c r="RWN236" s="1077">
        <v>8298541</v>
      </c>
      <c r="RWO236" s="1077">
        <v>8298541</v>
      </c>
      <c r="RWP236" s="1077">
        <v>8298541</v>
      </c>
      <c r="RWQ236" s="1077">
        <v>8298541</v>
      </c>
      <c r="RWR236" s="1077">
        <v>8298541</v>
      </c>
      <c r="RWS236" s="1077">
        <v>8298541</v>
      </c>
      <c r="RWT236" s="1077">
        <v>8298541</v>
      </c>
      <c r="RWU236" s="1077">
        <v>8298541</v>
      </c>
      <c r="RWV236" s="1077">
        <v>8298541</v>
      </c>
      <c r="RWW236" s="1077">
        <v>8298541</v>
      </c>
      <c r="RWX236" s="1077">
        <v>8298541</v>
      </c>
      <c r="RWY236" s="1077">
        <v>8298541</v>
      </c>
      <c r="RWZ236" s="1077">
        <v>8298541</v>
      </c>
      <c r="RXA236" s="1077">
        <v>8298541</v>
      </c>
      <c r="RXB236" s="1077">
        <v>8298541</v>
      </c>
      <c r="RXC236" s="1077">
        <v>8298541</v>
      </c>
      <c r="RXD236" s="1077">
        <v>8298541</v>
      </c>
      <c r="RXE236" s="1077">
        <v>8298541</v>
      </c>
      <c r="RXF236" s="1077">
        <v>8298541</v>
      </c>
      <c r="RXG236" s="1077">
        <v>8298541</v>
      </c>
      <c r="RXH236" s="1077">
        <v>8298541</v>
      </c>
      <c r="RXI236" s="1077">
        <v>8298541</v>
      </c>
      <c r="RXJ236" s="1077">
        <v>8298541</v>
      </c>
      <c r="RXK236" s="1077">
        <v>8298541</v>
      </c>
      <c r="RXL236" s="1077">
        <v>8298541</v>
      </c>
      <c r="RXM236" s="1077">
        <v>8298541</v>
      </c>
      <c r="RXN236" s="1077">
        <v>8298541</v>
      </c>
      <c r="RXO236" s="1077">
        <v>8298541</v>
      </c>
      <c r="RXP236" s="1077">
        <v>8298541</v>
      </c>
      <c r="RXQ236" s="1077">
        <v>8298541</v>
      </c>
      <c r="RXR236" s="1077">
        <v>8298541</v>
      </c>
      <c r="RXS236" s="1077">
        <v>8298541</v>
      </c>
      <c r="RXT236" s="1077">
        <v>8298541</v>
      </c>
      <c r="RXU236" s="1077">
        <v>8298541</v>
      </c>
      <c r="RXV236" s="1077">
        <v>8298541</v>
      </c>
      <c r="RXW236" s="1077">
        <v>8298541</v>
      </c>
      <c r="RXX236" s="1077">
        <v>8298541</v>
      </c>
      <c r="RXY236" s="1077">
        <v>8298541</v>
      </c>
      <c r="RXZ236" s="1077">
        <v>8298541</v>
      </c>
      <c r="RYA236" s="1077">
        <v>8298541</v>
      </c>
      <c r="RYB236" s="1077">
        <v>8298541</v>
      </c>
      <c r="RYC236" s="1077">
        <v>8298541</v>
      </c>
      <c r="RYD236" s="1077">
        <v>8298541</v>
      </c>
      <c r="RYE236" s="1077">
        <v>8298541</v>
      </c>
      <c r="RYF236" s="1077">
        <v>8298541</v>
      </c>
      <c r="RYG236" s="1077">
        <v>8298541</v>
      </c>
      <c r="RYH236" s="1077">
        <v>8298541</v>
      </c>
      <c r="RYI236" s="1077">
        <v>8298541</v>
      </c>
      <c r="RYJ236" s="1077">
        <v>8298541</v>
      </c>
      <c r="RYK236" s="1077">
        <v>8298541</v>
      </c>
      <c r="RYL236" s="1077">
        <v>8298541</v>
      </c>
      <c r="RYM236" s="1077">
        <v>8298541</v>
      </c>
      <c r="RYN236" s="1077">
        <v>8298541</v>
      </c>
      <c r="RYO236" s="1077">
        <v>8298541</v>
      </c>
      <c r="RYP236" s="1077">
        <v>8298541</v>
      </c>
      <c r="RYQ236" s="1077">
        <v>8298541</v>
      </c>
      <c r="RYR236" s="1077">
        <v>8298541</v>
      </c>
      <c r="RYS236" s="1077">
        <v>8298541</v>
      </c>
      <c r="RYT236" s="1077">
        <v>8298541</v>
      </c>
      <c r="RYU236" s="1077">
        <v>8298541</v>
      </c>
      <c r="RYV236" s="1077">
        <v>8298541</v>
      </c>
      <c r="RYW236" s="1077">
        <v>8298541</v>
      </c>
      <c r="RYX236" s="1077">
        <v>8298541</v>
      </c>
      <c r="RYY236" s="1077">
        <v>8298541</v>
      </c>
      <c r="RYZ236" s="1077">
        <v>8298541</v>
      </c>
      <c r="RZA236" s="1077">
        <v>8298541</v>
      </c>
      <c r="RZB236" s="1077">
        <v>8298541</v>
      </c>
      <c r="RZC236" s="1077">
        <v>8298541</v>
      </c>
      <c r="RZD236" s="1077">
        <v>8298541</v>
      </c>
      <c r="RZE236" s="1077">
        <v>8298541</v>
      </c>
      <c r="RZF236" s="1077">
        <v>8298541</v>
      </c>
      <c r="RZG236" s="1077">
        <v>8298541</v>
      </c>
      <c r="RZH236" s="1077">
        <v>8298541</v>
      </c>
      <c r="RZI236" s="1077">
        <v>8298541</v>
      </c>
      <c r="RZJ236" s="1077">
        <v>8298541</v>
      </c>
      <c r="RZK236" s="1077">
        <v>8298541</v>
      </c>
      <c r="RZL236" s="1077">
        <v>8298541</v>
      </c>
      <c r="RZM236" s="1077">
        <v>8298541</v>
      </c>
      <c r="RZN236" s="1077">
        <v>8298541</v>
      </c>
      <c r="RZO236" s="1077">
        <v>8298541</v>
      </c>
      <c r="RZP236" s="1077">
        <v>8298541</v>
      </c>
      <c r="RZQ236" s="1077">
        <v>8298541</v>
      </c>
      <c r="RZR236" s="1077">
        <v>8298541</v>
      </c>
      <c r="RZS236" s="1077">
        <v>8298541</v>
      </c>
      <c r="RZT236" s="1077">
        <v>8298541</v>
      </c>
      <c r="RZU236" s="1077">
        <v>8298541</v>
      </c>
      <c r="RZV236" s="1077">
        <v>8298541</v>
      </c>
      <c r="RZW236" s="1077">
        <v>8298541</v>
      </c>
      <c r="RZX236" s="1077">
        <v>8298541</v>
      </c>
      <c r="RZY236" s="1077">
        <v>8298541</v>
      </c>
      <c r="RZZ236" s="1077">
        <v>8298541</v>
      </c>
      <c r="SAA236" s="1077">
        <v>8298541</v>
      </c>
      <c r="SAB236" s="1077">
        <v>8298541</v>
      </c>
      <c r="SAC236" s="1077">
        <v>8298541</v>
      </c>
      <c r="SAD236" s="1077">
        <v>8298541</v>
      </c>
      <c r="SAE236" s="1077">
        <v>8298541</v>
      </c>
      <c r="SAF236" s="1077">
        <v>8298541</v>
      </c>
      <c r="SAG236" s="1077">
        <v>8298541</v>
      </c>
      <c r="SAH236" s="1077">
        <v>8298541</v>
      </c>
      <c r="SAI236" s="1077">
        <v>8298541</v>
      </c>
      <c r="SAJ236" s="1077">
        <v>8298541</v>
      </c>
      <c r="SAK236" s="1077">
        <v>8298541</v>
      </c>
      <c r="SAL236" s="1077">
        <v>8298541</v>
      </c>
      <c r="SAM236" s="1077">
        <v>8298541</v>
      </c>
      <c r="SAN236" s="1077">
        <v>8298541</v>
      </c>
      <c r="SAO236" s="1077">
        <v>8298541</v>
      </c>
      <c r="SAP236" s="1077">
        <v>8298541</v>
      </c>
      <c r="SAQ236" s="1077">
        <v>8298541</v>
      </c>
      <c r="SAR236" s="1077">
        <v>8298541</v>
      </c>
      <c r="SAS236" s="1077">
        <v>8298541</v>
      </c>
      <c r="SAT236" s="1077">
        <v>8298541</v>
      </c>
      <c r="SAU236" s="1077">
        <v>8298541</v>
      </c>
      <c r="SAV236" s="1077">
        <v>8298541</v>
      </c>
      <c r="SAW236" s="1077">
        <v>8298541</v>
      </c>
      <c r="SAX236" s="1077">
        <v>8298541</v>
      </c>
      <c r="SAY236" s="1077">
        <v>8298541</v>
      </c>
      <c r="SAZ236" s="1077">
        <v>8298541</v>
      </c>
      <c r="SBA236" s="1077">
        <v>8298541</v>
      </c>
      <c r="SBB236" s="1077">
        <v>8298541</v>
      </c>
      <c r="SBC236" s="1077">
        <v>8298541</v>
      </c>
      <c r="SBD236" s="1077">
        <v>8298541</v>
      </c>
      <c r="SBE236" s="1077">
        <v>8298541</v>
      </c>
      <c r="SBF236" s="1077">
        <v>8298541</v>
      </c>
      <c r="SBG236" s="1077">
        <v>8298541</v>
      </c>
      <c r="SBH236" s="1077">
        <v>8298541</v>
      </c>
      <c r="SBI236" s="1077">
        <v>8298541</v>
      </c>
      <c r="SBJ236" s="1077">
        <v>8298541</v>
      </c>
      <c r="SBK236" s="1077">
        <v>8298541</v>
      </c>
      <c r="SBL236" s="1077">
        <v>8298541</v>
      </c>
      <c r="SBM236" s="1077">
        <v>8298541</v>
      </c>
      <c r="SBN236" s="1077">
        <v>8298541</v>
      </c>
      <c r="SBO236" s="1077">
        <v>8298541</v>
      </c>
      <c r="SBP236" s="1077">
        <v>8298541</v>
      </c>
      <c r="SBQ236" s="1077">
        <v>8298541</v>
      </c>
      <c r="SBR236" s="1077">
        <v>8298541</v>
      </c>
      <c r="SBS236" s="1077">
        <v>8298541</v>
      </c>
      <c r="SBT236" s="1077">
        <v>8298541</v>
      </c>
      <c r="SBU236" s="1077">
        <v>8298541</v>
      </c>
      <c r="SBV236" s="1077">
        <v>8298541</v>
      </c>
      <c r="SBW236" s="1077">
        <v>8298541</v>
      </c>
      <c r="SBX236" s="1077">
        <v>8298541</v>
      </c>
      <c r="SBY236" s="1077">
        <v>8298541</v>
      </c>
      <c r="SBZ236" s="1077">
        <v>8298541</v>
      </c>
      <c r="SCA236" s="1077">
        <v>8298541</v>
      </c>
      <c r="SCB236" s="1077">
        <v>8298541</v>
      </c>
      <c r="SCC236" s="1077">
        <v>8298541</v>
      </c>
      <c r="SCD236" s="1077">
        <v>8298541</v>
      </c>
      <c r="SCE236" s="1077">
        <v>8298541</v>
      </c>
      <c r="SCF236" s="1077">
        <v>8298541</v>
      </c>
      <c r="SCG236" s="1077">
        <v>8298541</v>
      </c>
      <c r="SCH236" s="1077">
        <v>8298541</v>
      </c>
      <c r="SCI236" s="1077">
        <v>8298541</v>
      </c>
      <c r="SCJ236" s="1077">
        <v>8298541</v>
      </c>
      <c r="SCK236" s="1077">
        <v>8298541</v>
      </c>
      <c r="SCL236" s="1077">
        <v>8298541</v>
      </c>
      <c r="SCM236" s="1077">
        <v>8298541</v>
      </c>
      <c r="SCN236" s="1077">
        <v>8298541</v>
      </c>
      <c r="SCO236" s="1077">
        <v>8298541</v>
      </c>
      <c r="SCP236" s="1077">
        <v>8298541</v>
      </c>
      <c r="SCQ236" s="1077">
        <v>8298541</v>
      </c>
      <c r="SCR236" s="1077">
        <v>8298541</v>
      </c>
      <c r="SCS236" s="1077">
        <v>8298541</v>
      </c>
      <c r="SCT236" s="1077">
        <v>8298541</v>
      </c>
      <c r="SCU236" s="1077">
        <v>8298541</v>
      </c>
      <c r="SCV236" s="1077">
        <v>8298541</v>
      </c>
      <c r="SCW236" s="1077">
        <v>8298541</v>
      </c>
      <c r="SCX236" s="1077">
        <v>8298541</v>
      </c>
      <c r="SCY236" s="1077">
        <v>8298541</v>
      </c>
      <c r="SCZ236" s="1077">
        <v>8298541</v>
      </c>
      <c r="SDA236" s="1077">
        <v>8298541</v>
      </c>
      <c r="SDB236" s="1077">
        <v>8298541</v>
      </c>
      <c r="SDC236" s="1077">
        <v>8298541</v>
      </c>
      <c r="SDD236" s="1077">
        <v>8298541</v>
      </c>
      <c r="SDE236" s="1077">
        <v>8298541</v>
      </c>
      <c r="SDF236" s="1077">
        <v>8298541</v>
      </c>
      <c r="SDG236" s="1077">
        <v>8298541</v>
      </c>
      <c r="SDH236" s="1077">
        <v>8298541</v>
      </c>
      <c r="SDI236" s="1077">
        <v>8298541</v>
      </c>
      <c r="SDJ236" s="1077">
        <v>8298541</v>
      </c>
      <c r="SDK236" s="1077">
        <v>8298541</v>
      </c>
      <c r="SDL236" s="1077">
        <v>8298541</v>
      </c>
      <c r="SDM236" s="1077">
        <v>8298541</v>
      </c>
      <c r="SDN236" s="1077">
        <v>8298541</v>
      </c>
      <c r="SDO236" s="1077">
        <v>8298541</v>
      </c>
      <c r="SDP236" s="1077">
        <v>8298541</v>
      </c>
      <c r="SDQ236" s="1077">
        <v>8298541</v>
      </c>
      <c r="SDR236" s="1077">
        <v>8298541</v>
      </c>
      <c r="SDS236" s="1077">
        <v>8298541</v>
      </c>
      <c r="SDT236" s="1077">
        <v>8298541</v>
      </c>
      <c r="SDU236" s="1077">
        <v>8298541</v>
      </c>
      <c r="SDV236" s="1077">
        <v>8298541</v>
      </c>
      <c r="SDW236" s="1077">
        <v>8298541</v>
      </c>
      <c r="SDX236" s="1077">
        <v>8298541</v>
      </c>
      <c r="SDY236" s="1077">
        <v>8298541</v>
      </c>
      <c r="SDZ236" s="1077">
        <v>8298541</v>
      </c>
      <c r="SEA236" s="1077">
        <v>8298541</v>
      </c>
      <c r="SEB236" s="1077">
        <v>8298541</v>
      </c>
      <c r="SEC236" s="1077">
        <v>8298541</v>
      </c>
      <c r="SED236" s="1077">
        <v>8298541</v>
      </c>
      <c r="SEE236" s="1077">
        <v>8298541</v>
      </c>
      <c r="SEF236" s="1077">
        <v>8298541</v>
      </c>
      <c r="SEG236" s="1077">
        <v>8298541</v>
      </c>
      <c r="SEH236" s="1077">
        <v>8298541</v>
      </c>
      <c r="SEI236" s="1077">
        <v>8298541</v>
      </c>
      <c r="SEJ236" s="1077">
        <v>8298541</v>
      </c>
      <c r="SEK236" s="1077">
        <v>8298541</v>
      </c>
      <c r="SEL236" s="1077">
        <v>8298541</v>
      </c>
      <c r="SEM236" s="1077">
        <v>8298541</v>
      </c>
      <c r="SEN236" s="1077">
        <v>8298541</v>
      </c>
      <c r="SEO236" s="1077">
        <v>8298541</v>
      </c>
      <c r="SEP236" s="1077">
        <v>8298541</v>
      </c>
      <c r="SEQ236" s="1077">
        <v>8298541</v>
      </c>
      <c r="SER236" s="1077">
        <v>8298541</v>
      </c>
      <c r="SES236" s="1077">
        <v>8298541</v>
      </c>
      <c r="SET236" s="1077">
        <v>8298541</v>
      </c>
      <c r="SEU236" s="1077">
        <v>8298541</v>
      </c>
      <c r="SEV236" s="1077">
        <v>8298541</v>
      </c>
      <c r="SEW236" s="1077">
        <v>8298541</v>
      </c>
      <c r="SEX236" s="1077">
        <v>8298541</v>
      </c>
      <c r="SEY236" s="1077">
        <v>8298541</v>
      </c>
      <c r="SEZ236" s="1077">
        <v>8298541</v>
      </c>
      <c r="SFA236" s="1077">
        <v>8298541</v>
      </c>
      <c r="SFB236" s="1077">
        <v>8298541</v>
      </c>
      <c r="SFC236" s="1077">
        <v>8298541</v>
      </c>
      <c r="SFD236" s="1077">
        <v>8298541</v>
      </c>
      <c r="SFE236" s="1077">
        <v>8298541</v>
      </c>
      <c r="SFF236" s="1077">
        <v>8298541</v>
      </c>
      <c r="SFG236" s="1077">
        <v>8298541</v>
      </c>
      <c r="SFH236" s="1077">
        <v>8298541</v>
      </c>
      <c r="SFI236" s="1077">
        <v>8298541</v>
      </c>
      <c r="SFJ236" s="1077">
        <v>8298541</v>
      </c>
      <c r="SFK236" s="1077">
        <v>8298541</v>
      </c>
      <c r="SFL236" s="1077">
        <v>8298541</v>
      </c>
      <c r="SFM236" s="1077">
        <v>8298541</v>
      </c>
      <c r="SFN236" s="1077">
        <v>8298541</v>
      </c>
      <c r="SFO236" s="1077">
        <v>8298541</v>
      </c>
      <c r="SFP236" s="1077">
        <v>8298541</v>
      </c>
      <c r="SFQ236" s="1077">
        <v>8298541</v>
      </c>
      <c r="SFR236" s="1077">
        <v>8298541</v>
      </c>
      <c r="SFS236" s="1077">
        <v>8298541</v>
      </c>
      <c r="SFT236" s="1077">
        <v>8298541</v>
      </c>
      <c r="SFU236" s="1077">
        <v>8298541</v>
      </c>
      <c r="SFV236" s="1077">
        <v>8298541</v>
      </c>
      <c r="SFW236" s="1077">
        <v>8298541</v>
      </c>
      <c r="SFX236" s="1077">
        <v>8298541</v>
      </c>
      <c r="SFY236" s="1077">
        <v>8298541</v>
      </c>
      <c r="SFZ236" s="1077">
        <v>8298541</v>
      </c>
      <c r="SGA236" s="1077">
        <v>8298541</v>
      </c>
      <c r="SGB236" s="1077">
        <v>8298541</v>
      </c>
      <c r="SGC236" s="1077">
        <v>8298541</v>
      </c>
      <c r="SGD236" s="1077">
        <v>8298541</v>
      </c>
      <c r="SGE236" s="1077">
        <v>8298541</v>
      </c>
      <c r="SGF236" s="1077">
        <v>8298541</v>
      </c>
      <c r="SGG236" s="1077">
        <v>8298541</v>
      </c>
      <c r="SGH236" s="1077">
        <v>8298541</v>
      </c>
      <c r="SGI236" s="1077">
        <v>8298541</v>
      </c>
      <c r="SGJ236" s="1077">
        <v>8298541</v>
      </c>
      <c r="SGK236" s="1077">
        <v>8298541</v>
      </c>
      <c r="SGL236" s="1077">
        <v>8298541</v>
      </c>
      <c r="SGM236" s="1077">
        <v>8298541</v>
      </c>
      <c r="SGN236" s="1077">
        <v>8298541</v>
      </c>
      <c r="SGO236" s="1077">
        <v>8298541</v>
      </c>
      <c r="SGP236" s="1077">
        <v>8298541</v>
      </c>
      <c r="SGQ236" s="1077">
        <v>8298541</v>
      </c>
      <c r="SGR236" s="1077">
        <v>8298541</v>
      </c>
      <c r="SGS236" s="1077">
        <v>8298541</v>
      </c>
      <c r="SGT236" s="1077">
        <v>8298541</v>
      </c>
      <c r="SGU236" s="1077">
        <v>8298541</v>
      </c>
      <c r="SGV236" s="1077">
        <v>8298541</v>
      </c>
      <c r="SGW236" s="1077">
        <v>8298541</v>
      </c>
      <c r="SGX236" s="1077">
        <v>8298541</v>
      </c>
      <c r="SGY236" s="1077">
        <v>8298541</v>
      </c>
      <c r="SGZ236" s="1077">
        <v>8298541</v>
      </c>
      <c r="SHA236" s="1077">
        <v>8298541</v>
      </c>
      <c r="SHB236" s="1077">
        <v>8298541</v>
      </c>
      <c r="SHC236" s="1077">
        <v>8298541</v>
      </c>
      <c r="SHD236" s="1077">
        <v>8298541</v>
      </c>
      <c r="SHE236" s="1077">
        <v>8298541</v>
      </c>
      <c r="SHF236" s="1077">
        <v>8298541</v>
      </c>
      <c r="SHG236" s="1077">
        <v>8298541</v>
      </c>
      <c r="SHH236" s="1077">
        <v>8298541</v>
      </c>
      <c r="SHI236" s="1077">
        <v>8298541</v>
      </c>
      <c r="SHJ236" s="1077">
        <v>8298541</v>
      </c>
      <c r="SHK236" s="1077">
        <v>8298541</v>
      </c>
      <c r="SHL236" s="1077">
        <v>8298541</v>
      </c>
      <c r="SHM236" s="1077">
        <v>8298541</v>
      </c>
      <c r="SHN236" s="1077">
        <v>8298541</v>
      </c>
      <c r="SHO236" s="1077">
        <v>8298541</v>
      </c>
      <c r="SHP236" s="1077">
        <v>8298541</v>
      </c>
      <c r="SHQ236" s="1077">
        <v>8298541</v>
      </c>
      <c r="SHR236" s="1077">
        <v>8298541</v>
      </c>
      <c r="SHS236" s="1077">
        <v>8298541</v>
      </c>
      <c r="SHT236" s="1077">
        <v>8298541</v>
      </c>
      <c r="SHU236" s="1077">
        <v>8298541</v>
      </c>
      <c r="SHV236" s="1077">
        <v>8298541</v>
      </c>
      <c r="SHW236" s="1077">
        <v>8298541</v>
      </c>
      <c r="SHX236" s="1077">
        <v>8298541</v>
      </c>
      <c r="SHY236" s="1077">
        <v>8298541</v>
      </c>
      <c r="SHZ236" s="1077">
        <v>8298541</v>
      </c>
      <c r="SIA236" s="1077">
        <v>8298541</v>
      </c>
      <c r="SIB236" s="1077">
        <v>8298541</v>
      </c>
      <c r="SIC236" s="1077">
        <v>8298541</v>
      </c>
      <c r="SID236" s="1077">
        <v>8298541</v>
      </c>
      <c r="SIE236" s="1077">
        <v>8298541</v>
      </c>
      <c r="SIF236" s="1077">
        <v>8298541</v>
      </c>
      <c r="SIG236" s="1077">
        <v>8298541</v>
      </c>
      <c r="SIH236" s="1077">
        <v>8298541</v>
      </c>
      <c r="SII236" s="1077">
        <v>8298541</v>
      </c>
      <c r="SIJ236" s="1077">
        <v>8298541</v>
      </c>
      <c r="SIK236" s="1077">
        <v>8298541</v>
      </c>
      <c r="SIL236" s="1077">
        <v>8298541</v>
      </c>
      <c r="SIM236" s="1077">
        <v>8298541</v>
      </c>
      <c r="SIN236" s="1077">
        <v>8298541</v>
      </c>
      <c r="SIO236" s="1077">
        <v>8298541</v>
      </c>
      <c r="SIP236" s="1077">
        <v>8298541</v>
      </c>
      <c r="SIQ236" s="1077">
        <v>8298541</v>
      </c>
      <c r="SIR236" s="1077">
        <v>8298541</v>
      </c>
      <c r="SIS236" s="1077">
        <v>8298541</v>
      </c>
      <c r="SIT236" s="1077">
        <v>8298541</v>
      </c>
      <c r="SIU236" s="1077">
        <v>8298541</v>
      </c>
      <c r="SIV236" s="1077">
        <v>8298541</v>
      </c>
      <c r="SIW236" s="1077">
        <v>8298541</v>
      </c>
      <c r="SIX236" s="1077">
        <v>8298541</v>
      </c>
      <c r="SIY236" s="1077">
        <v>8298541</v>
      </c>
      <c r="SIZ236" s="1077">
        <v>8298541</v>
      </c>
      <c r="SJA236" s="1077">
        <v>8298541</v>
      </c>
      <c r="SJB236" s="1077">
        <v>8298541</v>
      </c>
      <c r="SJC236" s="1077">
        <v>8298541</v>
      </c>
      <c r="SJD236" s="1077">
        <v>8298541</v>
      </c>
      <c r="SJE236" s="1077">
        <v>8298541</v>
      </c>
      <c r="SJF236" s="1077">
        <v>8298541</v>
      </c>
      <c r="SJG236" s="1077">
        <v>8298541</v>
      </c>
      <c r="SJH236" s="1077">
        <v>8298541</v>
      </c>
      <c r="SJI236" s="1077">
        <v>8298541</v>
      </c>
      <c r="SJJ236" s="1077">
        <v>8298541</v>
      </c>
      <c r="SJK236" s="1077">
        <v>8298541</v>
      </c>
      <c r="SJL236" s="1077">
        <v>8298541</v>
      </c>
      <c r="SJM236" s="1077">
        <v>8298541</v>
      </c>
      <c r="SJN236" s="1077">
        <v>8298541</v>
      </c>
      <c r="SJO236" s="1077">
        <v>8298541</v>
      </c>
      <c r="SJP236" s="1077">
        <v>8298541</v>
      </c>
      <c r="SJQ236" s="1077">
        <v>8298541</v>
      </c>
      <c r="SJR236" s="1077">
        <v>8298541</v>
      </c>
      <c r="SJS236" s="1077">
        <v>8298541</v>
      </c>
      <c r="SJT236" s="1077">
        <v>8298541</v>
      </c>
      <c r="SJU236" s="1077">
        <v>8298541</v>
      </c>
      <c r="SJV236" s="1077">
        <v>8298541</v>
      </c>
      <c r="SJW236" s="1077">
        <v>8298541</v>
      </c>
      <c r="SJX236" s="1077">
        <v>8298541</v>
      </c>
      <c r="SJY236" s="1077">
        <v>8298541</v>
      </c>
      <c r="SJZ236" s="1077">
        <v>8298541</v>
      </c>
      <c r="SKA236" s="1077">
        <v>8298541</v>
      </c>
      <c r="SKB236" s="1077">
        <v>8298541</v>
      </c>
      <c r="SKC236" s="1077">
        <v>8298541</v>
      </c>
      <c r="SKD236" s="1077">
        <v>8298541</v>
      </c>
      <c r="SKE236" s="1077">
        <v>8298541</v>
      </c>
      <c r="SKF236" s="1077">
        <v>8298541</v>
      </c>
      <c r="SKG236" s="1077">
        <v>8298541</v>
      </c>
      <c r="SKH236" s="1077">
        <v>8298541</v>
      </c>
      <c r="SKI236" s="1077">
        <v>8298541</v>
      </c>
      <c r="SKJ236" s="1077">
        <v>8298541</v>
      </c>
      <c r="SKK236" s="1077">
        <v>8298541</v>
      </c>
      <c r="SKL236" s="1077">
        <v>8298541</v>
      </c>
      <c r="SKM236" s="1077">
        <v>8298541</v>
      </c>
      <c r="SKN236" s="1077">
        <v>8298541</v>
      </c>
      <c r="SKO236" s="1077">
        <v>8298541</v>
      </c>
      <c r="SKP236" s="1077">
        <v>8298541</v>
      </c>
      <c r="SKQ236" s="1077">
        <v>8298541</v>
      </c>
      <c r="SKR236" s="1077">
        <v>8298541</v>
      </c>
      <c r="SKS236" s="1077">
        <v>8298541</v>
      </c>
      <c r="SKT236" s="1077">
        <v>8298541</v>
      </c>
      <c r="SKU236" s="1077">
        <v>8298541</v>
      </c>
      <c r="SKV236" s="1077">
        <v>8298541</v>
      </c>
      <c r="SKW236" s="1077">
        <v>8298541</v>
      </c>
      <c r="SKX236" s="1077">
        <v>8298541</v>
      </c>
      <c r="SKY236" s="1077">
        <v>8298541</v>
      </c>
      <c r="SKZ236" s="1077">
        <v>8298541</v>
      </c>
      <c r="SLA236" s="1077">
        <v>8298541</v>
      </c>
      <c r="SLB236" s="1077">
        <v>8298541</v>
      </c>
      <c r="SLC236" s="1077">
        <v>8298541</v>
      </c>
      <c r="SLD236" s="1077">
        <v>8298541</v>
      </c>
      <c r="SLE236" s="1077">
        <v>8298541</v>
      </c>
      <c r="SLF236" s="1077">
        <v>8298541</v>
      </c>
      <c r="SLG236" s="1077">
        <v>8298541</v>
      </c>
      <c r="SLH236" s="1077">
        <v>8298541</v>
      </c>
      <c r="SLI236" s="1077">
        <v>8298541</v>
      </c>
      <c r="SLJ236" s="1077">
        <v>8298541</v>
      </c>
      <c r="SLK236" s="1077">
        <v>8298541</v>
      </c>
      <c r="SLL236" s="1077">
        <v>8298541</v>
      </c>
      <c r="SLM236" s="1077">
        <v>8298541</v>
      </c>
      <c r="SLN236" s="1077">
        <v>8298541</v>
      </c>
      <c r="SLO236" s="1077">
        <v>8298541</v>
      </c>
      <c r="SLP236" s="1077">
        <v>8298541</v>
      </c>
      <c r="SLQ236" s="1077">
        <v>8298541</v>
      </c>
      <c r="SLR236" s="1077">
        <v>8298541</v>
      </c>
      <c r="SLS236" s="1077">
        <v>8298541</v>
      </c>
      <c r="SLT236" s="1077">
        <v>8298541</v>
      </c>
      <c r="SLU236" s="1077">
        <v>8298541</v>
      </c>
      <c r="SLV236" s="1077">
        <v>8298541</v>
      </c>
      <c r="SLW236" s="1077">
        <v>8298541</v>
      </c>
      <c r="SLX236" s="1077">
        <v>8298541</v>
      </c>
      <c r="SLY236" s="1077">
        <v>8298541</v>
      </c>
      <c r="SLZ236" s="1077">
        <v>8298541</v>
      </c>
      <c r="SMA236" s="1077">
        <v>8298541</v>
      </c>
      <c r="SMB236" s="1077">
        <v>8298541</v>
      </c>
      <c r="SMC236" s="1077">
        <v>8298541</v>
      </c>
      <c r="SMD236" s="1077">
        <v>8298541</v>
      </c>
      <c r="SME236" s="1077">
        <v>8298541</v>
      </c>
      <c r="SMF236" s="1077">
        <v>8298541</v>
      </c>
      <c r="SMG236" s="1077">
        <v>8298541</v>
      </c>
      <c r="SMH236" s="1077">
        <v>8298541</v>
      </c>
      <c r="SMI236" s="1077">
        <v>8298541</v>
      </c>
      <c r="SMJ236" s="1077">
        <v>8298541</v>
      </c>
      <c r="SMK236" s="1077">
        <v>8298541</v>
      </c>
      <c r="SML236" s="1077">
        <v>8298541</v>
      </c>
      <c r="SMM236" s="1077">
        <v>8298541</v>
      </c>
      <c r="SMN236" s="1077">
        <v>8298541</v>
      </c>
      <c r="SMO236" s="1077">
        <v>8298541</v>
      </c>
      <c r="SMP236" s="1077">
        <v>8298541</v>
      </c>
      <c r="SMQ236" s="1077">
        <v>8298541</v>
      </c>
      <c r="SMR236" s="1077">
        <v>8298541</v>
      </c>
      <c r="SMS236" s="1077">
        <v>8298541</v>
      </c>
      <c r="SMT236" s="1077">
        <v>8298541</v>
      </c>
      <c r="SMU236" s="1077">
        <v>8298541</v>
      </c>
      <c r="SMV236" s="1077">
        <v>8298541</v>
      </c>
      <c r="SMW236" s="1077">
        <v>8298541</v>
      </c>
      <c r="SMX236" s="1077">
        <v>8298541</v>
      </c>
      <c r="SMY236" s="1077">
        <v>8298541</v>
      </c>
      <c r="SMZ236" s="1077">
        <v>8298541</v>
      </c>
      <c r="SNA236" s="1077">
        <v>8298541</v>
      </c>
      <c r="SNB236" s="1077">
        <v>8298541</v>
      </c>
      <c r="SNC236" s="1077">
        <v>8298541</v>
      </c>
      <c r="SND236" s="1077">
        <v>8298541</v>
      </c>
      <c r="SNE236" s="1077">
        <v>8298541</v>
      </c>
      <c r="SNF236" s="1077">
        <v>8298541</v>
      </c>
      <c r="SNG236" s="1077">
        <v>8298541</v>
      </c>
      <c r="SNH236" s="1077">
        <v>8298541</v>
      </c>
      <c r="SNI236" s="1077">
        <v>8298541</v>
      </c>
      <c r="SNJ236" s="1077">
        <v>8298541</v>
      </c>
      <c r="SNK236" s="1077">
        <v>8298541</v>
      </c>
      <c r="SNL236" s="1077">
        <v>8298541</v>
      </c>
      <c r="SNM236" s="1077">
        <v>8298541</v>
      </c>
      <c r="SNN236" s="1077">
        <v>8298541</v>
      </c>
      <c r="SNO236" s="1077">
        <v>8298541</v>
      </c>
      <c r="SNP236" s="1077">
        <v>8298541</v>
      </c>
      <c r="SNQ236" s="1077">
        <v>8298541</v>
      </c>
      <c r="SNR236" s="1077">
        <v>8298541</v>
      </c>
      <c r="SNS236" s="1077">
        <v>8298541</v>
      </c>
      <c r="SNT236" s="1077">
        <v>8298541</v>
      </c>
      <c r="SNU236" s="1077">
        <v>8298541</v>
      </c>
      <c r="SNV236" s="1077">
        <v>8298541</v>
      </c>
      <c r="SNW236" s="1077">
        <v>8298541</v>
      </c>
      <c r="SNX236" s="1077">
        <v>8298541</v>
      </c>
      <c r="SNY236" s="1077">
        <v>8298541</v>
      </c>
      <c r="SNZ236" s="1077">
        <v>8298541</v>
      </c>
      <c r="SOA236" s="1077">
        <v>8298541</v>
      </c>
      <c r="SOB236" s="1077">
        <v>8298541</v>
      </c>
      <c r="SOC236" s="1077">
        <v>8298541</v>
      </c>
      <c r="SOD236" s="1077">
        <v>8298541</v>
      </c>
      <c r="SOE236" s="1077">
        <v>8298541</v>
      </c>
      <c r="SOF236" s="1077">
        <v>8298541</v>
      </c>
      <c r="SOG236" s="1077">
        <v>8298541</v>
      </c>
      <c r="SOH236" s="1077">
        <v>8298541</v>
      </c>
      <c r="SOI236" s="1077">
        <v>8298541</v>
      </c>
      <c r="SOJ236" s="1077">
        <v>8298541</v>
      </c>
      <c r="SOK236" s="1077">
        <v>8298541</v>
      </c>
      <c r="SOL236" s="1077">
        <v>8298541</v>
      </c>
      <c r="SOM236" s="1077">
        <v>8298541</v>
      </c>
      <c r="SON236" s="1077">
        <v>8298541</v>
      </c>
      <c r="SOO236" s="1077">
        <v>8298541</v>
      </c>
      <c r="SOP236" s="1077">
        <v>8298541</v>
      </c>
      <c r="SOQ236" s="1077">
        <v>8298541</v>
      </c>
      <c r="SOR236" s="1077">
        <v>8298541</v>
      </c>
      <c r="SOS236" s="1077">
        <v>8298541</v>
      </c>
      <c r="SOT236" s="1077">
        <v>8298541</v>
      </c>
      <c r="SOU236" s="1077">
        <v>8298541</v>
      </c>
      <c r="SOV236" s="1077">
        <v>8298541</v>
      </c>
      <c r="SOW236" s="1077">
        <v>8298541</v>
      </c>
      <c r="SOX236" s="1077">
        <v>8298541</v>
      </c>
      <c r="SOY236" s="1077">
        <v>8298541</v>
      </c>
      <c r="SOZ236" s="1077">
        <v>8298541</v>
      </c>
      <c r="SPA236" s="1077">
        <v>8298541</v>
      </c>
      <c r="SPB236" s="1077">
        <v>8298541</v>
      </c>
      <c r="SPC236" s="1077">
        <v>8298541</v>
      </c>
      <c r="SPD236" s="1077">
        <v>8298541</v>
      </c>
      <c r="SPE236" s="1077">
        <v>8298541</v>
      </c>
      <c r="SPF236" s="1077">
        <v>8298541</v>
      </c>
      <c r="SPG236" s="1077">
        <v>8298541</v>
      </c>
      <c r="SPH236" s="1077">
        <v>8298541</v>
      </c>
      <c r="SPI236" s="1077">
        <v>8298541</v>
      </c>
      <c r="SPJ236" s="1077">
        <v>8298541</v>
      </c>
      <c r="SPK236" s="1077">
        <v>8298541</v>
      </c>
      <c r="SPL236" s="1077">
        <v>8298541</v>
      </c>
      <c r="SPM236" s="1077">
        <v>8298541</v>
      </c>
      <c r="SPN236" s="1077">
        <v>8298541</v>
      </c>
      <c r="SPO236" s="1077">
        <v>8298541</v>
      </c>
      <c r="SPP236" s="1077">
        <v>8298541</v>
      </c>
      <c r="SPQ236" s="1077">
        <v>8298541</v>
      </c>
      <c r="SPR236" s="1077">
        <v>8298541</v>
      </c>
      <c r="SPS236" s="1077">
        <v>8298541</v>
      </c>
      <c r="SPT236" s="1077">
        <v>8298541</v>
      </c>
      <c r="SPU236" s="1077">
        <v>8298541</v>
      </c>
      <c r="SPV236" s="1077">
        <v>8298541</v>
      </c>
      <c r="SPW236" s="1077">
        <v>8298541</v>
      </c>
      <c r="SPX236" s="1077">
        <v>8298541</v>
      </c>
      <c r="SPY236" s="1077">
        <v>8298541</v>
      </c>
      <c r="SPZ236" s="1077">
        <v>8298541</v>
      </c>
      <c r="SQA236" s="1077">
        <v>8298541</v>
      </c>
      <c r="SQB236" s="1077">
        <v>8298541</v>
      </c>
      <c r="SQC236" s="1077">
        <v>8298541</v>
      </c>
      <c r="SQD236" s="1077">
        <v>8298541</v>
      </c>
      <c r="SQE236" s="1077">
        <v>8298541</v>
      </c>
      <c r="SQF236" s="1077">
        <v>8298541</v>
      </c>
      <c r="SQG236" s="1077">
        <v>8298541</v>
      </c>
      <c r="SQH236" s="1077">
        <v>8298541</v>
      </c>
      <c r="SQI236" s="1077">
        <v>8298541</v>
      </c>
      <c r="SQJ236" s="1077">
        <v>8298541</v>
      </c>
      <c r="SQK236" s="1077">
        <v>8298541</v>
      </c>
      <c r="SQL236" s="1077">
        <v>8298541</v>
      </c>
      <c r="SQM236" s="1077">
        <v>8298541</v>
      </c>
      <c r="SQN236" s="1077">
        <v>8298541</v>
      </c>
      <c r="SQO236" s="1077">
        <v>8298541</v>
      </c>
      <c r="SQP236" s="1077">
        <v>8298541</v>
      </c>
      <c r="SQQ236" s="1077">
        <v>8298541</v>
      </c>
      <c r="SQR236" s="1077">
        <v>8298541</v>
      </c>
      <c r="SQS236" s="1077">
        <v>8298541</v>
      </c>
      <c r="SQT236" s="1077">
        <v>8298541</v>
      </c>
      <c r="SQU236" s="1077">
        <v>8298541</v>
      </c>
      <c r="SQV236" s="1077">
        <v>8298541</v>
      </c>
      <c r="SQW236" s="1077">
        <v>8298541</v>
      </c>
      <c r="SQX236" s="1077">
        <v>8298541</v>
      </c>
      <c r="SQY236" s="1077">
        <v>8298541</v>
      </c>
      <c r="SQZ236" s="1077">
        <v>8298541</v>
      </c>
      <c r="SRA236" s="1077">
        <v>8298541</v>
      </c>
      <c r="SRB236" s="1077">
        <v>8298541</v>
      </c>
      <c r="SRC236" s="1077">
        <v>8298541</v>
      </c>
      <c r="SRD236" s="1077">
        <v>8298541</v>
      </c>
      <c r="SRE236" s="1077">
        <v>8298541</v>
      </c>
      <c r="SRF236" s="1077">
        <v>8298541</v>
      </c>
      <c r="SRG236" s="1077">
        <v>8298541</v>
      </c>
      <c r="SRH236" s="1077">
        <v>8298541</v>
      </c>
      <c r="SRI236" s="1077">
        <v>8298541</v>
      </c>
      <c r="SRJ236" s="1077">
        <v>8298541</v>
      </c>
      <c r="SRK236" s="1077">
        <v>8298541</v>
      </c>
      <c r="SRL236" s="1077">
        <v>8298541</v>
      </c>
      <c r="SRM236" s="1077">
        <v>8298541</v>
      </c>
      <c r="SRN236" s="1077">
        <v>8298541</v>
      </c>
      <c r="SRO236" s="1077">
        <v>8298541</v>
      </c>
      <c r="SRP236" s="1077">
        <v>8298541</v>
      </c>
      <c r="SRQ236" s="1077">
        <v>8298541</v>
      </c>
      <c r="SRR236" s="1077">
        <v>8298541</v>
      </c>
      <c r="SRS236" s="1077">
        <v>8298541</v>
      </c>
      <c r="SRT236" s="1077">
        <v>8298541</v>
      </c>
      <c r="SRU236" s="1077">
        <v>8298541</v>
      </c>
      <c r="SRV236" s="1077">
        <v>8298541</v>
      </c>
      <c r="SRW236" s="1077">
        <v>8298541</v>
      </c>
      <c r="SRX236" s="1077">
        <v>8298541</v>
      </c>
      <c r="SRY236" s="1077">
        <v>8298541</v>
      </c>
      <c r="SRZ236" s="1077">
        <v>8298541</v>
      </c>
      <c r="SSA236" s="1077">
        <v>8298541</v>
      </c>
      <c r="SSB236" s="1077">
        <v>8298541</v>
      </c>
      <c r="SSC236" s="1077">
        <v>8298541</v>
      </c>
      <c r="SSD236" s="1077">
        <v>8298541</v>
      </c>
      <c r="SSE236" s="1077">
        <v>8298541</v>
      </c>
      <c r="SSF236" s="1077">
        <v>8298541</v>
      </c>
      <c r="SSG236" s="1077">
        <v>8298541</v>
      </c>
      <c r="SSH236" s="1077">
        <v>8298541</v>
      </c>
      <c r="SSI236" s="1077">
        <v>8298541</v>
      </c>
      <c r="SSJ236" s="1077">
        <v>8298541</v>
      </c>
      <c r="SSK236" s="1077">
        <v>8298541</v>
      </c>
      <c r="SSL236" s="1077">
        <v>8298541</v>
      </c>
      <c r="SSM236" s="1077">
        <v>8298541</v>
      </c>
      <c r="SSN236" s="1077">
        <v>8298541</v>
      </c>
      <c r="SSO236" s="1077">
        <v>8298541</v>
      </c>
      <c r="SSP236" s="1077">
        <v>8298541</v>
      </c>
      <c r="SSQ236" s="1077">
        <v>8298541</v>
      </c>
      <c r="SSR236" s="1077">
        <v>8298541</v>
      </c>
      <c r="SSS236" s="1077">
        <v>8298541</v>
      </c>
      <c r="SST236" s="1077">
        <v>8298541</v>
      </c>
      <c r="SSU236" s="1077">
        <v>8298541</v>
      </c>
      <c r="SSV236" s="1077">
        <v>8298541</v>
      </c>
      <c r="SSW236" s="1077">
        <v>8298541</v>
      </c>
      <c r="SSX236" s="1077">
        <v>8298541</v>
      </c>
      <c r="SSY236" s="1077">
        <v>8298541</v>
      </c>
      <c r="SSZ236" s="1077">
        <v>8298541</v>
      </c>
      <c r="STA236" s="1077">
        <v>8298541</v>
      </c>
      <c r="STB236" s="1077">
        <v>8298541</v>
      </c>
      <c r="STC236" s="1077">
        <v>8298541</v>
      </c>
      <c r="STD236" s="1077">
        <v>8298541</v>
      </c>
      <c r="STE236" s="1077">
        <v>8298541</v>
      </c>
      <c r="STF236" s="1077">
        <v>8298541</v>
      </c>
      <c r="STG236" s="1077">
        <v>8298541</v>
      </c>
      <c r="STH236" s="1077">
        <v>8298541</v>
      </c>
      <c r="STI236" s="1077">
        <v>8298541</v>
      </c>
      <c r="STJ236" s="1077">
        <v>8298541</v>
      </c>
      <c r="STK236" s="1077">
        <v>8298541</v>
      </c>
      <c r="STL236" s="1077">
        <v>8298541</v>
      </c>
      <c r="STM236" s="1077">
        <v>8298541</v>
      </c>
      <c r="STN236" s="1077">
        <v>8298541</v>
      </c>
      <c r="STO236" s="1077">
        <v>8298541</v>
      </c>
      <c r="STP236" s="1077">
        <v>8298541</v>
      </c>
      <c r="STQ236" s="1077">
        <v>8298541</v>
      </c>
      <c r="STR236" s="1077">
        <v>8298541</v>
      </c>
      <c r="STS236" s="1077">
        <v>8298541</v>
      </c>
      <c r="STT236" s="1077">
        <v>8298541</v>
      </c>
      <c r="STU236" s="1077">
        <v>8298541</v>
      </c>
      <c r="STV236" s="1077">
        <v>8298541</v>
      </c>
      <c r="STW236" s="1077">
        <v>8298541</v>
      </c>
      <c r="STX236" s="1077">
        <v>8298541</v>
      </c>
      <c r="STY236" s="1077">
        <v>8298541</v>
      </c>
      <c r="STZ236" s="1077">
        <v>8298541</v>
      </c>
      <c r="SUA236" s="1077">
        <v>8298541</v>
      </c>
      <c r="SUB236" s="1077">
        <v>8298541</v>
      </c>
      <c r="SUC236" s="1077">
        <v>8298541</v>
      </c>
      <c r="SUD236" s="1077">
        <v>8298541</v>
      </c>
      <c r="SUE236" s="1077">
        <v>8298541</v>
      </c>
      <c r="SUF236" s="1077">
        <v>8298541</v>
      </c>
      <c r="SUG236" s="1077">
        <v>8298541</v>
      </c>
      <c r="SUH236" s="1077">
        <v>8298541</v>
      </c>
      <c r="SUI236" s="1077">
        <v>8298541</v>
      </c>
      <c r="SUJ236" s="1077">
        <v>8298541</v>
      </c>
      <c r="SUK236" s="1077">
        <v>8298541</v>
      </c>
      <c r="SUL236" s="1077">
        <v>8298541</v>
      </c>
      <c r="SUM236" s="1077">
        <v>8298541</v>
      </c>
      <c r="SUN236" s="1077">
        <v>8298541</v>
      </c>
      <c r="SUO236" s="1077">
        <v>8298541</v>
      </c>
      <c r="SUP236" s="1077">
        <v>8298541</v>
      </c>
      <c r="SUQ236" s="1077">
        <v>8298541</v>
      </c>
      <c r="SUR236" s="1077">
        <v>8298541</v>
      </c>
      <c r="SUS236" s="1077">
        <v>8298541</v>
      </c>
      <c r="SUT236" s="1077">
        <v>8298541</v>
      </c>
      <c r="SUU236" s="1077">
        <v>8298541</v>
      </c>
      <c r="SUV236" s="1077">
        <v>8298541</v>
      </c>
      <c r="SUW236" s="1077">
        <v>8298541</v>
      </c>
      <c r="SUX236" s="1077">
        <v>8298541</v>
      </c>
      <c r="SUY236" s="1077">
        <v>8298541</v>
      </c>
      <c r="SUZ236" s="1077">
        <v>8298541</v>
      </c>
      <c r="SVA236" s="1077">
        <v>8298541</v>
      </c>
      <c r="SVB236" s="1077">
        <v>8298541</v>
      </c>
      <c r="SVC236" s="1077">
        <v>8298541</v>
      </c>
      <c r="SVD236" s="1077">
        <v>8298541</v>
      </c>
      <c r="SVE236" s="1077">
        <v>8298541</v>
      </c>
      <c r="SVF236" s="1077">
        <v>8298541</v>
      </c>
      <c r="SVG236" s="1077">
        <v>8298541</v>
      </c>
      <c r="SVH236" s="1077">
        <v>8298541</v>
      </c>
      <c r="SVI236" s="1077">
        <v>8298541</v>
      </c>
      <c r="SVJ236" s="1077">
        <v>8298541</v>
      </c>
      <c r="SVK236" s="1077">
        <v>8298541</v>
      </c>
      <c r="SVL236" s="1077">
        <v>8298541</v>
      </c>
      <c r="SVM236" s="1077">
        <v>8298541</v>
      </c>
      <c r="SVN236" s="1077">
        <v>8298541</v>
      </c>
      <c r="SVO236" s="1077">
        <v>8298541</v>
      </c>
      <c r="SVP236" s="1077">
        <v>8298541</v>
      </c>
      <c r="SVQ236" s="1077">
        <v>8298541</v>
      </c>
      <c r="SVR236" s="1077">
        <v>8298541</v>
      </c>
      <c r="SVS236" s="1077">
        <v>8298541</v>
      </c>
      <c r="SVT236" s="1077">
        <v>8298541</v>
      </c>
      <c r="SVU236" s="1077">
        <v>8298541</v>
      </c>
      <c r="SVV236" s="1077">
        <v>8298541</v>
      </c>
      <c r="SVW236" s="1077">
        <v>8298541</v>
      </c>
      <c r="SVX236" s="1077">
        <v>8298541</v>
      </c>
      <c r="SVY236" s="1077">
        <v>8298541</v>
      </c>
      <c r="SVZ236" s="1077">
        <v>8298541</v>
      </c>
      <c r="SWA236" s="1077">
        <v>8298541</v>
      </c>
      <c r="SWB236" s="1077">
        <v>8298541</v>
      </c>
      <c r="SWC236" s="1077">
        <v>8298541</v>
      </c>
      <c r="SWD236" s="1077">
        <v>8298541</v>
      </c>
      <c r="SWE236" s="1077">
        <v>8298541</v>
      </c>
      <c r="SWF236" s="1077">
        <v>8298541</v>
      </c>
      <c r="SWG236" s="1077">
        <v>8298541</v>
      </c>
      <c r="SWH236" s="1077">
        <v>8298541</v>
      </c>
      <c r="SWI236" s="1077">
        <v>8298541</v>
      </c>
      <c r="SWJ236" s="1077">
        <v>8298541</v>
      </c>
      <c r="SWK236" s="1077">
        <v>8298541</v>
      </c>
      <c r="SWL236" s="1077">
        <v>8298541</v>
      </c>
      <c r="SWM236" s="1077">
        <v>8298541</v>
      </c>
      <c r="SWN236" s="1077">
        <v>8298541</v>
      </c>
      <c r="SWO236" s="1077">
        <v>8298541</v>
      </c>
      <c r="SWP236" s="1077">
        <v>8298541</v>
      </c>
      <c r="SWQ236" s="1077">
        <v>8298541</v>
      </c>
      <c r="SWR236" s="1077">
        <v>8298541</v>
      </c>
      <c r="SWS236" s="1077">
        <v>8298541</v>
      </c>
      <c r="SWT236" s="1077">
        <v>8298541</v>
      </c>
      <c r="SWU236" s="1077">
        <v>8298541</v>
      </c>
      <c r="SWV236" s="1077">
        <v>8298541</v>
      </c>
      <c r="SWW236" s="1077">
        <v>8298541</v>
      </c>
      <c r="SWX236" s="1077">
        <v>8298541</v>
      </c>
      <c r="SWY236" s="1077">
        <v>8298541</v>
      </c>
      <c r="SWZ236" s="1077">
        <v>8298541</v>
      </c>
      <c r="SXA236" s="1077">
        <v>8298541</v>
      </c>
      <c r="SXB236" s="1077">
        <v>8298541</v>
      </c>
      <c r="SXC236" s="1077">
        <v>8298541</v>
      </c>
      <c r="SXD236" s="1077">
        <v>8298541</v>
      </c>
      <c r="SXE236" s="1077">
        <v>8298541</v>
      </c>
      <c r="SXF236" s="1077">
        <v>8298541</v>
      </c>
      <c r="SXG236" s="1077">
        <v>8298541</v>
      </c>
      <c r="SXH236" s="1077">
        <v>8298541</v>
      </c>
      <c r="SXI236" s="1077">
        <v>8298541</v>
      </c>
      <c r="SXJ236" s="1077">
        <v>8298541</v>
      </c>
      <c r="SXK236" s="1077">
        <v>8298541</v>
      </c>
      <c r="SXL236" s="1077">
        <v>8298541</v>
      </c>
      <c r="SXM236" s="1077">
        <v>8298541</v>
      </c>
      <c r="SXN236" s="1077">
        <v>8298541</v>
      </c>
      <c r="SXO236" s="1077">
        <v>8298541</v>
      </c>
      <c r="SXP236" s="1077">
        <v>8298541</v>
      </c>
      <c r="SXQ236" s="1077">
        <v>8298541</v>
      </c>
      <c r="SXR236" s="1077">
        <v>8298541</v>
      </c>
      <c r="SXS236" s="1077">
        <v>8298541</v>
      </c>
      <c r="SXT236" s="1077">
        <v>8298541</v>
      </c>
      <c r="SXU236" s="1077">
        <v>8298541</v>
      </c>
      <c r="SXV236" s="1077">
        <v>8298541</v>
      </c>
      <c r="SXW236" s="1077">
        <v>8298541</v>
      </c>
      <c r="SXX236" s="1077">
        <v>8298541</v>
      </c>
      <c r="SXY236" s="1077">
        <v>8298541</v>
      </c>
      <c r="SXZ236" s="1077">
        <v>8298541</v>
      </c>
      <c r="SYA236" s="1077">
        <v>8298541</v>
      </c>
      <c r="SYB236" s="1077">
        <v>8298541</v>
      </c>
      <c r="SYC236" s="1077">
        <v>8298541</v>
      </c>
      <c r="SYD236" s="1077">
        <v>8298541</v>
      </c>
      <c r="SYE236" s="1077">
        <v>8298541</v>
      </c>
      <c r="SYF236" s="1077">
        <v>8298541</v>
      </c>
      <c r="SYG236" s="1077">
        <v>8298541</v>
      </c>
      <c r="SYH236" s="1077">
        <v>8298541</v>
      </c>
      <c r="SYI236" s="1077">
        <v>8298541</v>
      </c>
      <c r="SYJ236" s="1077">
        <v>8298541</v>
      </c>
      <c r="SYK236" s="1077">
        <v>8298541</v>
      </c>
      <c r="SYL236" s="1077">
        <v>8298541</v>
      </c>
      <c r="SYM236" s="1077">
        <v>8298541</v>
      </c>
      <c r="SYN236" s="1077">
        <v>8298541</v>
      </c>
      <c r="SYO236" s="1077">
        <v>8298541</v>
      </c>
      <c r="SYP236" s="1077">
        <v>8298541</v>
      </c>
      <c r="SYQ236" s="1077">
        <v>8298541</v>
      </c>
      <c r="SYR236" s="1077">
        <v>8298541</v>
      </c>
      <c r="SYS236" s="1077">
        <v>8298541</v>
      </c>
      <c r="SYT236" s="1077">
        <v>8298541</v>
      </c>
      <c r="SYU236" s="1077">
        <v>8298541</v>
      </c>
      <c r="SYV236" s="1077">
        <v>8298541</v>
      </c>
      <c r="SYW236" s="1077">
        <v>8298541</v>
      </c>
      <c r="SYX236" s="1077">
        <v>8298541</v>
      </c>
      <c r="SYY236" s="1077">
        <v>8298541</v>
      </c>
      <c r="SYZ236" s="1077">
        <v>8298541</v>
      </c>
      <c r="SZA236" s="1077">
        <v>8298541</v>
      </c>
      <c r="SZB236" s="1077">
        <v>8298541</v>
      </c>
      <c r="SZC236" s="1077">
        <v>8298541</v>
      </c>
      <c r="SZD236" s="1077">
        <v>8298541</v>
      </c>
      <c r="SZE236" s="1077">
        <v>8298541</v>
      </c>
      <c r="SZF236" s="1077">
        <v>8298541</v>
      </c>
      <c r="SZG236" s="1077">
        <v>8298541</v>
      </c>
      <c r="SZH236" s="1077">
        <v>8298541</v>
      </c>
      <c r="SZI236" s="1077">
        <v>8298541</v>
      </c>
      <c r="SZJ236" s="1077">
        <v>8298541</v>
      </c>
      <c r="SZK236" s="1077">
        <v>8298541</v>
      </c>
      <c r="SZL236" s="1077">
        <v>8298541</v>
      </c>
      <c r="SZM236" s="1077">
        <v>8298541</v>
      </c>
      <c r="SZN236" s="1077">
        <v>8298541</v>
      </c>
      <c r="SZO236" s="1077">
        <v>8298541</v>
      </c>
      <c r="SZP236" s="1077">
        <v>8298541</v>
      </c>
      <c r="SZQ236" s="1077">
        <v>8298541</v>
      </c>
      <c r="SZR236" s="1077">
        <v>8298541</v>
      </c>
      <c r="SZS236" s="1077">
        <v>8298541</v>
      </c>
      <c r="SZT236" s="1077">
        <v>8298541</v>
      </c>
      <c r="SZU236" s="1077">
        <v>8298541</v>
      </c>
      <c r="SZV236" s="1077">
        <v>8298541</v>
      </c>
      <c r="SZW236" s="1077">
        <v>8298541</v>
      </c>
      <c r="SZX236" s="1077">
        <v>8298541</v>
      </c>
      <c r="SZY236" s="1077">
        <v>8298541</v>
      </c>
      <c r="SZZ236" s="1077">
        <v>8298541</v>
      </c>
      <c r="TAA236" s="1077">
        <v>8298541</v>
      </c>
      <c r="TAB236" s="1077">
        <v>8298541</v>
      </c>
      <c r="TAC236" s="1077">
        <v>8298541</v>
      </c>
      <c r="TAD236" s="1077">
        <v>8298541</v>
      </c>
      <c r="TAE236" s="1077">
        <v>8298541</v>
      </c>
      <c r="TAF236" s="1077">
        <v>8298541</v>
      </c>
      <c r="TAG236" s="1077">
        <v>8298541</v>
      </c>
      <c r="TAH236" s="1077">
        <v>8298541</v>
      </c>
      <c r="TAI236" s="1077">
        <v>8298541</v>
      </c>
      <c r="TAJ236" s="1077">
        <v>8298541</v>
      </c>
      <c r="TAK236" s="1077">
        <v>8298541</v>
      </c>
      <c r="TAL236" s="1077">
        <v>8298541</v>
      </c>
      <c r="TAM236" s="1077">
        <v>8298541</v>
      </c>
      <c r="TAN236" s="1077">
        <v>8298541</v>
      </c>
      <c r="TAO236" s="1077">
        <v>8298541</v>
      </c>
      <c r="TAP236" s="1077">
        <v>8298541</v>
      </c>
      <c r="TAQ236" s="1077">
        <v>8298541</v>
      </c>
      <c r="TAR236" s="1077">
        <v>8298541</v>
      </c>
      <c r="TAS236" s="1077">
        <v>8298541</v>
      </c>
      <c r="TAT236" s="1077">
        <v>8298541</v>
      </c>
      <c r="TAU236" s="1077">
        <v>8298541</v>
      </c>
      <c r="TAV236" s="1077">
        <v>8298541</v>
      </c>
      <c r="TAW236" s="1077">
        <v>8298541</v>
      </c>
      <c r="TAX236" s="1077">
        <v>8298541</v>
      </c>
      <c r="TAY236" s="1077">
        <v>8298541</v>
      </c>
      <c r="TAZ236" s="1077">
        <v>8298541</v>
      </c>
      <c r="TBA236" s="1077">
        <v>8298541</v>
      </c>
      <c r="TBB236" s="1077">
        <v>8298541</v>
      </c>
      <c r="TBC236" s="1077">
        <v>8298541</v>
      </c>
      <c r="TBD236" s="1077">
        <v>8298541</v>
      </c>
      <c r="TBE236" s="1077">
        <v>8298541</v>
      </c>
      <c r="TBF236" s="1077">
        <v>8298541</v>
      </c>
      <c r="TBG236" s="1077">
        <v>8298541</v>
      </c>
      <c r="TBH236" s="1077">
        <v>8298541</v>
      </c>
      <c r="TBI236" s="1077">
        <v>8298541</v>
      </c>
      <c r="TBJ236" s="1077">
        <v>8298541</v>
      </c>
      <c r="TBK236" s="1077">
        <v>8298541</v>
      </c>
      <c r="TBL236" s="1077">
        <v>8298541</v>
      </c>
      <c r="TBM236" s="1077">
        <v>8298541</v>
      </c>
      <c r="TBN236" s="1077">
        <v>8298541</v>
      </c>
      <c r="TBO236" s="1077">
        <v>8298541</v>
      </c>
      <c r="TBP236" s="1077">
        <v>8298541</v>
      </c>
      <c r="TBQ236" s="1077">
        <v>8298541</v>
      </c>
      <c r="TBR236" s="1077">
        <v>8298541</v>
      </c>
      <c r="TBS236" s="1077">
        <v>8298541</v>
      </c>
      <c r="TBT236" s="1077">
        <v>8298541</v>
      </c>
      <c r="TBU236" s="1077">
        <v>8298541</v>
      </c>
      <c r="TBV236" s="1077">
        <v>8298541</v>
      </c>
      <c r="TBW236" s="1077">
        <v>8298541</v>
      </c>
      <c r="TBX236" s="1077">
        <v>8298541</v>
      </c>
      <c r="TBY236" s="1077">
        <v>8298541</v>
      </c>
      <c r="TBZ236" s="1077">
        <v>8298541</v>
      </c>
      <c r="TCA236" s="1077">
        <v>8298541</v>
      </c>
      <c r="TCB236" s="1077">
        <v>8298541</v>
      </c>
      <c r="TCC236" s="1077">
        <v>8298541</v>
      </c>
      <c r="TCD236" s="1077">
        <v>8298541</v>
      </c>
      <c r="TCE236" s="1077">
        <v>8298541</v>
      </c>
      <c r="TCF236" s="1077">
        <v>8298541</v>
      </c>
      <c r="TCG236" s="1077">
        <v>8298541</v>
      </c>
      <c r="TCH236" s="1077">
        <v>8298541</v>
      </c>
      <c r="TCI236" s="1077">
        <v>8298541</v>
      </c>
      <c r="TCJ236" s="1077">
        <v>8298541</v>
      </c>
      <c r="TCK236" s="1077">
        <v>8298541</v>
      </c>
      <c r="TCL236" s="1077">
        <v>8298541</v>
      </c>
      <c r="TCM236" s="1077">
        <v>8298541</v>
      </c>
      <c r="TCN236" s="1077">
        <v>8298541</v>
      </c>
      <c r="TCO236" s="1077">
        <v>8298541</v>
      </c>
      <c r="TCP236" s="1077">
        <v>8298541</v>
      </c>
      <c r="TCQ236" s="1077">
        <v>8298541</v>
      </c>
      <c r="TCR236" s="1077">
        <v>8298541</v>
      </c>
      <c r="TCS236" s="1077">
        <v>8298541</v>
      </c>
      <c r="TCT236" s="1077">
        <v>8298541</v>
      </c>
      <c r="TCU236" s="1077">
        <v>8298541</v>
      </c>
      <c r="TCV236" s="1077">
        <v>8298541</v>
      </c>
      <c r="TCW236" s="1077">
        <v>8298541</v>
      </c>
      <c r="TCX236" s="1077">
        <v>8298541</v>
      </c>
      <c r="TCY236" s="1077">
        <v>8298541</v>
      </c>
      <c r="TCZ236" s="1077">
        <v>8298541</v>
      </c>
      <c r="TDA236" s="1077">
        <v>8298541</v>
      </c>
      <c r="TDB236" s="1077">
        <v>8298541</v>
      </c>
      <c r="TDC236" s="1077">
        <v>8298541</v>
      </c>
      <c r="TDD236" s="1077">
        <v>8298541</v>
      </c>
      <c r="TDE236" s="1077">
        <v>8298541</v>
      </c>
      <c r="TDF236" s="1077">
        <v>8298541</v>
      </c>
      <c r="TDG236" s="1077">
        <v>8298541</v>
      </c>
      <c r="TDH236" s="1077">
        <v>8298541</v>
      </c>
      <c r="TDI236" s="1077">
        <v>8298541</v>
      </c>
      <c r="TDJ236" s="1077">
        <v>8298541</v>
      </c>
      <c r="TDK236" s="1077">
        <v>8298541</v>
      </c>
      <c r="TDL236" s="1077">
        <v>8298541</v>
      </c>
      <c r="TDM236" s="1077">
        <v>8298541</v>
      </c>
      <c r="TDN236" s="1077">
        <v>8298541</v>
      </c>
      <c r="TDO236" s="1077">
        <v>8298541</v>
      </c>
      <c r="TDP236" s="1077">
        <v>8298541</v>
      </c>
      <c r="TDQ236" s="1077">
        <v>8298541</v>
      </c>
      <c r="TDR236" s="1077">
        <v>8298541</v>
      </c>
      <c r="TDS236" s="1077">
        <v>8298541</v>
      </c>
      <c r="TDT236" s="1077">
        <v>8298541</v>
      </c>
      <c r="TDU236" s="1077">
        <v>8298541</v>
      </c>
      <c r="TDV236" s="1077">
        <v>8298541</v>
      </c>
      <c r="TDW236" s="1077">
        <v>8298541</v>
      </c>
      <c r="TDX236" s="1077">
        <v>8298541</v>
      </c>
      <c r="TDY236" s="1077">
        <v>8298541</v>
      </c>
      <c r="TDZ236" s="1077">
        <v>8298541</v>
      </c>
      <c r="TEA236" s="1077">
        <v>8298541</v>
      </c>
      <c r="TEB236" s="1077">
        <v>8298541</v>
      </c>
      <c r="TEC236" s="1077">
        <v>8298541</v>
      </c>
      <c r="TED236" s="1077">
        <v>8298541</v>
      </c>
      <c r="TEE236" s="1077">
        <v>8298541</v>
      </c>
      <c r="TEF236" s="1077">
        <v>8298541</v>
      </c>
      <c r="TEG236" s="1077">
        <v>8298541</v>
      </c>
      <c r="TEH236" s="1077">
        <v>8298541</v>
      </c>
      <c r="TEI236" s="1077">
        <v>8298541</v>
      </c>
      <c r="TEJ236" s="1077">
        <v>8298541</v>
      </c>
      <c r="TEK236" s="1077">
        <v>8298541</v>
      </c>
      <c r="TEL236" s="1077">
        <v>8298541</v>
      </c>
      <c r="TEM236" s="1077">
        <v>8298541</v>
      </c>
      <c r="TEN236" s="1077">
        <v>8298541</v>
      </c>
      <c r="TEO236" s="1077">
        <v>8298541</v>
      </c>
      <c r="TEP236" s="1077">
        <v>8298541</v>
      </c>
      <c r="TEQ236" s="1077">
        <v>8298541</v>
      </c>
      <c r="TER236" s="1077">
        <v>8298541</v>
      </c>
      <c r="TES236" s="1077">
        <v>8298541</v>
      </c>
      <c r="TET236" s="1077">
        <v>8298541</v>
      </c>
      <c r="TEU236" s="1077">
        <v>8298541</v>
      </c>
      <c r="TEV236" s="1077">
        <v>8298541</v>
      </c>
      <c r="TEW236" s="1077">
        <v>8298541</v>
      </c>
      <c r="TEX236" s="1077">
        <v>8298541</v>
      </c>
      <c r="TEY236" s="1077">
        <v>8298541</v>
      </c>
      <c r="TEZ236" s="1077">
        <v>8298541</v>
      </c>
      <c r="TFA236" s="1077">
        <v>8298541</v>
      </c>
      <c r="TFB236" s="1077">
        <v>8298541</v>
      </c>
      <c r="TFC236" s="1077">
        <v>8298541</v>
      </c>
      <c r="TFD236" s="1077">
        <v>8298541</v>
      </c>
      <c r="TFE236" s="1077">
        <v>8298541</v>
      </c>
      <c r="TFF236" s="1077">
        <v>8298541</v>
      </c>
      <c r="TFG236" s="1077">
        <v>8298541</v>
      </c>
      <c r="TFH236" s="1077">
        <v>8298541</v>
      </c>
      <c r="TFI236" s="1077">
        <v>8298541</v>
      </c>
      <c r="TFJ236" s="1077">
        <v>8298541</v>
      </c>
      <c r="TFK236" s="1077">
        <v>8298541</v>
      </c>
      <c r="TFL236" s="1077">
        <v>8298541</v>
      </c>
      <c r="TFM236" s="1077">
        <v>8298541</v>
      </c>
      <c r="TFN236" s="1077">
        <v>8298541</v>
      </c>
      <c r="TFO236" s="1077">
        <v>8298541</v>
      </c>
      <c r="TFP236" s="1077">
        <v>8298541</v>
      </c>
      <c r="TFQ236" s="1077">
        <v>8298541</v>
      </c>
      <c r="TFR236" s="1077">
        <v>8298541</v>
      </c>
      <c r="TFS236" s="1077">
        <v>8298541</v>
      </c>
      <c r="TFT236" s="1077">
        <v>8298541</v>
      </c>
      <c r="TFU236" s="1077">
        <v>8298541</v>
      </c>
      <c r="TFV236" s="1077">
        <v>8298541</v>
      </c>
      <c r="TFW236" s="1077">
        <v>8298541</v>
      </c>
      <c r="TFX236" s="1077">
        <v>8298541</v>
      </c>
      <c r="TFY236" s="1077">
        <v>8298541</v>
      </c>
      <c r="TFZ236" s="1077">
        <v>8298541</v>
      </c>
      <c r="TGA236" s="1077">
        <v>8298541</v>
      </c>
      <c r="TGB236" s="1077">
        <v>8298541</v>
      </c>
      <c r="TGC236" s="1077">
        <v>8298541</v>
      </c>
      <c r="TGD236" s="1077">
        <v>8298541</v>
      </c>
      <c r="TGE236" s="1077">
        <v>8298541</v>
      </c>
      <c r="TGF236" s="1077">
        <v>8298541</v>
      </c>
      <c r="TGG236" s="1077">
        <v>8298541</v>
      </c>
      <c r="TGH236" s="1077">
        <v>8298541</v>
      </c>
      <c r="TGI236" s="1077">
        <v>8298541</v>
      </c>
      <c r="TGJ236" s="1077">
        <v>8298541</v>
      </c>
      <c r="TGK236" s="1077">
        <v>8298541</v>
      </c>
      <c r="TGL236" s="1077">
        <v>8298541</v>
      </c>
      <c r="TGM236" s="1077">
        <v>8298541</v>
      </c>
      <c r="TGN236" s="1077">
        <v>8298541</v>
      </c>
      <c r="TGO236" s="1077">
        <v>8298541</v>
      </c>
      <c r="TGP236" s="1077">
        <v>8298541</v>
      </c>
      <c r="TGQ236" s="1077">
        <v>8298541</v>
      </c>
      <c r="TGR236" s="1077">
        <v>8298541</v>
      </c>
      <c r="TGS236" s="1077">
        <v>8298541</v>
      </c>
      <c r="TGT236" s="1077">
        <v>8298541</v>
      </c>
      <c r="TGU236" s="1077">
        <v>8298541</v>
      </c>
      <c r="TGV236" s="1077">
        <v>8298541</v>
      </c>
      <c r="TGW236" s="1077">
        <v>8298541</v>
      </c>
      <c r="TGX236" s="1077">
        <v>8298541</v>
      </c>
      <c r="TGY236" s="1077">
        <v>8298541</v>
      </c>
      <c r="TGZ236" s="1077">
        <v>8298541</v>
      </c>
      <c r="THA236" s="1077">
        <v>8298541</v>
      </c>
      <c r="THB236" s="1077">
        <v>8298541</v>
      </c>
      <c r="THC236" s="1077">
        <v>8298541</v>
      </c>
      <c r="THD236" s="1077">
        <v>8298541</v>
      </c>
      <c r="THE236" s="1077">
        <v>8298541</v>
      </c>
      <c r="THF236" s="1077">
        <v>8298541</v>
      </c>
      <c r="THG236" s="1077">
        <v>8298541</v>
      </c>
      <c r="THH236" s="1077">
        <v>8298541</v>
      </c>
      <c r="THI236" s="1077">
        <v>8298541</v>
      </c>
      <c r="THJ236" s="1077">
        <v>8298541</v>
      </c>
      <c r="THK236" s="1077">
        <v>8298541</v>
      </c>
      <c r="THL236" s="1077">
        <v>8298541</v>
      </c>
      <c r="THM236" s="1077">
        <v>8298541</v>
      </c>
      <c r="THN236" s="1077">
        <v>8298541</v>
      </c>
      <c r="THO236" s="1077">
        <v>8298541</v>
      </c>
      <c r="THP236" s="1077">
        <v>8298541</v>
      </c>
      <c r="THQ236" s="1077">
        <v>8298541</v>
      </c>
      <c r="THR236" s="1077">
        <v>8298541</v>
      </c>
      <c r="THS236" s="1077">
        <v>8298541</v>
      </c>
      <c r="THT236" s="1077">
        <v>8298541</v>
      </c>
      <c r="THU236" s="1077">
        <v>8298541</v>
      </c>
      <c r="THV236" s="1077">
        <v>8298541</v>
      </c>
      <c r="THW236" s="1077">
        <v>8298541</v>
      </c>
      <c r="THX236" s="1077">
        <v>8298541</v>
      </c>
      <c r="THY236" s="1077">
        <v>8298541</v>
      </c>
      <c r="THZ236" s="1077">
        <v>8298541</v>
      </c>
      <c r="TIA236" s="1077">
        <v>8298541</v>
      </c>
      <c r="TIB236" s="1077">
        <v>8298541</v>
      </c>
      <c r="TIC236" s="1077">
        <v>8298541</v>
      </c>
      <c r="TID236" s="1077">
        <v>8298541</v>
      </c>
      <c r="TIE236" s="1077">
        <v>8298541</v>
      </c>
      <c r="TIF236" s="1077">
        <v>8298541</v>
      </c>
      <c r="TIG236" s="1077">
        <v>8298541</v>
      </c>
      <c r="TIH236" s="1077">
        <v>8298541</v>
      </c>
      <c r="TII236" s="1077">
        <v>8298541</v>
      </c>
      <c r="TIJ236" s="1077">
        <v>8298541</v>
      </c>
      <c r="TIK236" s="1077">
        <v>8298541</v>
      </c>
      <c r="TIL236" s="1077">
        <v>8298541</v>
      </c>
      <c r="TIM236" s="1077">
        <v>8298541</v>
      </c>
      <c r="TIN236" s="1077">
        <v>8298541</v>
      </c>
      <c r="TIO236" s="1077">
        <v>8298541</v>
      </c>
      <c r="TIP236" s="1077">
        <v>8298541</v>
      </c>
      <c r="TIQ236" s="1077">
        <v>8298541</v>
      </c>
      <c r="TIR236" s="1077">
        <v>8298541</v>
      </c>
      <c r="TIS236" s="1077">
        <v>8298541</v>
      </c>
      <c r="TIT236" s="1077">
        <v>8298541</v>
      </c>
      <c r="TIU236" s="1077">
        <v>8298541</v>
      </c>
      <c r="TIV236" s="1077">
        <v>8298541</v>
      </c>
      <c r="TIW236" s="1077">
        <v>8298541</v>
      </c>
      <c r="TIX236" s="1077">
        <v>8298541</v>
      </c>
      <c r="TIY236" s="1077">
        <v>8298541</v>
      </c>
      <c r="TIZ236" s="1077">
        <v>8298541</v>
      </c>
      <c r="TJA236" s="1077">
        <v>8298541</v>
      </c>
      <c r="TJB236" s="1077">
        <v>8298541</v>
      </c>
      <c r="TJC236" s="1077">
        <v>8298541</v>
      </c>
      <c r="TJD236" s="1077">
        <v>8298541</v>
      </c>
      <c r="TJE236" s="1077">
        <v>8298541</v>
      </c>
      <c r="TJF236" s="1077">
        <v>8298541</v>
      </c>
      <c r="TJG236" s="1077">
        <v>8298541</v>
      </c>
      <c r="TJH236" s="1077">
        <v>8298541</v>
      </c>
      <c r="TJI236" s="1077">
        <v>8298541</v>
      </c>
      <c r="TJJ236" s="1077">
        <v>8298541</v>
      </c>
      <c r="TJK236" s="1077">
        <v>8298541</v>
      </c>
      <c r="TJL236" s="1077">
        <v>8298541</v>
      </c>
      <c r="TJM236" s="1077">
        <v>8298541</v>
      </c>
      <c r="TJN236" s="1077">
        <v>8298541</v>
      </c>
      <c r="TJO236" s="1077">
        <v>8298541</v>
      </c>
      <c r="TJP236" s="1077">
        <v>8298541</v>
      </c>
      <c r="TJQ236" s="1077">
        <v>8298541</v>
      </c>
      <c r="TJR236" s="1077">
        <v>8298541</v>
      </c>
      <c r="TJS236" s="1077">
        <v>8298541</v>
      </c>
      <c r="TJT236" s="1077">
        <v>8298541</v>
      </c>
      <c r="TJU236" s="1077">
        <v>8298541</v>
      </c>
      <c r="TJV236" s="1077">
        <v>8298541</v>
      </c>
      <c r="TJW236" s="1077">
        <v>8298541</v>
      </c>
      <c r="TJX236" s="1077">
        <v>8298541</v>
      </c>
      <c r="TJY236" s="1077">
        <v>8298541</v>
      </c>
      <c r="TJZ236" s="1077">
        <v>8298541</v>
      </c>
      <c r="TKA236" s="1077">
        <v>8298541</v>
      </c>
      <c r="TKB236" s="1077">
        <v>8298541</v>
      </c>
      <c r="TKC236" s="1077">
        <v>8298541</v>
      </c>
      <c r="TKD236" s="1077">
        <v>8298541</v>
      </c>
      <c r="TKE236" s="1077">
        <v>8298541</v>
      </c>
      <c r="TKF236" s="1077">
        <v>8298541</v>
      </c>
      <c r="TKG236" s="1077">
        <v>8298541</v>
      </c>
      <c r="TKH236" s="1077">
        <v>8298541</v>
      </c>
      <c r="TKI236" s="1077">
        <v>8298541</v>
      </c>
      <c r="TKJ236" s="1077">
        <v>8298541</v>
      </c>
      <c r="TKK236" s="1077">
        <v>8298541</v>
      </c>
      <c r="TKL236" s="1077">
        <v>8298541</v>
      </c>
      <c r="TKM236" s="1077">
        <v>8298541</v>
      </c>
      <c r="TKN236" s="1077">
        <v>8298541</v>
      </c>
      <c r="TKO236" s="1077">
        <v>8298541</v>
      </c>
      <c r="TKP236" s="1077">
        <v>8298541</v>
      </c>
      <c r="TKQ236" s="1077">
        <v>8298541</v>
      </c>
      <c r="TKR236" s="1077">
        <v>8298541</v>
      </c>
      <c r="TKS236" s="1077">
        <v>8298541</v>
      </c>
      <c r="TKT236" s="1077">
        <v>8298541</v>
      </c>
      <c r="TKU236" s="1077">
        <v>8298541</v>
      </c>
      <c r="TKV236" s="1077">
        <v>8298541</v>
      </c>
      <c r="TKW236" s="1077">
        <v>8298541</v>
      </c>
      <c r="TKX236" s="1077">
        <v>8298541</v>
      </c>
      <c r="TKY236" s="1077">
        <v>8298541</v>
      </c>
      <c r="TKZ236" s="1077">
        <v>8298541</v>
      </c>
      <c r="TLA236" s="1077">
        <v>8298541</v>
      </c>
      <c r="TLB236" s="1077">
        <v>8298541</v>
      </c>
      <c r="TLC236" s="1077">
        <v>8298541</v>
      </c>
      <c r="TLD236" s="1077">
        <v>8298541</v>
      </c>
      <c r="TLE236" s="1077">
        <v>8298541</v>
      </c>
      <c r="TLF236" s="1077">
        <v>8298541</v>
      </c>
      <c r="TLG236" s="1077">
        <v>8298541</v>
      </c>
      <c r="TLH236" s="1077">
        <v>8298541</v>
      </c>
      <c r="TLI236" s="1077">
        <v>8298541</v>
      </c>
      <c r="TLJ236" s="1077">
        <v>8298541</v>
      </c>
      <c r="TLK236" s="1077">
        <v>8298541</v>
      </c>
      <c r="TLL236" s="1077">
        <v>8298541</v>
      </c>
      <c r="TLM236" s="1077">
        <v>8298541</v>
      </c>
      <c r="TLN236" s="1077">
        <v>8298541</v>
      </c>
      <c r="TLO236" s="1077">
        <v>8298541</v>
      </c>
      <c r="TLP236" s="1077">
        <v>8298541</v>
      </c>
      <c r="TLQ236" s="1077">
        <v>8298541</v>
      </c>
      <c r="TLR236" s="1077">
        <v>8298541</v>
      </c>
      <c r="TLS236" s="1077">
        <v>8298541</v>
      </c>
      <c r="TLT236" s="1077">
        <v>8298541</v>
      </c>
      <c r="TLU236" s="1077">
        <v>8298541</v>
      </c>
      <c r="TLV236" s="1077">
        <v>8298541</v>
      </c>
      <c r="TLW236" s="1077">
        <v>8298541</v>
      </c>
      <c r="TLX236" s="1077">
        <v>8298541</v>
      </c>
      <c r="TLY236" s="1077">
        <v>8298541</v>
      </c>
      <c r="TLZ236" s="1077">
        <v>8298541</v>
      </c>
      <c r="TMA236" s="1077">
        <v>8298541</v>
      </c>
      <c r="TMB236" s="1077">
        <v>8298541</v>
      </c>
      <c r="TMC236" s="1077">
        <v>8298541</v>
      </c>
      <c r="TMD236" s="1077">
        <v>8298541</v>
      </c>
      <c r="TME236" s="1077">
        <v>8298541</v>
      </c>
      <c r="TMF236" s="1077">
        <v>8298541</v>
      </c>
      <c r="TMG236" s="1077">
        <v>8298541</v>
      </c>
      <c r="TMH236" s="1077">
        <v>8298541</v>
      </c>
      <c r="TMI236" s="1077">
        <v>8298541</v>
      </c>
      <c r="TMJ236" s="1077">
        <v>8298541</v>
      </c>
      <c r="TMK236" s="1077">
        <v>8298541</v>
      </c>
      <c r="TML236" s="1077">
        <v>8298541</v>
      </c>
      <c r="TMM236" s="1077">
        <v>8298541</v>
      </c>
      <c r="TMN236" s="1077">
        <v>8298541</v>
      </c>
      <c r="TMO236" s="1077">
        <v>8298541</v>
      </c>
      <c r="TMP236" s="1077">
        <v>8298541</v>
      </c>
      <c r="TMQ236" s="1077">
        <v>8298541</v>
      </c>
      <c r="TMR236" s="1077">
        <v>8298541</v>
      </c>
      <c r="TMS236" s="1077">
        <v>8298541</v>
      </c>
      <c r="TMT236" s="1077">
        <v>8298541</v>
      </c>
      <c r="TMU236" s="1077">
        <v>8298541</v>
      </c>
      <c r="TMV236" s="1077">
        <v>8298541</v>
      </c>
      <c r="TMW236" s="1077">
        <v>8298541</v>
      </c>
      <c r="TMX236" s="1077">
        <v>8298541</v>
      </c>
      <c r="TMY236" s="1077">
        <v>8298541</v>
      </c>
      <c r="TMZ236" s="1077">
        <v>8298541</v>
      </c>
      <c r="TNA236" s="1077">
        <v>8298541</v>
      </c>
      <c r="TNB236" s="1077">
        <v>8298541</v>
      </c>
      <c r="TNC236" s="1077">
        <v>8298541</v>
      </c>
      <c r="TND236" s="1077">
        <v>8298541</v>
      </c>
      <c r="TNE236" s="1077">
        <v>8298541</v>
      </c>
      <c r="TNF236" s="1077">
        <v>8298541</v>
      </c>
      <c r="TNG236" s="1077">
        <v>8298541</v>
      </c>
      <c r="TNH236" s="1077">
        <v>8298541</v>
      </c>
      <c r="TNI236" s="1077">
        <v>8298541</v>
      </c>
      <c r="TNJ236" s="1077">
        <v>8298541</v>
      </c>
      <c r="TNK236" s="1077">
        <v>8298541</v>
      </c>
      <c r="TNL236" s="1077">
        <v>8298541</v>
      </c>
      <c r="TNM236" s="1077">
        <v>8298541</v>
      </c>
      <c r="TNN236" s="1077">
        <v>8298541</v>
      </c>
      <c r="TNO236" s="1077">
        <v>8298541</v>
      </c>
      <c r="TNP236" s="1077">
        <v>8298541</v>
      </c>
      <c r="TNQ236" s="1077">
        <v>8298541</v>
      </c>
      <c r="TNR236" s="1077">
        <v>8298541</v>
      </c>
      <c r="TNS236" s="1077">
        <v>8298541</v>
      </c>
      <c r="TNT236" s="1077">
        <v>8298541</v>
      </c>
      <c r="TNU236" s="1077">
        <v>8298541</v>
      </c>
      <c r="TNV236" s="1077">
        <v>8298541</v>
      </c>
      <c r="TNW236" s="1077">
        <v>8298541</v>
      </c>
      <c r="TNX236" s="1077">
        <v>8298541</v>
      </c>
      <c r="TNY236" s="1077">
        <v>8298541</v>
      </c>
      <c r="TNZ236" s="1077">
        <v>8298541</v>
      </c>
      <c r="TOA236" s="1077">
        <v>8298541</v>
      </c>
      <c r="TOB236" s="1077">
        <v>8298541</v>
      </c>
      <c r="TOC236" s="1077">
        <v>8298541</v>
      </c>
      <c r="TOD236" s="1077">
        <v>8298541</v>
      </c>
      <c r="TOE236" s="1077">
        <v>8298541</v>
      </c>
      <c r="TOF236" s="1077">
        <v>8298541</v>
      </c>
      <c r="TOG236" s="1077">
        <v>8298541</v>
      </c>
      <c r="TOH236" s="1077">
        <v>8298541</v>
      </c>
      <c r="TOI236" s="1077">
        <v>8298541</v>
      </c>
      <c r="TOJ236" s="1077">
        <v>8298541</v>
      </c>
      <c r="TOK236" s="1077">
        <v>8298541</v>
      </c>
      <c r="TOL236" s="1077">
        <v>8298541</v>
      </c>
      <c r="TOM236" s="1077">
        <v>8298541</v>
      </c>
      <c r="TON236" s="1077">
        <v>8298541</v>
      </c>
      <c r="TOO236" s="1077">
        <v>8298541</v>
      </c>
      <c r="TOP236" s="1077">
        <v>8298541</v>
      </c>
      <c r="TOQ236" s="1077">
        <v>8298541</v>
      </c>
      <c r="TOR236" s="1077">
        <v>8298541</v>
      </c>
      <c r="TOS236" s="1077">
        <v>8298541</v>
      </c>
      <c r="TOT236" s="1077">
        <v>8298541</v>
      </c>
      <c r="TOU236" s="1077">
        <v>8298541</v>
      </c>
      <c r="TOV236" s="1077">
        <v>8298541</v>
      </c>
      <c r="TOW236" s="1077">
        <v>8298541</v>
      </c>
      <c r="TOX236" s="1077">
        <v>8298541</v>
      </c>
      <c r="TOY236" s="1077">
        <v>8298541</v>
      </c>
      <c r="TOZ236" s="1077">
        <v>8298541</v>
      </c>
      <c r="TPA236" s="1077">
        <v>8298541</v>
      </c>
      <c r="TPB236" s="1077">
        <v>8298541</v>
      </c>
      <c r="TPC236" s="1077">
        <v>8298541</v>
      </c>
      <c r="TPD236" s="1077">
        <v>8298541</v>
      </c>
      <c r="TPE236" s="1077">
        <v>8298541</v>
      </c>
      <c r="TPF236" s="1077">
        <v>8298541</v>
      </c>
      <c r="TPG236" s="1077">
        <v>8298541</v>
      </c>
      <c r="TPH236" s="1077">
        <v>8298541</v>
      </c>
      <c r="TPI236" s="1077">
        <v>8298541</v>
      </c>
      <c r="TPJ236" s="1077">
        <v>8298541</v>
      </c>
      <c r="TPK236" s="1077">
        <v>8298541</v>
      </c>
      <c r="TPL236" s="1077">
        <v>8298541</v>
      </c>
      <c r="TPM236" s="1077">
        <v>8298541</v>
      </c>
      <c r="TPN236" s="1077">
        <v>8298541</v>
      </c>
      <c r="TPO236" s="1077">
        <v>8298541</v>
      </c>
      <c r="TPP236" s="1077">
        <v>8298541</v>
      </c>
      <c r="TPQ236" s="1077">
        <v>8298541</v>
      </c>
      <c r="TPR236" s="1077">
        <v>8298541</v>
      </c>
      <c r="TPS236" s="1077">
        <v>8298541</v>
      </c>
      <c r="TPT236" s="1077">
        <v>8298541</v>
      </c>
      <c r="TPU236" s="1077">
        <v>8298541</v>
      </c>
      <c r="TPV236" s="1077">
        <v>8298541</v>
      </c>
      <c r="TPW236" s="1077">
        <v>8298541</v>
      </c>
      <c r="TPX236" s="1077">
        <v>8298541</v>
      </c>
      <c r="TPY236" s="1077">
        <v>8298541</v>
      </c>
      <c r="TPZ236" s="1077">
        <v>8298541</v>
      </c>
      <c r="TQA236" s="1077">
        <v>8298541</v>
      </c>
      <c r="TQB236" s="1077">
        <v>8298541</v>
      </c>
      <c r="TQC236" s="1077">
        <v>8298541</v>
      </c>
      <c r="TQD236" s="1077">
        <v>8298541</v>
      </c>
      <c r="TQE236" s="1077">
        <v>8298541</v>
      </c>
      <c r="TQF236" s="1077">
        <v>8298541</v>
      </c>
      <c r="TQG236" s="1077">
        <v>8298541</v>
      </c>
      <c r="TQH236" s="1077">
        <v>8298541</v>
      </c>
      <c r="TQI236" s="1077">
        <v>8298541</v>
      </c>
      <c r="TQJ236" s="1077">
        <v>8298541</v>
      </c>
      <c r="TQK236" s="1077">
        <v>8298541</v>
      </c>
      <c r="TQL236" s="1077">
        <v>8298541</v>
      </c>
      <c r="TQM236" s="1077">
        <v>8298541</v>
      </c>
      <c r="TQN236" s="1077">
        <v>8298541</v>
      </c>
      <c r="TQO236" s="1077">
        <v>8298541</v>
      </c>
      <c r="TQP236" s="1077">
        <v>8298541</v>
      </c>
      <c r="TQQ236" s="1077">
        <v>8298541</v>
      </c>
      <c r="TQR236" s="1077">
        <v>8298541</v>
      </c>
      <c r="TQS236" s="1077">
        <v>8298541</v>
      </c>
      <c r="TQT236" s="1077">
        <v>8298541</v>
      </c>
      <c r="TQU236" s="1077">
        <v>8298541</v>
      </c>
      <c r="TQV236" s="1077">
        <v>8298541</v>
      </c>
      <c r="TQW236" s="1077">
        <v>8298541</v>
      </c>
      <c r="TQX236" s="1077">
        <v>8298541</v>
      </c>
      <c r="TQY236" s="1077">
        <v>8298541</v>
      </c>
      <c r="TQZ236" s="1077">
        <v>8298541</v>
      </c>
      <c r="TRA236" s="1077">
        <v>8298541</v>
      </c>
      <c r="TRB236" s="1077">
        <v>8298541</v>
      </c>
      <c r="TRC236" s="1077">
        <v>8298541</v>
      </c>
      <c r="TRD236" s="1077">
        <v>8298541</v>
      </c>
      <c r="TRE236" s="1077">
        <v>8298541</v>
      </c>
      <c r="TRF236" s="1077">
        <v>8298541</v>
      </c>
      <c r="TRG236" s="1077">
        <v>8298541</v>
      </c>
      <c r="TRH236" s="1077">
        <v>8298541</v>
      </c>
      <c r="TRI236" s="1077">
        <v>8298541</v>
      </c>
      <c r="TRJ236" s="1077">
        <v>8298541</v>
      </c>
      <c r="TRK236" s="1077">
        <v>8298541</v>
      </c>
      <c r="TRL236" s="1077">
        <v>8298541</v>
      </c>
      <c r="TRM236" s="1077">
        <v>8298541</v>
      </c>
      <c r="TRN236" s="1077">
        <v>8298541</v>
      </c>
      <c r="TRO236" s="1077">
        <v>8298541</v>
      </c>
      <c r="TRP236" s="1077">
        <v>8298541</v>
      </c>
      <c r="TRQ236" s="1077">
        <v>8298541</v>
      </c>
      <c r="TRR236" s="1077">
        <v>8298541</v>
      </c>
      <c r="TRS236" s="1077">
        <v>8298541</v>
      </c>
      <c r="TRT236" s="1077">
        <v>8298541</v>
      </c>
      <c r="TRU236" s="1077">
        <v>8298541</v>
      </c>
      <c r="TRV236" s="1077">
        <v>8298541</v>
      </c>
      <c r="TRW236" s="1077">
        <v>8298541</v>
      </c>
      <c r="TRX236" s="1077">
        <v>8298541</v>
      </c>
      <c r="TRY236" s="1077">
        <v>8298541</v>
      </c>
      <c r="TRZ236" s="1077">
        <v>8298541</v>
      </c>
      <c r="TSA236" s="1077">
        <v>8298541</v>
      </c>
      <c r="TSB236" s="1077">
        <v>8298541</v>
      </c>
      <c r="TSC236" s="1077">
        <v>8298541</v>
      </c>
      <c r="TSD236" s="1077">
        <v>8298541</v>
      </c>
      <c r="TSE236" s="1077">
        <v>8298541</v>
      </c>
      <c r="TSF236" s="1077">
        <v>8298541</v>
      </c>
      <c r="TSG236" s="1077">
        <v>8298541</v>
      </c>
      <c r="TSH236" s="1077">
        <v>8298541</v>
      </c>
      <c r="TSI236" s="1077">
        <v>8298541</v>
      </c>
      <c r="TSJ236" s="1077">
        <v>8298541</v>
      </c>
      <c r="TSK236" s="1077">
        <v>8298541</v>
      </c>
      <c r="TSL236" s="1077">
        <v>8298541</v>
      </c>
      <c r="TSM236" s="1077">
        <v>8298541</v>
      </c>
      <c r="TSN236" s="1077">
        <v>8298541</v>
      </c>
      <c r="TSO236" s="1077">
        <v>8298541</v>
      </c>
      <c r="TSP236" s="1077">
        <v>8298541</v>
      </c>
      <c r="TSQ236" s="1077">
        <v>8298541</v>
      </c>
      <c r="TSR236" s="1077">
        <v>8298541</v>
      </c>
      <c r="TSS236" s="1077">
        <v>8298541</v>
      </c>
      <c r="TST236" s="1077">
        <v>8298541</v>
      </c>
      <c r="TSU236" s="1077">
        <v>8298541</v>
      </c>
      <c r="TSV236" s="1077">
        <v>8298541</v>
      </c>
      <c r="TSW236" s="1077">
        <v>8298541</v>
      </c>
      <c r="TSX236" s="1077">
        <v>8298541</v>
      </c>
      <c r="TSY236" s="1077">
        <v>8298541</v>
      </c>
      <c r="TSZ236" s="1077">
        <v>8298541</v>
      </c>
      <c r="TTA236" s="1077">
        <v>8298541</v>
      </c>
      <c r="TTB236" s="1077">
        <v>8298541</v>
      </c>
      <c r="TTC236" s="1077">
        <v>8298541</v>
      </c>
      <c r="TTD236" s="1077">
        <v>8298541</v>
      </c>
      <c r="TTE236" s="1077">
        <v>8298541</v>
      </c>
      <c r="TTF236" s="1077">
        <v>8298541</v>
      </c>
      <c r="TTG236" s="1077">
        <v>8298541</v>
      </c>
      <c r="TTH236" s="1077">
        <v>8298541</v>
      </c>
      <c r="TTI236" s="1077">
        <v>8298541</v>
      </c>
      <c r="TTJ236" s="1077">
        <v>8298541</v>
      </c>
      <c r="TTK236" s="1077">
        <v>8298541</v>
      </c>
      <c r="TTL236" s="1077">
        <v>8298541</v>
      </c>
      <c r="TTM236" s="1077">
        <v>8298541</v>
      </c>
      <c r="TTN236" s="1077">
        <v>8298541</v>
      </c>
      <c r="TTO236" s="1077">
        <v>8298541</v>
      </c>
      <c r="TTP236" s="1077">
        <v>8298541</v>
      </c>
      <c r="TTQ236" s="1077">
        <v>8298541</v>
      </c>
      <c r="TTR236" s="1077">
        <v>8298541</v>
      </c>
      <c r="TTS236" s="1077">
        <v>8298541</v>
      </c>
      <c r="TTT236" s="1077">
        <v>8298541</v>
      </c>
      <c r="TTU236" s="1077">
        <v>8298541</v>
      </c>
      <c r="TTV236" s="1077">
        <v>8298541</v>
      </c>
      <c r="TTW236" s="1077">
        <v>8298541</v>
      </c>
      <c r="TTX236" s="1077">
        <v>8298541</v>
      </c>
      <c r="TTY236" s="1077">
        <v>8298541</v>
      </c>
      <c r="TTZ236" s="1077">
        <v>8298541</v>
      </c>
      <c r="TUA236" s="1077">
        <v>8298541</v>
      </c>
      <c r="TUB236" s="1077">
        <v>8298541</v>
      </c>
      <c r="TUC236" s="1077">
        <v>8298541</v>
      </c>
      <c r="TUD236" s="1077">
        <v>8298541</v>
      </c>
      <c r="TUE236" s="1077">
        <v>8298541</v>
      </c>
      <c r="TUF236" s="1077">
        <v>8298541</v>
      </c>
      <c r="TUG236" s="1077">
        <v>8298541</v>
      </c>
      <c r="TUH236" s="1077">
        <v>8298541</v>
      </c>
      <c r="TUI236" s="1077">
        <v>8298541</v>
      </c>
      <c r="TUJ236" s="1077">
        <v>8298541</v>
      </c>
      <c r="TUK236" s="1077">
        <v>8298541</v>
      </c>
      <c r="TUL236" s="1077">
        <v>8298541</v>
      </c>
      <c r="TUM236" s="1077">
        <v>8298541</v>
      </c>
      <c r="TUN236" s="1077">
        <v>8298541</v>
      </c>
      <c r="TUO236" s="1077">
        <v>8298541</v>
      </c>
      <c r="TUP236" s="1077">
        <v>8298541</v>
      </c>
      <c r="TUQ236" s="1077">
        <v>8298541</v>
      </c>
      <c r="TUR236" s="1077">
        <v>8298541</v>
      </c>
      <c r="TUS236" s="1077">
        <v>8298541</v>
      </c>
      <c r="TUT236" s="1077">
        <v>8298541</v>
      </c>
      <c r="TUU236" s="1077">
        <v>8298541</v>
      </c>
      <c r="TUV236" s="1077">
        <v>8298541</v>
      </c>
      <c r="TUW236" s="1077">
        <v>8298541</v>
      </c>
      <c r="TUX236" s="1077">
        <v>8298541</v>
      </c>
      <c r="TUY236" s="1077">
        <v>8298541</v>
      </c>
      <c r="TUZ236" s="1077">
        <v>8298541</v>
      </c>
      <c r="TVA236" s="1077">
        <v>8298541</v>
      </c>
      <c r="TVB236" s="1077">
        <v>8298541</v>
      </c>
      <c r="TVC236" s="1077">
        <v>8298541</v>
      </c>
      <c r="TVD236" s="1077">
        <v>8298541</v>
      </c>
      <c r="TVE236" s="1077">
        <v>8298541</v>
      </c>
      <c r="TVF236" s="1077">
        <v>8298541</v>
      </c>
      <c r="TVG236" s="1077">
        <v>8298541</v>
      </c>
      <c r="TVH236" s="1077">
        <v>8298541</v>
      </c>
      <c r="TVI236" s="1077">
        <v>8298541</v>
      </c>
      <c r="TVJ236" s="1077">
        <v>8298541</v>
      </c>
      <c r="TVK236" s="1077">
        <v>8298541</v>
      </c>
      <c r="TVL236" s="1077">
        <v>8298541</v>
      </c>
      <c r="TVM236" s="1077">
        <v>8298541</v>
      </c>
      <c r="TVN236" s="1077">
        <v>8298541</v>
      </c>
      <c r="TVO236" s="1077">
        <v>8298541</v>
      </c>
      <c r="TVP236" s="1077">
        <v>8298541</v>
      </c>
      <c r="TVQ236" s="1077">
        <v>8298541</v>
      </c>
      <c r="TVR236" s="1077">
        <v>8298541</v>
      </c>
      <c r="TVS236" s="1077">
        <v>8298541</v>
      </c>
      <c r="TVT236" s="1077">
        <v>8298541</v>
      </c>
      <c r="TVU236" s="1077">
        <v>8298541</v>
      </c>
      <c r="TVV236" s="1077">
        <v>8298541</v>
      </c>
      <c r="TVW236" s="1077">
        <v>8298541</v>
      </c>
      <c r="TVX236" s="1077">
        <v>8298541</v>
      </c>
      <c r="TVY236" s="1077">
        <v>8298541</v>
      </c>
      <c r="TVZ236" s="1077">
        <v>8298541</v>
      </c>
      <c r="TWA236" s="1077">
        <v>8298541</v>
      </c>
      <c r="TWB236" s="1077">
        <v>8298541</v>
      </c>
      <c r="TWC236" s="1077">
        <v>8298541</v>
      </c>
      <c r="TWD236" s="1077">
        <v>8298541</v>
      </c>
      <c r="TWE236" s="1077">
        <v>8298541</v>
      </c>
      <c r="TWF236" s="1077">
        <v>8298541</v>
      </c>
      <c r="TWG236" s="1077">
        <v>8298541</v>
      </c>
      <c r="TWH236" s="1077">
        <v>8298541</v>
      </c>
      <c r="TWI236" s="1077">
        <v>8298541</v>
      </c>
      <c r="TWJ236" s="1077">
        <v>8298541</v>
      </c>
      <c r="TWK236" s="1077">
        <v>8298541</v>
      </c>
      <c r="TWL236" s="1077">
        <v>8298541</v>
      </c>
      <c r="TWM236" s="1077">
        <v>8298541</v>
      </c>
      <c r="TWN236" s="1077">
        <v>8298541</v>
      </c>
      <c r="TWO236" s="1077">
        <v>8298541</v>
      </c>
      <c r="TWP236" s="1077">
        <v>8298541</v>
      </c>
      <c r="TWQ236" s="1077">
        <v>8298541</v>
      </c>
      <c r="TWR236" s="1077">
        <v>8298541</v>
      </c>
      <c r="TWS236" s="1077">
        <v>8298541</v>
      </c>
      <c r="TWT236" s="1077">
        <v>8298541</v>
      </c>
      <c r="TWU236" s="1077">
        <v>8298541</v>
      </c>
      <c r="TWV236" s="1077">
        <v>8298541</v>
      </c>
      <c r="TWW236" s="1077">
        <v>8298541</v>
      </c>
      <c r="TWX236" s="1077">
        <v>8298541</v>
      </c>
      <c r="TWY236" s="1077">
        <v>8298541</v>
      </c>
      <c r="TWZ236" s="1077">
        <v>8298541</v>
      </c>
      <c r="TXA236" s="1077">
        <v>8298541</v>
      </c>
      <c r="TXB236" s="1077">
        <v>8298541</v>
      </c>
      <c r="TXC236" s="1077">
        <v>8298541</v>
      </c>
      <c r="TXD236" s="1077">
        <v>8298541</v>
      </c>
      <c r="TXE236" s="1077">
        <v>8298541</v>
      </c>
      <c r="TXF236" s="1077">
        <v>8298541</v>
      </c>
      <c r="TXG236" s="1077">
        <v>8298541</v>
      </c>
      <c r="TXH236" s="1077">
        <v>8298541</v>
      </c>
      <c r="TXI236" s="1077">
        <v>8298541</v>
      </c>
      <c r="TXJ236" s="1077">
        <v>8298541</v>
      </c>
      <c r="TXK236" s="1077">
        <v>8298541</v>
      </c>
      <c r="TXL236" s="1077">
        <v>8298541</v>
      </c>
      <c r="TXM236" s="1077">
        <v>8298541</v>
      </c>
      <c r="TXN236" s="1077">
        <v>8298541</v>
      </c>
      <c r="TXO236" s="1077">
        <v>8298541</v>
      </c>
      <c r="TXP236" s="1077">
        <v>8298541</v>
      </c>
      <c r="TXQ236" s="1077">
        <v>8298541</v>
      </c>
      <c r="TXR236" s="1077">
        <v>8298541</v>
      </c>
      <c r="TXS236" s="1077">
        <v>8298541</v>
      </c>
      <c r="TXT236" s="1077">
        <v>8298541</v>
      </c>
      <c r="TXU236" s="1077">
        <v>8298541</v>
      </c>
      <c r="TXV236" s="1077">
        <v>8298541</v>
      </c>
      <c r="TXW236" s="1077">
        <v>8298541</v>
      </c>
      <c r="TXX236" s="1077">
        <v>8298541</v>
      </c>
      <c r="TXY236" s="1077">
        <v>8298541</v>
      </c>
      <c r="TXZ236" s="1077">
        <v>8298541</v>
      </c>
      <c r="TYA236" s="1077">
        <v>8298541</v>
      </c>
      <c r="TYB236" s="1077">
        <v>8298541</v>
      </c>
      <c r="TYC236" s="1077">
        <v>8298541</v>
      </c>
      <c r="TYD236" s="1077">
        <v>8298541</v>
      </c>
      <c r="TYE236" s="1077">
        <v>8298541</v>
      </c>
      <c r="TYF236" s="1077">
        <v>8298541</v>
      </c>
      <c r="TYG236" s="1077">
        <v>8298541</v>
      </c>
      <c r="TYH236" s="1077">
        <v>8298541</v>
      </c>
      <c r="TYI236" s="1077">
        <v>8298541</v>
      </c>
      <c r="TYJ236" s="1077">
        <v>8298541</v>
      </c>
      <c r="TYK236" s="1077">
        <v>8298541</v>
      </c>
      <c r="TYL236" s="1077">
        <v>8298541</v>
      </c>
      <c r="TYM236" s="1077">
        <v>8298541</v>
      </c>
      <c r="TYN236" s="1077">
        <v>8298541</v>
      </c>
      <c r="TYO236" s="1077">
        <v>8298541</v>
      </c>
      <c r="TYP236" s="1077">
        <v>8298541</v>
      </c>
      <c r="TYQ236" s="1077">
        <v>8298541</v>
      </c>
      <c r="TYR236" s="1077">
        <v>8298541</v>
      </c>
      <c r="TYS236" s="1077">
        <v>8298541</v>
      </c>
      <c r="TYT236" s="1077">
        <v>8298541</v>
      </c>
      <c r="TYU236" s="1077">
        <v>8298541</v>
      </c>
      <c r="TYV236" s="1077">
        <v>8298541</v>
      </c>
      <c r="TYW236" s="1077">
        <v>8298541</v>
      </c>
      <c r="TYX236" s="1077">
        <v>8298541</v>
      </c>
      <c r="TYY236" s="1077">
        <v>8298541</v>
      </c>
      <c r="TYZ236" s="1077">
        <v>8298541</v>
      </c>
      <c r="TZA236" s="1077">
        <v>8298541</v>
      </c>
      <c r="TZB236" s="1077">
        <v>8298541</v>
      </c>
      <c r="TZC236" s="1077">
        <v>8298541</v>
      </c>
      <c r="TZD236" s="1077">
        <v>8298541</v>
      </c>
      <c r="TZE236" s="1077">
        <v>8298541</v>
      </c>
      <c r="TZF236" s="1077">
        <v>8298541</v>
      </c>
      <c r="TZG236" s="1077">
        <v>8298541</v>
      </c>
      <c r="TZH236" s="1077">
        <v>8298541</v>
      </c>
      <c r="TZI236" s="1077">
        <v>8298541</v>
      </c>
      <c r="TZJ236" s="1077">
        <v>8298541</v>
      </c>
      <c r="TZK236" s="1077">
        <v>8298541</v>
      </c>
      <c r="TZL236" s="1077">
        <v>8298541</v>
      </c>
      <c r="TZM236" s="1077">
        <v>8298541</v>
      </c>
      <c r="TZN236" s="1077">
        <v>8298541</v>
      </c>
      <c r="TZO236" s="1077">
        <v>8298541</v>
      </c>
      <c r="TZP236" s="1077">
        <v>8298541</v>
      </c>
      <c r="TZQ236" s="1077">
        <v>8298541</v>
      </c>
      <c r="TZR236" s="1077">
        <v>8298541</v>
      </c>
      <c r="TZS236" s="1077">
        <v>8298541</v>
      </c>
      <c r="TZT236" s="1077">
        <v>8298541</v>
      </c>
      <c r="TZU236" s="1077">
        <v>8298541</v>
      </c>
      <c r="TZV236" s="1077">
        <v>8298541</v>
      </c>
      <c r="TZW236" s="1077">
        <v>8298541</v>
      </c>
      <c r="TZX236" s="1077">
        <v>8298541</v>
      </c>
      <c r="TZY236" s="1077">
        <v>8298541</v>
      </c>
      <c r="TZZ236" s="1077">
        <v>8298541</v>
      </c>
      <c r="UAA236" s="1077">
        <v>8298541</v>
      </c>
      <c r="UAB236" s="1077">
        <v>8298541</v>
      </c>
      <c r="UAC236" s="1077">
        <v>8298541</v>
      </c>
      <c r="UAD236" s="1077">
        <v>8298541</v>
      </c>
      <c r="UAE236" s="1077">
        <v>8298541</v>
      </c>
      <c r="UAF236" s="1077">
        <v>8298541</v>
      </c>
      <c r="UAG236" s="1077">
        <v>8298541</v>
      </c>
      <c r="UAH236" s="1077">
        <v>8298541</v>
      </c>
      <c r="UAI236" s="1077">
        <v>8298541</v>
      </c>
      <c r="UAJ236" s="1077">
        <v>8298541</v>
      </c>
      <c r="UAK236" s="1077">
        <v>8298541</v>
      </c>
      <c r="UAL236" s="1077">
        <v>8298541</v>
      </c>
      <c r="UAM236" s="1077">
        <v>8298541</v>
      </c>
      <c r="UAN236" s="1077">
        <v>8298541</v>
      </c>
      <c r="UAO236" s="1077">
        <v>8298541</v>
      </c>
      <c r="UAP236" s="1077">
        <v>8298541</v>
      </c>
      <c r="UAQ236" s="1077">
        <v>8298541</v>
      </c>
      <c r="UAR236" s="1077">
        <v>8298541</v>
      </c>
      <c r="UAS236" s="1077">
        <v>8298541</v>
      </c>
      <c r="UAT236" s="1077">
        <v>8298541</v>
      </c>
      <c r="UAU236" s="1077">
        <v>8298541</v>
      </c>
      <c r="UAV236" s="1077">
        <v>8298541</v>
      </c>
      <c r="UAW236" s="1077">
        <v>8298541</v>
      </c>
      <c r="UAX236" s="1077">
        <v>8298541</v>
      </c>
      <c r="UAY236" s="1077">
        <v>8298541</v>
      </c>
      <c r="UAZ236" s="1077">
        <v>8298541</v>
      </c>
      <c r="UBA236" s="1077">
        <v>8298541</v>
      </c>
      <c r="UBB236" s="1077">
        <v>8298541</v>
      </c>
      <c r="UBC236" s="1077">
        <v>8298541</v>
      </c>
      <c r="UBD236" s="1077">
        <v>8298541</v>
      </c>
      <c r="UBE236" s="1077">
        <v>8298541</v>
      </c>
      <c r="UBF236" s="1077">
        <v>8298541</v>
      </c>
      <c r="UBG236" s="1077">
        <v>8298541</v>
      </c>
      <c r="UBH236" s="1077">
        <v>8298541</v>
      </c>
      <c r="UBI236" s="1077">
        <v>8298541</v>
      </c>
      <c r="UBJ236" s="1077">
        <v>8298541</v>
      </c>
      <c r="UBK236" s="1077">
        <v>8298541</v>
      </c>
      <c r="UBL236" s="1077">
        <v>8298541</v>
      </c>
      <c r="UBM236" s="1077">
        <v>8298541</v>
      </c>
      <c r="UBN236" s="1077">
        <v>8298541</v>
      </c>
      <c r="UBO236" s="1077">
        <v>8298541</v>
      </c>
      <c r="UBP236" s="1077">
        <v>8298541</v>
      </c>
      <c r="UBQ236" s="1077">
        <v>8298541</v>
      </c>
      <c r="UBR236" s="1077">
        <v>8298541</v>
      </c>
      <c r="UBS236" s="1077">
        <v>8298541</v>
      </c>
      <c r="UBT236" s="1077">
        <v>8298541</v>
      </c>
      <c r="UBU236" s="1077">
        <v>8298541</v>
      </c>
      <c r="UBV236" s="1077">
        <v>8298541</v>
      </c>
      <c r="UBW236" s="1077">
        <v>8298541</v>
      </c>
      <c r="UBX236" s="1077">
        <v>8298541</v>
      </c>
      <c r="UBY236" s="1077">
        <v>8298541</v>
      </c>
      <c r="UBZ236" s="1077">
        <v>8298541</v>
      </c>
      <c r="UCA236" s="1077">
        <v>8298541</v>
      </c>
      <c r="UCB236" s="1077">
        <v>8298541</v>
      </c>
      <c r="UCC236" s="1077">
        <v>8298541</v>
      </c>
      <c r="UCD236" s="1077">
        <v>8298541</v>
      </c>
      <c r="UCE236" s="1077">
        <v>8298541</v>
      </c>
      <c r="UCF236" s="1077">
        <v>8298541</v>
      </c>
      <c r="UCG236" s="1077">
        <v>8298541</v>
      </c>
      <c r="UCH236" s="1077">
        <v>8298541</v>
      </c>
      <c r="UCI236" s="1077">
        <v>8298541</v>
      </c>
      <c r="UCJ236" s="1077">
        <v>8298541</v>
      </c>
      <c r="UCK236" s="1077">
        <v>8298541</v>
      </c>
      <c r="UCL236" s="1077">
        <v>8298541</v>
      </c>
      <c r="UCM236" s="1077">
        <v>8298541</v>
      </c>
      <c r="UCN236" s="1077">
        <v>8298541</v>
      </c>
      <c r="UCO236" s="1077">
        <v>8298541</v>
      </c>
      <c r="UCP236" s="1077">
        <v>8298541</v>
      </c>
      <c r="UCQ236" s="1077">
        <v>8298541</v>
      </c>
      <c r="UCR236" s="1077">
        <v>8298541</v>
      </c>
      <c r="UCS236" s="1077">
        <v>8298541</v>
      </c>
      <c r="UCT236" s="1077">
        <v>8298541</v>
      </c>
      <c r="UCU236" s="1077">
        <v>8298541</v>
      </c>
      <c r="UCV236" s="1077">
        <v>8298541</v>
      </c>
      <c r="UCW236" s="1077">
        <v>8298541</v>
      </c>
      <c r="UCX236" s="1077">
        <v>8298541</v>
      </c>
      <c r="UCY236" s="1077">
        <v>8298541</v>
      </c>
      <c r="UCZ236" s="1077">
        <v>8298541</v>
      </c>
      <c r="UDA236" s="1077">
        <v>8298541</v>
      </c>
      <c r="UDB236" s="1077">
        <v>8298541</v>
      </c>
      <c r="UDC236" s="1077">
        <v>8298541</v>
      </c>
      <c r="UDD236" s="1077">
        <v>8298541</v>
      </c>
      <c r="UDE236" s="1077">
        <v>8298541</v>
      </c>
      <c r="UDF236" s="1077">
        <v>8298541</v>
      </c>
      <c r="UDG236" s="1077">
        <v>8298541</v>
      </c>
      <c r="UDH236" s="1077">
        <v>8298541</v>
      </c>
      <c r="UDI236" s="1077">
        <v>8298541</v>
      </c>
      <c r="UDJ236" s="1077">
        <v>8298541</v>
      </c>
      <c r="UDK236" s="1077">
        <v>8298541</v>
      </c>
      <c r="UDL236" s="1077">
        <v>8298541</v>
      </c>
      <c r="UDM236" s="1077">
        <v>8298541</v>
      </c>
      <c r="UDN236" s="1077">
        <v>8298541</v>
      </c>
      <c r="UDO236" s="1077">
        <v>8298541</v>
      </c>
      <c r="UDP236" s="1077">
        <v>8298541</v>
      </c>
      <c r="UDQ236" s="1077">
        <v>8298541</v>
      </c>
      <c r="UDR236" s="1077">
        <v>8298541</v>
      </c>
      <c r="UDS236" s="1077">
        <v>8298541</v>
      </c>
      <c r="UDT236" s="1077">
        <v>8298541</v>
      </c>
      <c r="UDU236" s="1077">
        <v>8298541</v>
      </c>
      <c r="UDV236" s="1077">
        <v>8298541</v>
      </c>
      <c r="UDW236" s="1077">
        <v>8298541</v>
      </c>
      <c r="UDX236" s="1077">
        <v>8298541</v>
      </c>
      <c r="UDY236" s="1077">
        <v>8298541</v>
      </c>
      <c r="UDZ236" s="1077">
        <v>8298541</v>
      </c>
      <c r="UEA236" s="1077">
        <v>8298541</v>
      </c>
      <c r="UEB236" s="1077">
        <v>8298541</v>
      </c>
      <c r="UEC236" s="1077">
        <v>8298541</v>
      </c>
      <c r="UED236" s="1077">
        <v>8298541</v>
      </c>
      <c r="UEE236" s="1077">
        <v>8298541</v>
      </c>
      <c r="UEF236" s="1077">
        <v>8298541</v>
      </c>
      <c r="UEG236" s="1077">
        <v>8298541</v>
      </c>
      <c r="UEH236" s="1077">
        <v>8298541</v>
      </c>
      <c r="UEI236" s="1077">
        <v>8298541</v>
      </c>
      <c r="UEJ236" s="1077">
        <v>8298541</v>
      </c>
      <c r="UEK236" s="1077">
        <v>8298541</v>
      </c>
      <c r="UEL236" s="1077">
        <v>8298541</v>
      </c>
      <c r="UEM236" s="1077">
        <v>8298541</v>
      </c>
      <c r="UEN236" s="1077">
        <v>8298541</v>
      </c>
      <c r="UEO236" s="1077">
        <v>8298541</v>
      </c>
      <c r="UEP236" s="1077">
        <v>8298541</v>
      </c>
      <c r="UEQ236" s="1077">
        <v>8298541</v>
      </c>
      <c r="UER236" s="1077">
        <v>8298541</v>
      </c>
      <c r="UES236" s="1077">
        <v>8298541</v>
      </c>
      <c r="UET236" s="1077">
        <v>8298541</v>
      </c>
      <c r="UEU236" s="1077">
        <v>8298541</v>
      </c>
      <c r="UEV236" s="1077">
        <v>8298541</v>
      </c>
      <c r="UEW236" s="1077">
        <v>8298541</v>
      </c>
      <c r="UEX236" s="1077">
        <v>8298541</v>
      </c>
      <c r="UEY236" s="1077">
        <v>8298541</v>
      </c>
      <c r="UEZ236" s="1077">
        <v>8298541</v>
      </c>
      <c r="UFA236" s="1077">
        <v>8298541</v>
      </c>
      <c r="UFB236" s="1077">
        <v>8298541</v>
      </c>
      <c r="UFC236" s="1077">
        <v>8298541</v>
      </c>
      <c r="UFD236" s="1077">
        <v>8298541</v>
      </c>
      <c r="UFE236" s="1077">
        <v>8298541</v>
      </c>
      <c r="UFF236" s="1077">
        <v>8298541</v>
      </c>
      <c r="UFG236" s="1077">
        <v>8298541</v>
      </c>
      <c r="UFH236" s="1077">
        <v>8298541</v>
      </c>
      <c r="UFI236" s="1077">
        <v>8298541</v>
      </c>
      <c r="UFJ236" s="1077">
        <v>8298541</v>
      </c>
      <c r="UFK236" s="1077">
        <v>8298541</v>
      </c>
      <c r="UFL236" s="1077">
        <v>8298541</v>
      </c>
      <c r="UFM236" s="1077">
        <v>8298541</v>
      </c>
      <c r="UFN236" s="1077">
        <v>8298541</v>
      </c>
      <c r="UFO236" s="1077">
        <v>8298541</v>
      </c>
      <c r="UFP236" s="1077">
        <v>8298541</v>
      </c>
      <c r="UFQ236" s="1077">
        <v>8298541</v>
      </c>
      <c r="UFR236" s="1077">
        <v>8298541</v>
      </c>
      <c r="UFS236" s="1077">
        <v>8298541</v>
      </c>
      <c r="UFT236" s="1077">
        <v>8298541</v>
      </c>
      <c r="UFU236" s="1077">
        <v>8298541</v>
      </c>
      <c r="UFV236" s="1077">
        <v>8298541</v>
      </c>
      <c r="UFW236" s="1077">
        <v>8298541</v>
      </c>
      <c r="UFX236" s="1077">
        <v>8298541</v>
      </c>
      <c r="UFY236" s="1077">
        <v>8298541</v>
      </c>
      <c r="UFZ236" s="1077">
        <v>8298541</v>
      </c>
      <c r="UGA236" s="1077">
        <v>8298541</v>
      </c>
      <c r="UGB236" s="1077">
        <v>8298541</v>
      </c>
      <c r="UGC236" s="1077">
        <v>8298541</v>
      </c>
      <c r="UGD236" s="1077">
        <v>8298541</v>
      </c>
      <c r="UGE236" s="1077">
        <v>8298541</v>
      </c>
      <c r="UGF236" s="1077">
        <v>8298541</v>
      </c>
      <c r="UGG236" s="1077">
        <v>8298541</v>
      </c>
      <c r="UGH236" s="1077">
        <v>8298541</v>
      </c>
      <c r="UGI236" s="1077">
        <v>8298541</v>
      </c>
      <c r="UGJ236" s="1077">
        <v>8298541</v>
      </c>
      <c r="UGK236" s="1077">
        <v>8298541</v>
      </c>
      <c r="UGL236" s="1077">
        <v>8298541</v>
      </c>
      <c r="UGM236" s="1077">
        <v>8298541</v>
      </c>
      <c r="UGN236" s="1077">
        <v>8298541</v>
      </c>
      <c r="UGO236" s="1077">
        <v>8298541</v>
      </c>
      <c r="UGP236" s="1077">
        <v>8298541</v>
      </c>
      <c r="UGQ236" s="1077">
        <v>8298541</v>
      </c>
      <c r="UGR236" s="1077">
        <v>8298541</v>
      </c>
      <c r="UGS236" s="1077">
        <v>8298541</v>
      </c>
      <c r="UGT236" s="1077">
        <v>8298541</v>
      </c>
      <c r="UGU236" s="1077">
        <v>8298541</v>
      </c>
      <c r="UGV236" s="1077">
        <v>8298541</v>
      </c>
      <c r="UGW236" s="1077">
        <v>8298541</v>
      </c>
      <c r="UGX236" s="1077">
        <v>8298541</v>
      </c>
      <c r="UGY236" s="1077">
        <v>8298541</v>
      </c>
      <c r="UGZ236" s="1077">
        <v>8298541</v>
      </c>
      <c r="UHA236" s="1077">
        <v>8298541</v>
      </c>
      <c r="UHB236" s="1077">
        <v>8298541</v>
      </c>
      <c r="UHC236" s="1077">
        <v>8298541</v>
      </c>
      <c r="UHD236" s="1077">
        <v>8298541</v>
      </c>
      <c r="UHE236" s="1077">
        <v>8298541</v>
      </c>
      <c r="UHF236" s="1077">
        <v>8298541</v>
      </c>
      <c r="UHG236" s="1077">
        <v>8298541</v>
      </c>
      <c r="UHH236" s="1077">
        <v>8298541</v>
      </c>
      <c r="UHI236" s="1077">
        <v>8298541</v>
      </c>
      <c r="UHJ236" s="1077">
        <v>8298541</v>
      </c>
      <c r="UHK236" s="1077">
        <v>8298541</v>
      </c>
      <c r="UHL236" s="1077">
        <v>8298541</v>
      </c>
      <c r="UHM236" s="1077">
        <v>8298541</v>
      </c>
      <c r="UHN236" s="1077">
        <v>8298541</v>
      </c>
      <c r="UHO236" s="1077">
        <v>8298541</v>
      </c>
      <c r="UHP236" s="1077">
        <v>8298541</v>
      </c>
      <c r="UHQ236" s="1077">
        <v>8298541</v>
      </c>
      <c r="UHR236" s="1077">
        <v>8298541</v>
      </c>
      <c r="UHS236" s="1077">
        <v>8298541</v>
      </c>
      <c r="UHT236" s="1077">
        <v>8298541</v>
      </c>
      <c r="UHU236" s="1077">
        <v>8298541</v>
      </c>
      <c r="UHV236" s="1077">
        <v>8298541</v>
      </c>
      <c r="UHW236" s="1077">
        <v>8298541</v>
      </c>
      <c r="UHX236" s="1077">
        <v>8298541</v>
      </c>
      <c r="UHY236" s="1077">
        <v>8298541</v>
      </c>
      <c r="UHZ236" s="1077">
        <v>8298541</v>
      </c>
      <c r="UIA236" s="1077">
        <v>8298541</v>
      </c>
      <c r="UIB236" s="1077">
        <v>8298541</v>
      </c>
      <c r="UIC236" s="1077">
        <v>8298541</v>
      </c>
      <c r="UID236" s="1077">
        <v>8298541</v>
      </c>
      <c r="UIE236" s="1077">
        <v>8298541</v>
      </c>
      <c r="UIF236" s="1077">
        <v>8298541</v>
      </c>
      <c r="UIG236" s="1077">
        <v>8298541</v>
      </c>
      <c r="UIH236" s="1077">
        <v>8298541</v>
      </c>
      <c r="UII236" s="1077">
        <v>8298541</v>
      </c>
      <c r="UIJ236" s="1077">
        <v>8298541</v>
      </c>
      <c r="UIK236" s="1077">
        <v>8298541</v>
      </c>
      <c r="UIL236" s="1077">
        <v>8298541</v>
      </c>
      <c r="UIM236" s="1077">
        <v>8298541</v>
      </c>
      <c r="UIN236" s="1077">
        <v>8298541</v>
      </c>
      <c r="UIO236" s="1077">
        <v>8298541</v>
      </c>
      <c r="UIP236" s="1077">
        <v>8298541</v>
      </c>
      <c r="UIQ236" s="1077">
        <v>8298541</v>
      </c>
      <c r="UIR236" s="1077">
        <v>8298541</v>
      </c>
      <c r="UIS236" s="1077">
        <v>8298541</v>
      </c>
      <c r="UIT236" s="1077">
        <v>8298541</v>
      </c>
      <c r="UIU236" s="1077">
        <v>8298541</v>
      </c>
      <c r="UIV236" s="1077">
        <v>8298541</v>
      </c>
      <c r="UIW236" s="1077">
        <v>8298541</v>
      </c>
      <c r="UIX236" s="1077">
        <v>8298541</v>
      </c>
      <c r="UIY236" s="1077">
        <v>8298541</v>
      </c>
      <c r="UIZ236" s="1077">
        <v>8298541</v>
      </c>
      <c r="UJA236" s="1077">
        <v>8298541</v>
      </c>
      <c r="UJB236" s="1077">
        <v>8298541</v>
      </c>
      <c r="UJC236" s="1077">
        <v>8298541</v>
      </c>
      <c r="UJD236" s="1077">
        <v>8298541</v>
      </c>
      <c r="UJE236" s="1077">
        <v>8298541</v>
      </c>
      <c r="UJF236" s="1077">
        <v>8298541</v>
      </c>
      <c r="UJG236" s="1077">
        <v>8298541</v>
      </c>
      <c r="UJH236" s="1077">
        <v>8298541</v>
      </c>
      <c r="UJI236" s="1077">
        <v>8298541</v>
      </c>
      <c r="UJJ236" s="1077">
        <v>8298541</v>
      </c>
      <c r="UJK236" s="1077">
        <v>8298541</v>
      </c>
      <c r="UJL236" s="1077">
        <v>8298541</v>
      </c>
      <c r="UJM236" s="1077">
        <v>8298541</v>
      </c>
      <c r="UJN236" s="1077">
        <v>8298541</v>
      </c>
      <c r="UJO236" s="1077">
        <v>8298541</v>
      </c>
      <c r="UJP236" s="1077">
        <v>8298541</v>
      </c>
      <c r="UJQ236" s="1077">
        <v>8298541</v>
      </c>
      <c r="UJR236" s="1077">
        <v>8298541</v>
      </c>
      <c r="UJS236" s="1077">
        <v>8298541</v>
      </c>
      <c r="UJT236" s="1077">
        <v>8298541</v>
      </c>
      <c r="UJU236" s="1077">
        <v>8298541</v>
      </c>
      <c r="UJV236" s="1077">
        <v>8298541</v>
      </c>
      <c r="UJW236" s="1077">
        <v>8298541</v>
      </c>
      <c r="UJX236" s="1077">
        <v>8298541</v>
      </c>
      <c r="UJY236" s="1077">
        <v>8298541</v>
      </c>
      <c r="UJZ236" s="1077">
        <v>8298541</v>
      </c>
      <c r="UKA236" s="1077">
        <v>8298541</v>
      </c>
      <c r="UKB236" s="1077">
        <v>8298541</v>
      </c>
      <c r="UKC236" s="1077">
        <v>8298541</v>
      </c>
      <c r="UKD236" s="1077">
        <v>8298541</v>
      </c>
      <c r="UKE236" s="1077">
        <v>8298541</v>
      </c>
      <c r="UKF236" s="1077">
        <v>8298541</v>
      </c>
      <c r="UKG236" s="1077">
        <v>8298541</v>
      </c>
      <c r="UKH236" s="1077">
        <v>8298541</v>
      </c>
      <c r="UKI236" s="1077">
        <v>8298541</v>
      </c>
      <c r="UKJ236" s="1077">
        <v>8298541</v>
      </c>
      <c r="UKK236" s="1077">
        <v>8298541</v>
      </c>
      <c r="UKL236" s="1077">
        <v>8298541</v>
      </c>
      <c r="UKM236" s="1077">
        <v>8298541</v>
      </c>
      <c r="UKN236" s="1077">
        <v>8298541</v>
      </c>
      <c r="UKO236" s="1077">
        <v>8298541</v>
      </c>
      <c r="UKP236" s="1077">
        <v>8298541</v>
      </c>
      <c r="UKQ236" s="1077">
        <v>8298541</v>
      </c>
      <c r="UKR236" s="1077">
        <v>8298541</v>
      </c>
      <c r="UKS236" s="1077">
        <v>8298541</v>
      </c>
      <c r="UKT236" s="1077">
        <v>8298541</v>
      </c>
      <c r="UKU236" s="1077">
        <v>8298541</v>
      </c>
      <c r="UKV236" s="1077">
        <v>8298541</v>
      </c>
      <c r="UKW236" s="1077">
        <v>8298541</v>
      </c>
      <c r="UKX236" s="1077">
        <v>8298541</v>
      </c>
      <c r="UKY236" s="1077">
        <v>8298541</v>
      </c>
      <c r="UKZ236" s="1077">
        <v>8298541</v>
      </c>
      <c r="ULA236" s="1077">
        <v>8298541</v>
      </c>
      <c r="ULB236" s="1077">
        <v>8298541</v>
      </c>
      <c r="ULC236" s="1077">
        <v>8298541</v>
      </c>
      <c r="ULD236" s="1077">
        <v>8298541</v>
      </c>
      <c r="ULE236" s="1077">
        <v>8298541</v>
      </c>
      <c r="ULF236" s="1077">
        <v>8298541</v>
      </c>
      <c r="ULG236" s="1077">
        <v>8298541</v>
      </c>
      <c r="ULH236" s="1077">
        <v>8298541</v>
      </c>
      <c r="ULI236" s="1077">
        <v>8298541</v>
      </c>
      <c r="ULJ236" s="1077">
        <v>8298541</v>
      </c>
      <c r="ULK236" s="1077">
        <v>8298541</v>
      </c>
      <c r="ULL236" s="1077">
        <v>8298541</v>
      </c>
      <c r="ULM236" s="1077">
        <v>8298541</v>
      </c>
      <c r="ULN236" s="1077">
        <v>8298541</v>
      </c>
      <c r="ULO236" s="1077">
        <v>8298541</v>
      </c>
      <c r="ULP236" s="1077">
        <v>8298541</v>
      </c>
      <c r="ULQ236" s="1077">
        <v>8298541</v>
      </c>
      <c r="ULR236" s="1077">
        <v>8298541</v>
      </c>
      <c r="ULS236" s="1077">
        <v>8298541</v>
      </c>
      <c r="ULT236" s="1077">
        <v>8298541</v>
      </c>
      <c r="ULU236" s="1077">
        <v>8298541</v>
      </c>
      <c r="ULV236" s="1077">
        <v>8298541</v>
      </c>
      <c r="ULW236" s="1077">
        <v>8298541</v>
      </c>
      <c r="ULX236" s="1077">
        <v>8298541</v>
      </c>
      <c r="ULY236" s="1077">
        <v>8298541</v>
      </c>
      <c r="ULZ236" s="1077">
        <v>8298541</v>
      </c>
      <c r="UMA236" s="1077">
        <v>8298541</v>
      </c>
      <c r="UMB236" s="1077">
        <v>8298541</v>
      </c>
      <c r="UMC236" s="1077">
        <v>8298541</v>
      </c>
      <c r="UMD236" s="1077">
        <v>8298541</v>
      </c>
      <c r="UME236" s="1077">
        <v>8298541</v>
      </c>
      <c r="UMF236" s="1077">
        <v>8298541</v>
      </c>
      <c r="UMG236" s="1077">
        <v>8298541</v>
      </c>
      <c r="UMH236" s="1077">
        <v>8298541</v>
      </c>
      <c r="UMI236" s="1077">
        <v>8298541</v>
      </c>
      <c r="UMJ236" s="1077">
        <v>8298541</v>
      </c>
      <c r="UMK236" s="1077">
        <v>8298541</v>
      </c>
      <c r="UML236" s="1077">
        <v>8298541</v>
      </c>
      <c r="UMM236" s="1077">
        <v>8298541</v>
      </c>
      <c r="UMN236" s="1077">
        <v>8298541</v>
      </c>
      <c r="UMO236" s="1077">
        <v>8298541</v>
      </c>
      <c r="UMP236" s="1077">
        <v>8298541</v>
      </c>
      <c r="UMQ236" s="1077">
        <v>8298541</v>
      </c>
      <c r="UMR236" s="1077">
        <v>8298541</v>
      </c>
      <c r="UMS236" s="1077">
        <v>8298541</v>
      </c>
      <c r="UMT236" s="1077">
        <v>8298541</v>
      </c>
      <c r="UMU236" s="1077">
        <v>8298541</v>
      </c>
      <c r="UMV236" s="1077">
        <v>8298541</v>
      </c>
      <c r="UMW236" s="1077">
        <v>8298541</v>
      </c>
      <c r="UMX236" s="1077">
        <v>8298541</v>
      </c>
      <c r="UMY236" s="1077">
        <v>8298541</v>
      </c>
      <c r="UMZ236" s="1077">
        <v>8298541</v>
      </c>
      <c r="UNA236" s="1077">
        <v>8298541</v>
      </c>
      <c r="UNB236" s="1077">
        <v>8298541</v>
      </c>
      <c r="UNC236" s="1077">
        <v>8298541</v>
      </c>
      <c r="UND236" s="1077">
        <v>8298541</v>
      </c>
      <c r="UNE236" s="1077">
        <v>8298541</v>
      </c>
      <c r="UNF236" s="1077">
        <v>8298541</v>
      </c>
      <c r="UNG236" s="1077">
        <v>8298541</v>
      </c>
      <c r="UNH236" s="1077">
        <v>8298541</v>
      </c>
      <c r="UNI236" s="1077">
        <v>8298541</v>
      </c>
      <c r="UNJ236" s="1077">
        <v>8298541</v>
      </c>
      <c r="UNK236" s="1077">
        <v>8298541</v>
      </c>
      <c r="UNL236" s="1077">
        <v>8298541</v>
      </c>
      <c r="UNM236" s="1077">
        <v>8298541</v>
      </c>
      <c r="UNN236" s="1077">
        <v>8298541</v>
      </c>
      <c r="UNO236" s="1077">
        <v>8298541</v>
      </c>
      <c r="UNP236" s="1077">
        <v>8298541</v>
      </c>
      <c r="UNQ236" s="1077">
        <v>8298541</v>
      </c>
      <c r="UNR236" s="1077">
        <v>8298541</v>
      </c>
      <c r="UNS236" s="1077">
        <v>8298541</v>
      </c>
      <c r="UNT236" s="1077">
        <v>8298541</v>
      </c>
      <c r="UNU236" s="1077">
        <v>8298541</v>
      </c>
      <c r="UNV236" s="1077">
        <v>8298541</v>
      </c>
      <c r="UNW236" s="1077">
        <v>8298541</v>
      </c>
      <c r="UNX236" s="1077">
        <v>8298541</v>
      </c>
      <c r="UNY236" s="1077">
        <v>8298541</v>
      </c>
      <c r="UNZ236" s="1077">
        <v>8298541</v>
      </c>
      <c r="UOA236" s="1077">
        <v>8298541</v>
      </c>
      <c r="UOB236" s="1077">
        <v>8298541</v>
      </c>
      <c r="UOC236" s="1077">
        <v>8298541</v>
      </c>
      <c r="UOD236" s="1077">
        <v>8298541</v>
      </c>
      <c r="UOE236" s="1077">
        <v>8298541</v>
      </c>
      <c r="UOF236" s="1077">
        <v>8298541</v>
      </c>
      <c r="UOG236" s="1077">
        <v>8298541</v>
      </c>
      <c r="UOH236" s="1077">
        <v>8298541</v>
      </c>
      <c r="UOI236" s="1077">
        <v>8298541</v>
      </c>
      <c r="UOJ236" s="1077">
        <v>8298541</v>
      </c>
      <c r="UOK236" s="1077">
        <v>8298541</v>
      </c>
      <c r="UOL236" s="1077">
        <v>8298541</v>
      </c>
      <c r="UOM236" s="1077">
        <v>8298541</v>
      </c>
      <c r="UON236" s="1077">
        <v>8298541</v>
      </c>
      <c r="UOO236" s="1077">
        <v>8298541</v>
      </c>
      <c r="UOP236" s="1077">
        <v>8298541</v>
      </c>
      <c r="UOQ236" s="1077">
        <v>8298541</v>
      </c>
      <c r="UOR236" s="1077">
        <v>8298541</v>
      </c>
      <c r="UOS236" s="1077">
        <v>8298541</v>
      </c>
      <c r="UOT236" s="1077">
        <v>8298541</v>
      </c>
      <c r="UOU236" s="1077">
        <v>8298541</v>
      </c>
      <c r="UOV236" s="1077">
        <v>8298541</v>
      </c>
      <c r="UOW236" s="1077">
        <v>8298541</v>
      </c>
      <c r="UOX236" s="1077">
        <v>8298541</v>
      </c>
      <c r="UOY236" s="1077">
        <v>8298541</v>
      </c>
      <c r="UOZ236" s="1077">
        <v>8298541</v>
      </c>
      <c r="UPA236" s="1077">
        <v>8298541</v>
      </c>
      <c r="UPB236" s="1077">
        <v>8298541</v>
      </c>
      <c r="UPC236" s="1077">
        <v>8298541</v>
      </c>
      <c r="UPD236" s="1077">
        <v>8298541</v>
      </c>
      <c r="UPE236" s="1077">
        <v>8298541</v>
      </c>
      <c r="UPF236" s="1077">
        <v>8298541</v>
      </c>
      <c r="UPG236" s="1077">
        <v>8298541</v>
      </c>
      <c r="UPH236" s="1077">
        <v>8298541</v>
      </c>
      <c r="UPI236" s="1077">
        <v>8298541</v>
      </c>
      <c r="UPJ236" s="1077">
        <v>8298541</v>
      </c>
      <c r="UPK236" s="1077">
        <v>8298541</v>
      </c>
      <c r="UPL236" s="1077">
        <v>8298541</v>
      </c>
      <c r="UPM236" s="1077">
        <v>8298541</v>
      </c>
      <c r="UPN236" s="1077">
        <v>8298541</v>
      </c>
      <c r="UPO236" s="1077">
        <v>8298541</v>
      </c>
      <c r="UPP236" s="1077">
        <v>8298541</v>
      </c>
      <c r="UPQ236" s="1077">
        <v>8298541</v>
      </c>
      <c r="UPR236" s="1077">
        <v>8298541</v>
      </c>
      <c r="UPS236" s="1077">
        <v>8298541</v>
      </c>
      <c r="UPT236" s="1077">
        <v>8298541</v>
      </c>
      <c r="UPU236" s="1077">
        <v>8298541</v>
      </c>
      <c r="UPV236" s="1077">
        <v>8298541</v>
      </c>
      <c r="UPW236" s="1077">
        <v>8298541</v>
      </c>
      <c r="UPX236" s="1077">
        <v>8298541</v>
      </c>
      <c r="UPY236" s="1077">
        <v>8298541</v>
      </c>
      <c r="UPZ236" s="1077">
        <v>8298541</v>
      </c>
      <c r="UQA236" s="1077">
        <v>8298541</v>
      </c>
      <c r="UQB236" s="1077">
        <v>8298541</v>
      </c>
      <c r="UQC236" s="1077">
        <v>8298541</v>
      </c>
      <c r="UQD236" s="1077">
        <v>8298541</v>
      </c>
      <c r="UQE236" s="1077">
        <v>8298541</v>
      </c>
      <c r="UQF236" s="1077">
        <v>8298541</v>
      </c>
      <c r="UQG236" s="1077">
        <v>8298541</v>
      </c>
      <c r="UQH236" s="1077">
        <v>8298541</v>
      </c>
      <c r="UQI236" s="1077">
        <v>8298541</v>
      </c>
      <c r="UQJ236" s="1077">
        <v>8298541</v>
      </c>
      <c r="UQK236" s="1077">
        <v>8298541</v>
      </c>
      <c r="UQL236" s="1077">
        <v>8298541</v>
      </c>
      <c r="UQM236" s="1077">
        <v>8298541</v>
      </c>
      <c r="UQN236" s="1077">
        <v>8298541</v>
      </c>
      <c r="UQO236" s="1077">
        <v>8298541</v>
      </c>
      <c r="UQP236" s="1077">
        <v>8298541</v>
      </c>
      <c r="UQQ236" s="1077">
        <v>8298541</v>
      </c>
      <c r="UQR236" s="1077">
        <v>8298541</v>
      </c>
      <c r="UQS236" s="1077">
        <v>8298541</v>
      </c>
      <c r="UQT236" s="1077">
        <v>8298541</v>
      </c>
      <c r="UQU236" s="1077">
        <v>8298541</v>
      </c>
      <c r="UQV236" s="1077">
        <v>8298541</v>
      </c>
      <c r="UQW236" s="1077">
        <v>8298541</v>
      </c>
      <c r="UQX236" s="1077">
        <v>8298541</v>
      </c>
      <c r="UQY236" s="1077">
        <v>8298541</v>
      </c>
      <c r="UQZ236" s="1077">
        <v>8298541</v>
      </c>
      <c r="URA236" s="1077">
        <v>8298541</v>
      </c>
      <c r="URB236" s="1077">
        <v>8298541</v>
      </c>
      <c r="URC236" s="1077">
        <v>8298541</v>
      </c>
      <c r="URD236" s="1077">
        <v>8298541</v>
      </c>
      <c r="URE236" s="1077">
        <v>8298541</v>
      </c>
      <c r="URF236" s="1077">
        <v>8298541</v>
      </c>
      <c r="URG236" s="1077">
        <v>8298541</v>
      </c>
      <c r="URH236" s="1077">
        <v>8298541</v>
      </c>
      <c r="URI236" s="1077">
        <v>8298541</v>
      </c>
      <c r="URJ236" s="1077">
        <v>8298541</v>
      </c>
      <c r="URK236" s="1077">
        <v>8298541</v>
      </c>
      <c r="URL236" s="1077">
        <v>8298541</v>
      </c>
      <c r="URM236" s="1077">
        <v>8298541</v>
      </c>
      <c r="URN236" s="1077">
        <v>8298541</v>
      </c>
      <c r="URO236" s="1077">
        <v>8298541</v>
      </c>
      <c r="URP236" s="1077">
        <v>8298541</v>
      </c>
      <c r="URQ236" s="1077">
        <v>8298541</v>
      </c>
      <c r="URR236" s="1077">
        <v>8298541</v>
      </c>
      <c r="URS236" s="1077">
        <v>8298541</v>
      </c>
      <c r="URT236" s="1077">
        <v>8298541</v>
      </c>
      <c r="URU236" s="1077">
        <v>8298541</v>
      </c>
      <c r="URV236" s="1077">
        <v>8298541</v>
      </c>
      <c r="URW236" s="1077">
        <v>8298541</v>
      </c>
      <c r="URX236" s="1077">
        <v>8298541</v>
      </c>
      <c r="URY236" s="1077">
        <v>8298541</v>
      </c>
      <c r="URZ236" s="1077">
        <v>8298541</v>
      </c>
      <c r="USA236" s="1077">
        <v>8298541</v>
      </c>
      <c r="USB236" s="1077">
        <v>8298541</v>
      </c>
      <c r="USC236" s="1077">
        <v>8298541</v>
      </c>
      <c r="USD236" s="1077">
        <v>8298541</v>
      </c>
      <c r="USE236" s="1077">
        <v>8298541</v>
      </c>
      <c r="USF236" s="1077">
        <v>8298541</v>
      </c>
      <c r="USG236" s="1077">
        <v>8298541</v>
      </c>
      <c r="USH236" s="1077">
        <v>8298541</v>
      </c>
      <c r="USI236" s="1077">
        <v>8298541</v>
      </c>
      <c r="USJ236" s="1077">
        <v>8298541</v>
      </c>
      <c r="USK236" s="1077">
        <v>8298541</v>
      </c>
      <c r="USL236" s="1077">
        <v>8298541</v>
      </c>
      <c r="USM236" s="1077">
        <v>8298541</v>
      </c>
      <c r="USN236" s="1077">
        <v>8298541</v>
      </c>
      <c r="USO236" s="1077">
        <v>8298541</v>
      </c>
      <c r="USP236" s="1077">
        <v>8298541</v>
      </c>
      <c r="USQ236" s="1077">
        <v>8298541</v>
      </c>
      <c r="USR236" s="1077">
        <v>8298541</v>
      </c>
      <c r="USS236" s="1077">
        <v>8298541</v>
      </c>
      <c r="UST236" s="1077">
        <v>8298541</v>
      </c>
      <c r="USU236" s="1077">
        <v>8298541</v>
      </c>
      <c r="USV236" s="1077">
        <v>8298541</v>
      </c>
      <c r="USW236" s="1077">
        <v>8298541</v>
      </c>
      <c r="USX236" s="1077">
        <v>8298541</v>
      </c>
      <c r="USY236" s="1077">
        <v>8298541</v>
      </c>
      <c r="USZ236" s="1077">
        <v>8298541</v>
      </c>
      <c r="UTA236" s="1077">
        <v>8298541</v>
      </c>
      <c r="UTB236" s="1077">
        <v>8298541</v>
      </c>
      <c r="UTC236" s="1077">
        <v>8298541</v>
      </c>
      <c r="UTD236" s="1077">
        <v>8298541</v>
      </c>
      <c r="UTE236" s="1077">
        <v>8298541</v>
      </c>
      <c r="UTF236" s="1077">
        <v>8298541</v>
      </c>
      <c r="UTG236" s="1077">
        <v>8298541</v>
      </c>
      <c r="UTH236" s="1077">
        <v>8298541</v>
      </c>
      <c r="UTI236" s="1077">
        <v>8298541</v>
      </c>
      <c r="UTJ236" s="1077">
        <v>8298541</v>
      </c>
      <c r="UTK236" s="1077">
        <v>8298541</v>
      </c>
      <c r="UTL236" s="1077">
        <v>8298541</v>
      </c>
      <c r="UTM236" s="1077">
        <v>8298541</v>
      </c>
      <c r="UTN236" s="1077">
        <v>8298541</v>
      </c>
      <c r="UTO236" s="1077">
        <v>8298541</v>
      </c>
      <c r="UTP236" s="1077">
        <v>8298541</v>
      </c>
      <c r="UTQ236" s="1077">
        <v>8298541</v>
      </c>
      <c r="UTR236" s="1077">
        <v>8298541</v>
      </c>
      <c r="UTS236" s="1077">
        <v>8298541</v>
      </c>
      <c r="UTT236" s="1077">
        <v>8298541</v>
      </c>
      <c r="UTU236" s="1077">
        <v>8298541</v>
      </c>
      <c r="UTV236" s="1077">
        <v>8298541</v>
      </c>
      <c r="UTW236" s="1077">
        <v>8298541</v>
      </c>
      <c r="UTX236" s="1077">
        <v>8298541</v>
      </c>
      <c r="UTY236" s="1077">
        <v>8298541</v>
      </c>
      <c r="UTZ236" s="1077">
        <v>8298541</v>
      </c>
      <c r="UUA236" s="1077">
        <v>8298541</v>
      </c>
      <c r="UUB236" s="1077">
        <v>8298541</v>
      </c>
      <c r="UUC236" s="1077">
        <v>8298541</v>
      </c>
      <c r="UUD236" s="1077">
        <v>8298541</v>
      </c>
      <c r="UUE236" s="1077">
        <v>8298541</v>
      </c>
      <c r="UUF236" s="1077">
        <v>8298541</v>
      </c>
      <c r="UUG236" s="1077">
        <v>8298541</v>
      </c>
      <c r="UUH236" s="1077">
        <v>8298541</v>
      </c>
      <c r="UUI236" s="1077">
        <v>8298541</v>
      </c>
      <c r="UUJ236" s="1077">
        <v>8298541</v>
      </c>
      <c r="UUK236" s="1077">
        <v>8298541</v>
      </c>
      <c r="UUL236" s="1077">
        <v>8298541</v>
      </c>
      <c r="UUM236" s="1077">
        <v>8298541</v>
      </c>
      <c r="UUN236" s="1077">
        <v>8298541</v>
      </c>
      <c r="UUO236" s="1077">
        <v>8298541</v>
      </c>
      <c r="UUP236" s="1077">
        <v>8298541</v>
      </c>
      <c r="UUQ236" s="1077">
        <v>8298541</v>
      </c>
      <c r="UUR236" s="1077">
        <v>8298541</v>
      </c>
      <c r="UUS236" s="1077">
        <v>8298541</v>
      </c>
      <c r="UUT236" s="1077">
        <v>8298541</v>
      </c>
      <c r="UUU236" s="1077">
        <v>8298541</v>
      </c>
      <c r="UUV236" s="1077">
        <v>8298541</v>
      </c>
      <c r="UUW236" s="1077">
        <v>8298541</v>
      </c>
      <c r="UUX236" s="1077">
        <v>8298541</v>
      </c>
      <c r="UUY236" s="1077">
        <v>8298541</v>
      </c>
      <c r="UUZ236" s="1077">
        <v>8298541</v>
      </c>
      <c r="UVA236" s="1077">
        <v>8298541</v>
      </c>
      <c r="UVB236" s="1077">
        <v>8298541</v>
      </c>
      <c r="UVC236" s="1077">
        <v>8298541</v>
      </c>
      <c r="UVD236" s="1077">
        <v>8298541</v>
      </c>
      <c r="UVE236" s="1077">
        <v>8298541</v>
      </c>
      <c r="UVF236" s="1077">
        <v>8298541</v>
      </c>
      <c r="UVG236" s="1077">
        <v>8298541</v>
      </c>
      <c r="UVH236" s="1077">
        <v>8298541</v>
      </c>
      <c r="UVI236" s="1077">
        <v>8298541</v>
      </c>
      <c r="UVJ236" s="1077">
        <v>8298541</v>
      </c>
      <c r="UVK236" s="1077">
        <v>8298541</v>
      </c>
      <c r="UVL236" s="1077">
        <v>8298541</v>
      </c>
      <c r="UVM236" s="1077">
        <v>8298541</v>
      </c>
      <c r="UVN236" s="1077">
        <v>8298541</v>
      </c>
      <c r="UVO236" s="1077">
        <v>8298541</v>
      </c>
      <c r="UVP236" s="1077">
        <v>8298541</v>
      </c>
      <c r="UVQ236" s="1077">
        <v>8298541</v>
      </c>
      <c r="UVR236" s="1077">
        <v>8298541</v>
      </c>
      <c r="UVS236" s="1077">
        <v>8298541</v>
      </c>
      <c r="UVT236" s="1077">
        <v>8298541</v>
      </c>
      <c r="UVU236" s="1077">
        <v>8298541</v>
      </c>
      <c r="UVV236" s="1077">
        <v>8298541</v>
      </c>
      <c r="UVW236" s="1077">
        <v>8298541</v>
      </c>
      <c r="UVX236" s="1077">
        <v>8298541</v>
      </c>
      <c r="UVY236" s="1077">
        <v>8298541</v>
      </c>
      <c r="UVZ236" s="1077">
        <v>8298541</v>
      </c>
      <c r="UWA236" s="1077">
        <v>8298541</v>
      </c>
      <c r="UWB236" s="1077">
        <v>8298541</v>
      </c>
      <c r="UWC236" s="1077">
        <v>8298541</v>
      </c>
      <c r="UWD236" s="1077">
        <v>8298541</v>
      </c>
      <c r="UWE236" s="1077">
        <v>8298541</v>
      </c>
      <c r="UWF236" s="1077">
        <v>8298541</v>
      </c>
      <c r="UWG236" s="1077">
        <v>8298541</v>
      </c>
      <c r="UWH236" s="1077">
        <v>8298541</v>
      </c>
      <c r="UWI236" s="1077">
        <v>8298541</v>
      </c>
      <c r="UWJ236" s="1077">
        <v>8298541</v>
      </c>
      <c r="UWK236" s="1077">
        <v>8298541</v>
      </c>
      <c r="UWL236" s="1077">
        <v>8298541</v>
      </c>
      <c r="UWM236" s="1077">
        <v>8298541</v>
      </c>
      <c r="UWN236" s="1077">
        <v>8298541</v>
      </c>
      <c r="UWO236" s="1077">
        <v>8298541</v>
      </c>
      <c r="UWP236" s="1077">
        <v>8298541</v>
      </c>
      <c r="UWQ236" s="1077">
        <v>8298541</v>
      </c>
      <c r="UWR236" s="1077">
        <v>8298541</v>
      </c>
      <c r="UWS236" s="1077">
        <v>8298541</v>
      </c>
      <c r="UWT236" s="1077">
        <v>8298541</v>
      </c>
      <c r="UWU236" s="1077">
        <v>8298541</v>
      </c>
      <c r="UWV236" s="1077">
        <v>8298541</v>
      </c>
      <c r="UWW236" s="1077">
        <v>8298541</v>
      </c>
      <c r="UWX236" s="1077">
        <v>8298541</v>
      </c>
      <c r="UWY236" s="1077">
        <v>8298541</v>
      </c>
      <c r="UWZ236" s="1077">
        <v>8298541</v>
      </c>
      <c r="UXA236" s="1077">
        <v>8298541</v>
      </c>
      <c r="UXB236" s="1077">
        <v>8298541</v>
      </c>
      <c r="UXC236" s="1077">
        <v>8298541</v>
      </c>
      <c r="UXD236" s="1077">
        <v>8298541</v>
      </c>
      <c r="UXE236" s="1077">
        <v>8298541</v>
      </c>
      <c r="UXF236" s="1077">
        <v>8298541</v>
      </c>
      <c r="UXG236" s="1077">
        <v>8298541</v>
      </c>
      <c r="UXH236" s="1077">
        <v>8298541</v>
      </c>
      <c r="UXI236" s="1077">
        <v>8298541</v>
      </c>
      <c r="UXJ236" s="1077">
        <v>8298541</v>
      </c>
      <c r="UXK236" s="1077">
        <v>8298541</v>
      </c>
      <c r="UXL236" s="1077">
        <v>8298541</v>
      </c>
      <c r="UXM236" s="1077">
        <v>8298541</v>
      </c>
      <c r="UXN236" s="1077">
        <v>8298541</v>
      </c>
      <c r="UXO236" s="1077">
        <v>8298541</v>
      </c>
      <c r="UXP236" s="1077">
        <v>8298541</v>
      </c>
      <c r="UXQ236" s="1077">
        <v>8298541</v>
      </c>
      <c r="UXR236" s="1077">
        <v>8298541</v>
      </c>
      <c r="UXS236" s="1077">
        <v>8298541</v>
      </c>
      <c r="UXT236" s="1077">
        <v>8298541</v>
      </c>
      <c r="UXU236" s="1077">
        <v>8298541</v>
      </c>
      <c r="UXV236" s="1077">
        <v>8298541</v>
      </c>
      <c r="UXW236" s="1077">
        <v>8298541</v>
      </c>
      <c r="UXX236" s="1077">
        <v>8298541</v>
      </c>
      <c r="UXY236" s="1077">
        <v>8298541</v>
      </c>
      <c r="UXZ236" s="1077">
        <v>8298541</v>
      </c>
      <c r="UYA236" s="1077">
        <v>8298541</v>
      </c>
      <c r="UYB236" s="1077">
        <v>8298541</v>
      </c>
      <c r="UYC236" s="1077">
        <v>8298541</v>
      </c>
      <c r="UYD236" s="1077">
        <v>8298541</v>
      </c>
      <c r="UYE236" s="1077">
        <v>8298541</v>
      </c>
      <c r="UYF236" s="1077">
        <v>8298541</v>
      </c>
      <c r="UYG236" s="1077">
        <v>8298541</v>
      </c>
      <c r="UYH236" s="1077">
        <v>8298541</v>
      </c>
      <c r="UYI236" s="1077">
        <v>8298541</v>
      </c>
      <c r="UYJ236" s="1077">
        <v>8298541</v>
      </c>
      <c r="UYK236" s="1077">
        <v>8298541</v>
      </c>
      <c r="UYL236" s="1077">
        <v>8298541</v>
      </c>
      <c r="UYM236" s="1077">
        <v>8298541</v>
      </c>
      <c r="UYN236" s="1077">
        <v>8298541</v>
      </c>
      <c r="UYO236" s="1077">
        <v>8298541</v>
      </c>
      <c r="UYP236" s="1077">
        <v>8298541</v>
      </c>
      <c r="UYQ236" s="1077">
        <v>8298541</v>
      </c>
      <c r="UYR236" s="1077">
        <v>8298541</v>
      </c>
      <c r="UYS236" s="1077">
        <v>8298541</v>
      </c>
      <c r="UYT236" s="1077">
        <v>8298541</v>
      </c>
      <c r="UYU236" s="1077">
        <v>8298541</v>
      </c>
      <c r="UYV236" s="1077">
        <v>8298541</v>
      </c>
      <c r="UYW236" s="1077">
        <v>8298541</v>
      </c>
      <c r="UYX236" s="1077">
        <v>8298541</v>
      </c>
      <c r="UYY236" s="1077">
        <v>8298541</v>
      </c>
      <c r="UYZ236" s="1077">
        <v>8298541</v>
      </c>
      <c r="UZA236" s="1077">
        <v>8298541</v>
      </c>
      <c r="UZB236" s="1077">
        <v>8298541</v>
      </c>
      <c r="UZC236" s="1077">
        <v>8298541</v>
      </c>
      <c r="UZD236" s="1077">
        <v>8298541</v>
      </c>
      <c r="UZE236" s="1077">
        <v>8298541</v>
      </c>
      <c r="UZF236" s="1077">
        <v>8298541</v>
      </c>
      <c r="UZG236" s="1077">
        <v>8298541</v>
      </c>
      <c r="UZH236" s="1077">
        <v>8298541</v>
      </c>
      <c r="UZI236" s="1077">
        <v>8298541</v>
      </c>
      <c r="UZJ236" s="1077">
        <v>8298541</v>
      </c>
      <c r="UZK236" s="1077">
        <v>8298541</v>
      </c>
      <c r="UZL236" s="1077">
        <v>8298541</v>
      </c>
      <c r="UZM236" s="1077">
        <v>8298541</v>
      </c>
      <c r="UZN236" s="1077">
        <v>8298541</v>
      </c>
      <c r="UZO236" s="1077">
        <v>8298541</v>
      </c>
      <c r="UZP236" s="1077">
        <v>8298541</v>
      </c>
      <c r="UZQ236" s="1077">
        <v>8298541</v>
      </c>
      <c r="UZR236" s="1077">
        <v>8298541</v>
      </c>
      <c r="UZS236" s="1077">
        <v>8298541</v>
      </c>
      <c r="UZT236" s="1077">
        <v>8298541</v>
      </c>
      <c r="UZU236" s="1077">
        <v>8298541</v>
      </c>
      <c r="UZV236" s="1077">
        <v>8298541</v>
      </c>
      <c r="UZW236" s="1077">
        <v>8298541</v>
      </c>
      <c r="UZX236" s="1077">
        <v>8298541</v>
      </c>
      <c r="UZY236" s="1077">
        <v>8298541</v>
      </c>
      <c r="UZZ236" s="1077">
        <v>8298541</v>
      </c>
      <c r="VAA236" s="1077">
        <v>8298541</v>
      </c>
      <c r="VAB236" s="1077">
        <v>8298541</v>
      </c>
      <c r="VAC236" s="1077">
        <v>8298541</v>
      </c>
      <c r="VAD236" s="1077">
        <v>8298541</v>
      </c>
      <c r="VAE236" s="1077">
        <v>8298541</v>
      </c>
      <c r="VAF236" s="1077">
        <v>8298541</v>
      </c>
      <c r="VAG236" s="1077">
        <v>8298541</v>
      </c>
      <c r="VAH236" s="1077">
        <v>8298541</v>
      </c>
      <c r="VAI236" s="1077">
        <v>8298541</v>
      </c>
      <c r="VAJ236" s="1077">
        <v>8298541</v>
      </c>
      <c r="VAK236" s="1077">
        <v>8298541</v>
      </c>
      <c r="VAL236" s="1077">
        <v>8298541</v>
      </c>
      <c r="VAM236" s="1077">
        <v>8298541</v>
      </c>
      <c r="VAN236" s="1077">
        <v>8298541</v>
      </c>
      <c r="VAO236" s="1077">
        <v>8298541</v>
      </c>
      <c r="VAP236" s="1077">
        <v>8298541</v>
      </c>
      <c r="VAQ236" s="1077">
        <v>8298541</v>
      </c>
      <c r="VAR236" s="1077">
        <v>8298541</v>
      </c>
      <c r="VAS236" s="1077">
        <v>8298541</v>
      </c>
      <c r="VAT236" s="1077">
        <v>8298541</v>
      </c>
      <c r="VAU236" s="1077">
        <v>8298541</v>
      </c>
      <c r="VAV236" s="1077">
        <v>8298541</v>
      </c>
      <c r="VAW236" s="1077">
        <v>8298541</v>
      </c>
      <c r="VAX236" s="1077">
        <v>8298541</v>
      </c>
      <c r="VAY236" s="1077">
        <v>8298541</v>
      </c>
      <c r="VAZ236" s="1077">
        <v>8298541</v>
      </c>
      <c r="VBA236" s="1077">
        <v>8298541</v>
      </c>
      <c r="VBB236" s="1077">
        <v>8298541</v>
      </c>
      <c r="VBC236" s="1077">
        <v>8298541</v>
      </c>
      <c r="VBD236" s="1077">
        <v>8298541</v>
      </c>
      <c r="VBE236" s="1077">
        <v>8298541</v>
      </c>
      <c r="VBF236" s="1077">
        <v>8298541</v>
      </c>
      <c r="VBG236" s="1077">
        <v>8298541</v>
      </c>
      <c r="VBH236" s="1077">
        <v>8298541</v>
      </c>
      <c r="VBI236" s="1077">
        <v>8298541</v>
      </c>
      <c r="VBJ236" s="1077">
        <v>8298541</v>
      </c>
      <c r="VBK236" s="1077">
        <v>8298541</v>
      </c>
      <c r="VBL236" s="1077">
        <v>8298541</v>
      </c>
      <c r="VBM236" s="1077">
        <v>8298541</v>
      </c>
      <c r="VBN236" s="1077">
        <v>8298541</v>
      </c>
      <c r="VBO236" s="1077">
        <v>8298541</v>
      </c>
      <c r="VBP236" s="1077">
        <v>8298541</v>
      </c>
      <c r="VBQ236" s="1077">
        <v>8298541</v>
      </c>
      <c r="VBR236" s="1077">
        <v>8298541</v>
      </c>
      <c r="VBS236" s="1077">
        <v>8298541</v>
      </c>
      <c r="VBT236" s="1077">
        <v>8298541</v>
      </c>
      <c r="VBU236" s="1077">
        <v>8298541</v>
      </c>
      <c r="VBV236" s="1077">
        <v>8298541</v>
      </c>
      <c r="VBW236" s="1077">
        <v>8298541</v>
      </c>
      <c r="VBX236" s="1077">
        <v>8298541</v>
      </c>
      <c r="VBY236" s="1077">
        <v>8298541</v>
      </c>
      <c r="VBZ236" s="1077">
        <v>8298541</v>
      </c>
      <c r="VCA236" s="1077">
        <v>8298541</v>
      </c>
      <c r="VCB236" s="1077">
        <v>8298541</v>
      </c>
      <c r="VCC236" s="1077">
        <v>8298541</v>
      </c>
      <c r="VCD236" s="1077">
        <v>8298541</v>
      </c>
      <c r="VCE236" s="1077">
        <v>8298541</v>
      </c>
      <c r="VCF236" s="1077">
        <v>8298541</v>
      </c>
      <c r="VCG236" s="1077">
        <v>8298541</v>
      </c>
      <c r="VCH236" s="1077">
        <v>8298541</v>
      </c>
      <c r="VCI236" s="1077">
        <v>8298541</v>
      </c>
      <c r="VCJ236" s="1077">
        <v>8298541</v>
      </c>
      <c r="VCK236" s="1077">
        <v>8298541</v>
      </c>
      <c r="VCL236" s="1077">
        <v>8298541</v>
      </c>
      <c r="VCM236" s="1077">
        <v>8298541</v>
      </c>
      <c r="VCN236" s="1077">
        <v>8298541</v>
      </c>
      <c r="VCO236" s="1077">
        <v>8298541</v>
      </c>
      <c r="VCP236" s="1077">
        <v>8298541</v>
      </c>
      <c r="VCQ236" s="1077">
        <v>8298541</v>
      </c>
      <c r="VCR236" s="1077">
        <v>8298541</v>
      </c>
      <c r="VCS236" s="1077">
        <v>8298541</v>
      </c>
      <c r="VCT236" s="1077">
        <v>8298541</v>
      </c>
      <c r="VCU236" s="1077">
        <v>8298541</v>
      </c>
      <c r="VCV236" s="1077">
        <v>8298541</v>
      </c>
      <c r="VCW236" s="1077">
        <v>8298541</v>
      </c>
      <c r="VCX236" s="1077">
        <v>8298541</v>
      </c>
      <c r="VCY236" s="1077">
        <v>8298541</v>
      </c>
      <c r="VCZ236" s="1077">
        <v>8298541</v>
      </c>
      <c r="VDA236" s="1077">
        <v>8298541</v>
      </c>
      <c r="VDB236" s="1077">
        <v>8298541</v>
      </c>
      <c r="VDC236" s="1077">
        <v>8298541</v>
      </c>
      <c r="VDD236" s="1077">
        <v>8298541</v>
      </c>
      <c r="VDE236" s="1077">
        <v>8298541</v>
      </c>
      <c r="VDF236" s="1077">
        <v>8298541</v>
      </c>
      <c r="VDG236" s="1077">
        <v>8298541</v>
      </c>
      <c r="VDH236" s="1077">
        <v>8298541</v>
      </c>
      <c r="VDI236" s="1077">
        <v>8298541</v>
      </c>
      <c r="VDJ236" s="1077">
        <v>8298541</v>
      </c>
      <c r="VDK236" s="1077">
        <v>8298541</v>
      </c>
      <c r="VDL236" s="1077">
        <v>8298541</v>
      </c>
      <c r="VDM236" s="1077">
        <v>8298541</v>
      </c>
      <c r="VDN236" s="1077">
        <v>8298541</v>
      </c>
      <c r="VDO236" s="1077">
        <v>8298541</v>
      </c>
      <c r="VDP236" s="1077">
        <v>8298541</v>
      </c>
      <c r="VDQ236" s="1077">
        <v>8298541</v>
      </c>
      <c r="VDR236" s="1077">
        <v>8298541</v>
      </c>
      <c r="VDS236" s="1077">
        <v>8298541</v>
      </c>
      <c r="VDT236" s="1077">
        <v>8298541</v>
      </c>
      <c r="VDU236" s="1077">
        <v>8298541</v>
      </c>
      <c r="VDV236" s="1077">
        <v>8298541</v>
      </c>
      <c r="VDW236" s="1077">
        <v>8298541</v>
      </c>
      <c r="VDX236" s="1077">
        <v>8298541</v>
      </c>
      <c r="VDY236" s="1077">
        <v>8298541</v>
      </c>
      <c r="VDZ236" s="1077">
        <v>8298541</v>
      </c>
      <c r="VEA236" s="1077">
        <v>8298541</v>
      </c>
      <c r="VEB236" s="1077">
        <v>8298541</v>
      </c>
      <c r="VEC236" s="1077">
        <v>8298541</v>
      </c>
      <c r="VED236" s="1077">
        <v>8298541</v>
      </c>
      <c r="VEE236" s="1077">
        <v>8298541</v>
      </c>
      <c r="VEF236" s="1077">
        <v>8298541</v>
      </c>
      <c r="VEG236" s="1077">
        <v>8298541</v>
      </c>
      <c r="VEH236" s="1077">
        <v>8298541</v>
      </c>
      <c r="VEI236" s="1077">
        <v>8298541</v>
      </c>
      <c r="VEJ236" s="1077">
        <v>8298541</v>
      </c>
      <c r="VEK236" s="1077">
        <v>8298541</v>
      </c>
      <c r="VEL236" s="1077">
        <v>8298541</v>
      </c>
      <c r="VEM236" s="1077">
        <v>8298541</v>
      </c>
      <c r="VEN236" s="1077">
        <v>8298541</v>
      </c>
      <c r="VEO236" s="1077">
        <v>8298541</v>
      </c>
      <c r="VEP236" s="1077">
        <v>8298541</v>
      </c>
      <c r="VEQ236" s="1077">
        <v>8298541</v>
      </c>
      <c r="VER236" s="1077">
        <v>8298541</v>
      </c>
      <c r="VES236" s="1077">
        <v>8298541</v>
      </c>
      <c r="VET236" s="1077">
        <v>8298541</v>
      </c>
      <c r="VEU236" s="1077">
        <v>8298541</v>
      </c>
      <c r="VEV236" s="1077">
        <v>8298541</v>
      </c>
      <c r="VEW236" s="1077">
        <v>8298541</v>
      </c>
      <c r="VEX236" s="1077">
        <v>8298541</v>
      </c>
      <c r="VEY236" s="1077">
        <v>8298541</v>
      </c>
      <c r="VEZ236" s="1077">
        <v>8298541</v>
      </c>
      <c r="VFA236" s="1077">
        <v>8298541</v>
      </c>
      <c r="VFB236" s="1077">
        <v>8298541</v>
      </c>
      <c r="VFC236" s="1077">
        <v>8298541</v>
      </c>
      <c r="VFD236" s="1077">
        <v>8298541</v>
      </c>
      <c r="VFE236" s="1077">
        <v>8298541</v>
      </c>
      <c r="VFF236" s="1077">
        <v>8298541</v>
      </c>
      <c r="VFG236" s="1077">
        <v>8298541</v>
      </c>
      <c r="VFH236" s="1077">
        <v>8298541</v>
      </c>
      <c r="VFI236" s="1077">
        <v>8298541</v>
      </c>
      <c r="VFJ236" s="1077">
        <v>8298541</v>
      </c>
      <c r="VFK236" s="1077">
        <v>8298541</v>
      </c>
      <c r="VFL236" s="1077">
        <v>8298541</v>
      </c>
      <c r="VFM236" s="1077">
        <v>8298541</v>
      </c>
      <c r="VFN236" s="1077">
        <v>8298541</v>
      </c>
      <c r="VFO236" s="1077">
        <v>8298541</v>
      </c>
      <c r="VFP236" s="1077">
        <v>8298541</v>
      </c>
      <c r="VFQ236" s="1077">
        <v>8298541</v>
      </c>
      <c r="VFR236" s="1077">
        <v>8298541</v>
      </c>
      <c r="VFS236" s="1077">
        <v>8298541</v>
      </c>
      <c r="VFT236" s="1077">
        <v>8298541</v>
      </c>
      <c r="VFU236" s="1077">
        <v>8298541</v>
      </c>
      <c r="VFV236" s="1077">
        <v>8298541</v>
      </c>
      <c r="VFW236" s="1077">
        <v>8298541</v>
      </c>
      <c r="VFX236" s="1077">
        <v>8298541</v>
      </c>
      <c r="VFY236" s="1077">
        <v>8298541</v>
      </c>
      <c r="VFZ236" s="1077">
        <v>8298541</v>
      </c>
      <c r="VGA236" s="1077">
        <v>8298541</v>
      </c>
      <c r="VGB236" s="1077">
        <v>8298541</v>
      </c>
      <c r="VGC236" s="1077">
        <v>8298541</v>
      </c>
      <c r="VGD236" s="1077">
        <v>8298541</v>
      </c>
      <c r="VGE236" s="1077">
        <v>8298541</v>
      </c>
      <c r="VGF236" s="1077">
        <v>8298541</v>
      </c>
      <c r="VGG236" s="1077">
        <v>8298541</v>
      </c>
      <c r="VGH236" s="1077">
        <v>8298541</v>
      </c>
      <c r="VGI236" s="1077">
        <v>8298541</v>
      </c>
      <c r="VGJ236" s="1077">
        <v>8298541</v>
      </c>
      <c r="VGK236" s="1077">
        <v>8298541</v>
      </c>
      <c r="VGL236" s="1077">
        <v>8298541</v>
      </c>
      <c r="VGM236" s="1077">
        <v>8298541</v>
      </c>
      <c r="VGN236" s="1077">
        <v>8298541</v>
      </c>
      <c r="VGO236" s="1077">
        <v>8298541</v>
      </c>
      <c r="VGP236" s="1077">
        <v>8298541</v>
      </c>
      <c r="VGQ236" s="1077">
        <v>8298541</v>
      </c>
      <c r="VGR236" s="1077">
        <v>8298541</v>
      </c>
      <c r="VGS236" s="1077">
        <v>8298541</v>
      </c>
      <c r="VGT236" s="1077">
        <v>8298541</v>
      </c>
      <c r="VGU236" s="1077">
        <v>8298541</v>
      </c>
      <c r="VGV236" s="1077">
        <v>8298541</v>
      </c>
      <c r="VGW236" s="1077">
        <v>8298541</v>
      </c>
      <c r="VGX236" s="1077">
        <v>8298541</v>
      </c>
      <c r="VGY236" s="1077">
        <v>8298541</v>
      </c>
      <c r="VGZ236" s="1077">
        <v>8298541</v>
      </c>
      <c r="VHA236" s="1077">
        <v>8298541</v>
      </c>
      <c r="VHB236" s="1077">
        <v>8298541</v>
      </c>
      <c r="VHC236" s="1077">
        <v>8298541</v>
      </c>
      <c r="VHD236" s="1077">
        <v>8298541</v>
      </c>
      <c r="VHE236" s="1077">
        <v>8298541</v>
      </c>
      <c r="VHF236" s="1077">
        <v>8298541</v>
      </c>
      <c r="VHG236" s="1077">
        <v>8298541</v>
      </c>
      <c r="VHH236" s="1077">
        <v>8298541</v>
      </c>
      <c r="VHI236" s="1077">
        <v>8298541</v>
      </c>
      <c r="VHJ236" s="1077">
        <v>8298541</v>
      </c>
      <c r="VHK236" s="1077">
        <v>8298541</v>
      </c>
      <c r="VHL236" s="1077">
        <v>8298541</v>
      </c>
      <c r="VHM236" s="1077">
        <v>8298541</v>
      </c>
      <c r="VHN236" s="1077">
        <v>8298541</v>
      </c>
      <c r="VHO236" s="1077">
        <v>8298541</v>
      </c>
      <c r="VHP236" s="1077">
        <v>8298541</v>
      </c>
      <c r="VHQ236" s="1077">
        <v>8298541</v>
      </c>
      <c r="VHR236" s="1077">
        <v>8298541</v>
      </c>
      <c r="VHS236" s="1077">
        <v>8298541</v>
      </c>
      <c r="VHT236" s="1077">
        <v>8298541</v>
      </c>
      <c r="VHU236" s="1077">
        <v>8298541</v>
      </c>
      <c r="VHV236" s="1077">
        <v>8298541</v>
      </c>
      <c r="VHW236" s="1077">
        <v>8298541</v>
      </c>
      <c r="VHX236" s="1077">
        <v>8298541</v>
      </c>
      <c r="VHY236" s="1077">
        <v>8298541</v>
      </c>
      <c r="VHZ236" s="1077">
        <v>8298541</v>
      </c>
      <c r="VIA236" s="1077">
        <v>8298541</v>
      </c>
      <c r="VIB236" s="1077">
        <v>8298541</v>
      </c>
      <c r="VIC236" s="1077">
        <v>8298541</v>
      </c>
      <c r="VID236" s="1077">
        <v>8298541</v>
      </c>
      <c r="VIE236" s="1077">
        <v>8298541</v>
      </c>
      <c r="VIF236" s="1077">
        <v>8298541</v>
      </c>
      <c r="VIG236" s="1077">
        <v>8298541</v>
      </c>
      <c r="VIH236" s="1077">
        <v>8298541</v>
      </c>
      <c r="VII236" s="1077">
        <v>8298541</v>
      </c>
      <c r="VIJ236" s="1077">
        <v>8298541</v>
      </c>
      <c r="VIK236" s="1077">
        <v>8298541</v>
      </c>
      <c r="VIL236" s="1077">
        <v>8298541</v>
      </c>
      <c r="VIM236" s="1077">
        <v>8298541</v>
      </c>
      <c r="VIN236" s="1077">
        <v>8298541</v>
      </c>
      <c r="VIO236" s="1077">
        <v>8298541</v>
      </c>
      <c r="VIP236" s="1077">
        <v>8298541</v>
      </c>
      <c r="VIQ236" s="1077">
        <v>8298541</v>
      </c>
      <c r="VIR236" s="1077">
        <v>8298541</v>
      </c>
      <c r="VIS236" s="1077">
        <v>8298541</v>
      </c>
      <c r="VIT236" s="1077">
        <v>8298541</v>
      </c>
      <c r="VIU236" s="1077">
        <v>8298541</v>
      </c>
      <c r="VIV236" s="1077">
        <v>8298541</v>
      </c>
      <c r="VIW236" s="1077">
        <v>8298541</v>
      </c>
      <c r="VIX236" s="1077">
        <v>8298541</v>
      </c>
      <c r="VIY236" s="1077">
        <v>8298541</v>
      </c>
      <c r="VIZ236" s="1077">
        <v>8298541</v>
      </c>
      <c r="VJA236" s="1077">
        <v>8298541</v>
      </c>
      <c r="VJB236" s="1077">
        <v>8298541</v>
      </c>
      <c r="VJC236" s="1077">
        <v>8298541</v>
      </c>
      <c r="VJD236" s="1077">
        <v>8298541</v>
      </c>
      <c r="VJE236" s="1077">
        <v>8298541</v>
      </c>
      <c r="VJF236" s="1077">
        <v>8298541</v>
      </c>
      <c r="VJG236" s="1077">
        <v>8298541</v>
      </c>
      <c r="VJH236" s="1077">
        <v>8298541</v>
      </c>
      <c r="VJI236" s="1077">
        <v>8298541</v>
      </c>
      <c r="VJJ236" s="1077">
        <v>8298541</v>
      </c>
      <c r="VJK236" s="1077">
        <v>8298541</v>
      </c>
      <c r="VJL236" s="1077">
        <v>8298541</v>
      </c>
      <c r="VJM236" s="1077">
        <v>8298541</v>
      </c>
      <c r="VJN236" s="1077">
        <v>8298541</v>
      </c>
      <c r="VJO236" s="1077">
        <v>8298541</v>
      </c>
      <c r="VJP236" s="1077">
        <v>8298541</v>
      </c>
      <c r="VJQ236" s="1077">
        <v>8298541</v>
      </c>
      <c r="VJR236" s="1077">
        <v>8298541</v>
      </c>
      <c r="VJS236" s="1077">
        <v>8298541</v>
      </c>
      <c r="VJT236" s="1077">
        <v>8298541</v>
      </c>
      <c r="VJU236" s="1077">
        <v>8298541</v>
      </c>
      <c r="VJV236" s="1077">
        <v>8298541</v>
      </c>
      <c r="VJW236" s="1077">
        <v>8298541</v>
      </c>
      <c r="VJX236" s="1077">
        <v>8298541</v>
      </c>
      <c r="VJY236" s="1077">
        <v>8298541</v>
      </c>
      <c r="VJZ236" s="1077">
        <v>8298541</v>
      </c>
      <c r="VKA236" s="1077">
        <v>8298541</v>
      </c>
      <c r="VKB236" s="1077">
        <v>8298541</v>
      </c>
      <c r="VKC236" s="1077">
        <v>8298541</v>
      </c>
      <c r="VKD236" s="1077">
        <v>8298541</v>
      </c>
      <c r="VKE236" s="1077">
        <v>8298541</v>
      </c>
      <c r="VKF236" s="1077">
        <v>8298541</v>
      </c>
      <c r="VKG236" s="1077">
        <v>8298541</v>
      </c>
      <c r="VKH236" s="1077">
        <v>8298541</v>
      </c>
      <c r="VKI236" s="1077">
        <v>8298541</v>
      </c>
      <c r="VKJ236" s="1077">
        <v>8298541</v>
      </c>
      <c r="VKK236" s="1077">
        <v>8298541</v>
      </c>
      <c r="VKL236" s="1077">
        <v>8298541</v>
      </c>
      <c r="VKM236" s="1077">
        <v>8298541</v>
      </c>
      <c r="VKN236" s="1077">
        <v>8298541</v>
      </c>
      <c r="VKO236" s="1077">
        <v>8298541</v>
      </c>
      <c r="VKP236" s="1077">
        <v>8298541</v>
      </c>
      <c r="VKQ236" s="1077">
        <v>8298541</v>
      </c>
      <c r="VKR236" s="1077">
        <v>8298541</v>
      </c>
      <c r="VKS236" s="1077">
        <v>8298541</v>
      </c>
      <c r="VKT236" s="1077">
        <v>8298541</v>
      </c>
      <c r="VKU236" s="1077">
        <v>8298541</v>
      </c>
      <c r="VKV236" s="1077">
        <v>8298541</v>
      </c>
      <c r="VKW236" s="1077">
        <v>8298541</v>
      </c>
      <c r="VKX236" s="1077">
        <v>8298541</v>
      </c>
      <c r="VKY236" s="1077">
        <v>8298541</v>
      </c>
      <c r="VKZ236" s="1077">
        <v>8298541</v>
      </c>
      <c r="VLA236" s="1077">
        <v>8298541</v>
      </c>
      <c r="VLB236" s="1077">
        <v>8298541</v>
      </c>
      <c r="VLC236" s="1077">
        <v>8298541</v>
      </c>
      <c r="VLD236" s="1077">
        <v>8298541</v>
      </c>
      <c r="VLE236" s="1077">
        <v>8298541</v>
      </c>
      <c r="VLF236" s="1077">
        <v>8298541</v>
      </c>
      <c r="VLG236" s="1077">
        <v>8298541</v>
      </c>
      <c r="VLH236" s="1077">
        <v>8298541</v>
      </c>
      <c r="VLI236" s="1077">
        <v>8298541</v>
      </c>
      <c r="VLJ236" s="1077">
        <v>8298541</v>
      </c>
      <c r="VLK236" s="1077">
        <v>8298541</v>
      </c>
      <c r="VLL236" s="1077">
        <v>8298541</v>
      </c>
      <c r="VLM236" s="1077">
        <v>8298541</v>
      </c>
      <c r="VLN236" s="1077">
        <v>8298541</v>
      </c>
      <c r="VLO236" s="1077">
        <v>8298541</v>
      </c>
      <c r="VLP236" s="1077">
        <v>8298541</v>
      </c>
      <c r="VLQ236" s="1077">
        <v>8298541</v>
      </c>
      <c r="VLR236" s="1077">
        <v>8298541</v>
      </c>
      <c r="VLS236" s="1077">
        <v>8298541</v>
      </c>
      <c r="VLT236" s="1077">
        <v>8298541</v>
      </c>
      <c r="VLU236" s="1077">
        <v>8298541</v>
      </c>
      <c r="VLV236" s="1077">
        <v>8298541</v>
      </c>
      <c r="VLW236" s="1077">
        <v>8298541</v>
      </c>
      <c r="VLX236" s="1077">
        <v>8298541</v>
      </c>
      <c r="VLY236" s="1077">
        <v>8298541</v>
      </c>
      <c r="VLZ236" s="1077">
        <v>8298541</v>
      </c>
      <c r="VMA236" s="1077">
        <v>8298541</v>
      </c>
      <c r="VMB236" s="1077">
        <v>8298541</v>
      </c>
      <c r="VMC236" s="1077">
        <v>8298541</v>
      </c>
      <c r="VMD236" s="1077">
        <v>8298541</v>
      </c>
      <c r="VME236" s="1077">
        <v>8298541</v>
      </c>
      <c r="VMF236" s="1077">
        <v>8298541</v>
      </c>
      <c r="VMG236" s="1077">
        <v>8298541</v>
      </c>
      <c r="VMH236" s="1077">
        <v>8298541</v>
      </c>
      <c r="VMI236" s="1077">
        <v>8298541</v>
      </c>
      <c r="VMJ236" s="1077">
        <v>8298541</v>
      </c>
      <c r="VMK236" s="1077">
        <v>8298541</v>
      </c>
      <c r="VML236" s="1077">
        <v>8298541</v>
      </c>
      <c r="VMM236" s="1077">
        <v>8298541</v>
      </c>
      <c r="VMN236" s="1077">
        <v>8298541</v>
      </c>
      <c r="VMO236" s="1077">
        <v>8298541</v>
      </c>
      <c r="VMP236" s="1077">
        <v>8298541</v>
      </c>
      <c r="VMQ236" s="1077">
        <v>8298541</v>
      </c>
      <c r="VMR236" s="1077">
        <v>8298541</v>
      </c>
      <c r="VMS236" s="1077">
        <v>8298541</v>
      </c>
      <c r="VMT236" s="1077">
        <v>8298541</v>
      </c>
      <c r="VMU236" s="1077">
        <v>8298541</v>
      </c>
      <c r="VMV236" s="1077">
        <v>8298541</v>
      </c>
      <c r="VMW236" s="1077">
        <v>8298541</v>
      </c>
      <c r="VMX236" s="1077">
        <v>8298541</v>
      </c>
      <c r="VMY236" s="1077">
        <v>8298541</v>
      </c>
      <c r="VMZ236" s="1077">
        <v>8298541</v>
      </c>
      <c r="VNA236" s="1077">
        <v>8298541</v>
      </c>
      <c r="VNB236" s="1077">
        <v>8298541</v>
      </c>
      <c r="VNC236" s="1077">
        <v>8298541</v>
      </c>
      <c r="VND236" s="1077">
        <v>8298541</v>
      </c>
      <c r="VNE236" s="1077">
        <v>8298541</v>
      </c>
      <c r="VNF236" s="1077">
        <v>8298541</v>
      </c>
      <c r="VNG236" s="1077">
        <v>8298541</v>
      </c>
      <c r="VNH236" s="1077">
        <v>8298541</v>
      </c>
      <c r="VNI236" s="1077">
        <v>8298541</v>
      </c>
      <c r="VNJ236" s="1077">
        <v>8298541</v>
      </c>
      <c r="VNK236" s="1077">
        <v>8298541</v>
      </c>
      <c r="VNL236" s="1077">
        <v>8298541</v>
      </c>
      <c r="VNM236" s="1077">
        <v>8298541</v>
      </c>
      <c r="VNN236" s="1077">
        <v>8298541</v>
      </c>
      <c r="VNO236" s="1077">
        <v>8298541</v>
      </c>
      <c r="VNP236" s="1077">
        <v>8298541</v>
      </c>
      <c r="VNQ236" s="1077">
        <v>8298541</v>
      </c>
      <c r="VNR236" s="1077">
        <v>8298541</v>
      </c>
      <c r="VNS236" s="1077">
        <v>8298541</v>
      </c>
      <c r="VNT236" s="1077">
        <v>8298541</v>
      </c>
      <c r="VNU236" s="1077">
        <v>8298541</v>
      </c>
      <c r="VNV236" s="1077">
        <v>8298541</v>
      </c>
      <c r="VNW236" s="1077">
        <v>8298541</v>
      </c>
      <c r="VNX236" s="1077">
        <v>8298541</v>
      </c>
      <c r="VNY236" s="1077">
        <v>8298541</v>
      </c>
      <c r="VNZ236" s="1077">
        <v>8298541</v>
      </c>
      <c r="VOA236" s="1077">
        <v>8298541</v>
      </c>
      <c r="VOB236" s="1077">
        <v>8298541</v>
      </c>
      <c r="VOC236" s="1077">
        <v>8298541</v>
      </c>
      <c r="VOD236" s="1077">
        <v>8298541</v>
      </c>
      <c r="VOE236" s="1077">
        <v>8298541</v>
      </c>
      <c r="VOF236" s="1077">
        <v>8298541</v>
      </c>
      <c r="VOG236" s="1077">
        <v>8298541</v>
      </c>
      <c r="VOH236" s="1077">
        <v>8298541</v>
      </c>
      <c r="VOI236" s="1077">
        <v>8298541</v>
      </c>
      <c r="VOJ236" s="1077">
        <v>8298541</v>
      </c>
      <c r="VOK236" s="1077">
        <v>8298541</v>
      </c>
      <c r="VOL236" s="1077">
        <v>8298541</v>
      </c>
      <c r="VOM236" s="1077">
        <v>8298541</v>
      </c>
      <c r="VON236" s="1077">
        <v>8298541</v>
      </c>
      <c r="VOO236" s="1077">
        <v>8298541</v>
      </c>
      <c r="VOP236" s="1077">
        <v>8298541</v>
      </c>
      <c r="VOQ236" s="1077">
        <v>8298541</v>
      </c>
      <c r="VOR236" s="1077">
        <v>8298541</v>
      </c>
      <c r="VOS236" s="1077">
        <v>8298541</v>
      </c>
      <c r="VOT236" s="1077">
        <v>8298541</v>
      </c>
      <c r="VOU236" s="1077">
        <v>8298541</v>
      </c>
      <c r="VOV236" s="1077">
        <v>8298541</v>
      </c>
      <c r="VOW236" s="1077">
        <v>8298541</v>
      </c>
      <c r="VOX236" s="1077">
        <v>8298541</v>
      </c>
      <c r="VOY236" s="1077">
        <v>8298541</v>
      </c>
      <c r="VOZ236" s="1077">
        <v>8298541</v>
      </c>
      <c r="VPA236" s="1077">
        <v>8298541</v>
      </c>
      <c r="VPB236" s="1077">
        <v>8298541</v>
      </c>
      <c r="VPC236" s="1077">
        <v>8298541</v>
      </c>
      <c r="VPD236" s="1077">
        <v>8298541</v>
      </c>
      <c r="VPE236" s="1077">
        <v>8298541</v>
      </c>
      <c r="VPF236" s="1077">
        <v>8298541</v>
      </c>
      <c r="VPG236" s="1077">
        <v>8298541</v>
      </c>
      <c r="VPH236" s="1077">
        <v>8298541</v>
      </c>
      <c r="VPI236" s="1077">
        <v>8298541</v>
      </c>
      <c r="VPJ236" s="1077">
        <v>8298541</v>
      </c>
      <c r="VPK236" s="1077">
        <v>8298541</v>
      </c>
      <c r="VPL236" s="1077">
        <v>8298541</v>
      </c>
      <c r="VPM236" s="1077">
        <v>8298541</v>
      </c>
      <c r="VPN236" s="1077">
        <v>8298541</v>
      </c>
      <c r="VPO236" s="1077">
        <v>8298541</v>
      </c>
      <c r="VPP236" s="1077">
        <v>8298541</v>
      </c>
      <c r="VPQ236" s="1077">
        <v>8298541</v>
      </c>
      <c r="VPR236" s="1077">
        <v>8298541</v>
      </c>
      <c r="VPS236" s="1077">
        <v>8298541</v>
      </c>
      <c r="VPT236" s="1077">
        <v>8298541</v>
      </c>
      <c r="VPU236" s="1077">
        <v>8298541</v>
      </c>
      <c r="VPV236" s="1077">
        <v>8298541</v>
      </c>
      <c r="VPW236" s="1077">
        <v>8298541</v>
      </c>
      <c r="VPX236" s="1077">
        <v>8298541</v>
      </c>
      <c r="VPY236" s="1077">
        <v>8298541</v>
      </c>
      <c r="VPZ236" s="1077">
        <v>8298541</v>
      </c>
      <c r="VQA236" s="1077">
        <v>8298541</v>
      </c>
      <c r="VQB236" s="1077">
        <v>8298541</v>
      </c>
      <c r="VQC236" s="1077">
        <v>8298541</v>
      </c>
      <c r="VQD236" s="1077">
        <v>8298541</v>
      </c>
      <c r="VQE236" s="1077">
        <v>8298541</v>
      </c>
      <c r="VQF236" s="1077">
        <v>8298541</v>
      </c>
      <c r="VQG236" s="1077">
        <v>8298541</v>
      </c>
      <c r="VQH236" s="1077">
        <v>8298541</v>
      </c>
      <c r="VQI236" s="1077">
        <v>8298541</v>
      </c>
      <c r="VQJ236" s="1077">
        <v>8298541</v>
      </c>
      <c r="VQK236" s="1077">
        <v>8298541</v>
      </c>
      <c r="VQL236" s="1077">
        <v>8298541</v>
      </c>
      <c r="VQM236" s="1077">
        <v>8298541</v>
      </c>
      <c r="VQN236" s="1077">
        <v>8298541</v>
      </c>
      <c r="VQO236" s="1077">
        <v>8298541</v>
      </c>
      <c r="VQP236" s="1077">
        <v>8298541</v>
      </c>
      <c r="VQQ236" s="1077">
        <v>8298541</v>
      </c>
      <c r="VQR236" s="1077">
        <v>8298541</v>
      </c>
      <c r="VQS236" s="1077">
        <v>8298541</v>
      </c>
      <c r="VQT236" s="1077">
        <v>8298541</v>
      </c>
      <c r="VQU236" s="1077">
        <v>8298541</v>
      </c>
      <c r="VQV236" s="1077">
        <v>8298541</v>
      </c>
      <c r="VQW236" s="1077">
        <v>8298541</v>
      </c>
      <c r="VQX236" s="1077">
        <v>8298541</v>
      </c>
      <c r="VQY236" s="1077">
        <v>8298541</v>
      </c>
      <c r="VQZ236" s="1077">
        <v>8298541</v>
      </c>
      <c r="VRA236" s="1077">
        <v>8298541</v>
      </c>
      <c r="VRB236" s="1077">
        <v>8298541</v>
      </c>
      <c r="VRC236" s="1077">
        <v>8298541</v>
      </c>
      <c r="VRD236" s="1077">
        <v>8298541</v>
      </c>
      <c r="VRE236" s="1077">
        <v>8298541</v>
      </c>
      <c r="VRF236" s="1077">
        <v>8298541</v>
      </c>
      <c r="VRG236" s="1077">
        <v>8298541</v>
      </c>
      <c r="VRH236" s="1077">
        <v>8298541</v>
      </c>
      <c r="VRI236" s="1077">
        <v>8298541</v>
      </c>
      <c r="VRJ236" s="1077">
        <v>8298541</v>
      </c>
      <c r="VRK236" s="1077">
        <v>8298541</v>
      </c>
      <c r="VRL236" s="1077">
        <v>8298541</v>
      </c>
      <c r="VRM236" s="1077">
        <v>8298541</v>
      </c>
      <c r="VRN236" s="1077">
        <v>8298541</v>
      </c>
      <c r="VRO236" s="1077">
        <v>8298541</v>
      </c>
      <c r="VRP236" s="1077">
        <v>8298541</v>
      </c>
      <c r="VRQ236" s="1077">
        <v>8298541</v>
      </c>
      <c r="VRR236" s="1077">
        <v>8298541</v>
      </c>
      <c r="VRS236" s="1077">
        <v>8298541</v>
      </c>
      <c r="VRT236" s="1077">
        <v>8298541</v>
      </c>
      <c r="VRU236" s="1077">
        <v>8298541</v>
      </c>
      <c r="VRV236" s="1077">
        <v>8298541</v>
      </c>
      <c r="VRW236" s="1077">
        <v>8298541</v>
      </c>
      <c r="VRX236" s="1077">
        <v>8298541</v>
      </c>
      <c r="VRY236" s="1077">
        <v>8298541</v>
      </c>
      <c r="VRZ236" s="1077">
        <v>8298541</v>
      </c>
      <c r="VSA236" s="1077">
        <v>8298541</v>
      </c>
      <c r="VSB236" s="1077">
        <v>8298541</v>
      </c>
      <c r="VSC236" s="1077">
        <v>8298541</v>
      </c>
      <c r="VSD236" s="1077">
        <v>8298541</v>
      </c>
      <c r="VSE236" s="1077">
        <v>8298541</v>
      </c>
      <c r="VSF236" s="1077">
        <v>8298541</v>
      </c>
      <c r="VSG236" s="1077">
        <v>8298541</v>
      </c>
      <c r="VSH236" s="1077">
        <v>8298541</v>
      </c>
      <c r="VSI236" s="1077">
        <v>8298541</v>
      </c>
      <c r="VSJ236" s="1077">
        <v>8298541</v>
      </c>
      <c r="VSK236" s="1077">
        <v>8298541</v>
      </c>
      <c r="VSL236" s="1077">
        <v>8298541</v>
      </c>
      <c r="VSM236" s="1077">
        <v>8298541</v>
      </c>
      <c r="VSN236" s="1077">
        <v>8298541</v>
      </c>
      <c r="VSO236" s="1077">
        <v>8298541</v>
      </c>
      <c r="VSP236" s="1077">
        <v>8298541</v>
      </c>
      <c r="VSQ236" s="1077">
        <v>8298541</v>
      </c>
      <c r="VSR236" s="1077">
        <v>8298541</v>
      </c>
      <c r="VSS236" s="1077">
        <v>8298541</v>
      </c>
      <c r="VST236" s="1077">
        <v>8298541</v>
      </c>
      <c r="VSU236" s="1077">
        <v>8298541</v>
      </c>
      <c r="VSV236" s="1077">
        <v>8298541</v>
      </c>
      <c r="VSW236" s="1077">
        <v>8298541</v>
      </c>
      <c r="VSX236" s="1077">
        <v>8298541</v>
      </c>
      <c r="VSY236" s="1077">
        <v>8298541</v>
      </c>
      <c r="VSZ236" s="1077">
        <v>8298541</v>
      </c>
      <c r="VTA236" s="1077">
        <v>8298541</v>
      </c>
      <c r="VTB236" s="1077">
        <v>8298541</v>
      </c>
      <c r="VTC236" s="1077">
        <v>8298541</v>
      </c>
      <c r="VTD236" s="1077">
        <v>8298541</v>
      </c>
      <c r="VTE236" s="1077">
        <v>8298541</v>
      </c>
      <c r="VTF236" s="1077">
        <v>8298541</v>
      </c>
      <c r="VTG236" s="1077">
        <v>8298541</v>
      </c>
      <c r="VTH236" s="1077">
        <v>8298541</v>
      </c>
      <c r="VTI236" s="1077">
        <v>8298541</v>
      </c>
      <c r="VTJ236" s="1077">
        <v>8298541</v>
      </c>
      <c r="VTK236" s="1077">
        <v>8298541</v>
      </c>
      <c r="VTL236" s="1077">
        <v>8298541</v>
      </c>
      <c r="VTM236" s="1077">
        <v>8298541</v>
      </c>
      <c r="VTN236" s="1077">
        <v>8298541</v>
      </c>
      <c r="VTO236" s="1077">
        <v>8298541</v>
      </c>
      <c r="VTP236" s="1077">
        <v>8298541</v>
      </c>
      <c r="VTQ236" s="1077">
        <v>8298541</v>
      </c>
      <c r="VTR236" s="1077">
        <v>8298541</v>
      </c>
      <c r="VTS236" s="1077">
        <v>8298541</v>
      </c>
      <c r="VTT236" s="1077">
        <v>8298541</v>
      </c>
      <c r="VTU236" s="1077">
        <v>8298541</v>
      </c>
      <c r="VTV236" s="1077">
        <v>8298541</v>
      </c>
      <c r="VTW236" s="1077">
        <v>8298541</v>
      </c>
      <c r="VTX236" s="1077">
        <v>8298541</v>
      </c>
      <c r="VTY236" s="1077">
        <v>8298541</v>
      </c>
      <c r="VTZ236" s="1077">
        <v>8298541</v>
      </c>
      <c r="VUA236" s="1077">
        <v>8298541</v>
      </c>
      <c r="VUB236" s="1077">
        <v>8298541</v>
      </c>
      <c r="VUC236" s="1077">
        <v>8298541</v>
      </c>
      <c r="VUD236" s="1077">
        <v>8298541</v>
      </c>
      <c r="VUE236" s="1077">
        <v>8298541</v>
      </c>
      <c r="VUF236" s="1077">
        <v>8298541</v>
      </c>
      <c r="VUG236" s="1077">
        <v>8298541</v>
      </c>
      <c r="VUH236" s="1077">
        <v>8298541</v>
      </c>
      <c r="VUI236" s="1077">
        <v>8298541</v>
      </c>
      <c r="VUJ236" s="1077">
        <v>8298541</v>
      </c>
      <c r="VUK236" s="1077">
        <v>8298541</v>
      </c>
      <c r="VUL236" s="1077">
        <v>8298541</v>
      </c>
      <c r="VUM236" s="1077">
        <v>8298541</v>
      </c>
      <c r="VUN236" s="1077">
        <v>8298541</v>
      </c>
      <c r="VUO236" s="1077">
        <v>8298541</v>
      </c>
      <c r="VUP236" s="1077">
        <v>8298541</v>
      </c>
      <c r="VUQ236" s="1077">
        <v>8298541</v>
      </c>
      <c r="VUR236" s="1077">
        <v>8298541</v>
      </c>
      <c r="VUS236" s="1077">
        <v>8298541</v>
      </c>
      <c r="VUT236" s="1077">
        <v>8298541</v>
      </c>
      <c r="VUU236" s="1077">
        <v>8298541</v>
      </c>
      <c r="VUV236" s="1077">
        <v>8298541</v>
      </c>
      <c r="VUW236" s="1077">
        <v>8298541</v>
      </c>
      <c r="VUX236" s="1077">
        <v>8298541</v>
      </c>
      <c r="VUY236" s="1077">
        <v>8298541</v>
      </c>
      <c r="VUZ236" s="1077">
        <v>8298541</v>
      </c>
      <c r="VVA236" s="1077">
        <v>8298541</v>
      </c>
      <c r="VVB236" s="1077">
        <v>8298541</v>
      </c>
      <c r="VVC236" s="1077">
        <v>8298541</v>
      </c>
      <c r="VVD236" s="1077">
        <v>8298541</v>
      </c>
      <c r="VVE236" s="1077">
        <v>8298541</v>
      </c>
      <c r="VVF236" s="1077">
        <v>8298541</v>
      </c>
      <c r="VVG236" s="1077">
        <v>8298541</v>
      </c>
      <c r="VVH236" s="1077">
        <v>8298541</v>
      </c>
      <c r="VVI236" s="1077">
        <v>8298541</v>
      </c>
      <c r="VVJ236" s="1077">
        <v>8298541</v>
      </c>
      <c r="VVK236" s="1077">
        <v>8298541</v>
      </c>
      <c r="VVL236" s="1077">
        <v>8298541</v>
      </c>
      <c r="VVM236" s="1077">
        <v>8298541</v>
      </c>
      <c r="VVN236" s="1077">
        <v>8298541</v>
      </c>
      <c r="VVO236" s="1077">
        <v>8298541</v>
      </c>
      <c r="VVP236" s="1077">
        <v>8298541</v>
      </c>
      <c r="VVQ236" s="1077">
        <v>8298541</v>
      </c>
      <c r="VVR236" s="1077">
        <v>8298541</v>
      </c>
      <c r="VVS236" s="1077">
        <v>8298541</v>
      </c>
      <c r="VVT236" s="1077">
        <v>8298541</v>
      </c>
      <c r="VVU236" s="1077">
        <v>8298541</v>
      </c>
      <c r="VVV236" s="1077">
        <v>8298541</v>
      </c>
      <c r="VVW236" s="1077">
        <v>8298541</v>
      </c>
      <c r="VVX236" s="1077">
        <v>8298541</v>
      </c>
      <c r="VVY236" s="1077">
        <v>8298541</v>
      </c>
      <c r="VVZ236" s="1077">
        <v>8298541</v>
      </c>
      <c r="VWA236" s="1077">
        <v>8298541</v>
      </c>
      <c r="VWB236" s="1077">
        <v>8298541</v>
      </c>
      <c r="VWC236" s="1077">
        <v>8298541</v>
      </c>
      <c r="VWD236" s="1077">
        <v>8298541</v>
      </c>
      <c r="VWE236" s="1077">
        <v>8298541</v>
      </c>
      <c r="VWF236" s="1077">
        <v>8298541</v>
      </c>
      <c r="VWG236" s="1077">
        <v>8298541</v>
      </c>
      <c r="VWH236" s="1077">
        <v>8298541</v>
      </c>
      <c r="VWI236" s="1077">
        <v>8298541</v>
      </c>
      <c r="VWJ236" s="1077">
        <v>8298541</v>
      </c>
      <c r="VWK236" s="1077">
        <v>8298541</v>
      </c>
      <c r="VWL236" s="1077">
        <v>8298541</v>
      </c>
      <c r="VWM236" s="1077">
        <v>8298541</v>
      </c>
      <c r="VWN236" s="1077">
        <v>8298541</v>
      </c>
      <c r="VWO236" s="1077">
        <v>8298541</v>
      </c>
      <c r="VWP236" s="1077">
        <v>8298541</v>
      </c>
      <c r="VWQ236" s="1077">
        <v>8298541</v>
      </c>
      <c r="VWR236" s="1077">
        <v>8298541</v>
      </c>
      <c r="VWS236" s="1077">
        <v>8298541</v>
      </c>
      <c r="VWT236" s="1077">
        <v>8298541</v>
      </c>
      <c r="VWU236" s="1077">
        <v>8298541</v>
      </c>
      <c r="VWV236" s="1077">
        <v>8298541</v>
      </c>
      <c r="VWW236" s="1077">
        <v>8298541</v>
      </c>
      <c r="VWX236" s="1077">
        <v>8298541</v>
      </c>
      <c r="VWY236" s="1077">
        <v>8298541</v>
      </c>
      <c r="VWZ236" s="1077">
        <v>8298541</v>
      </c>
      <c r="VXA236" s="1077">
        <v>8298541</v>
      </c>
      <c r="VXB236" s="1077">
        <v>8298541</v>
      </c>
      <c r="VXC236" s="1077">
        <v>8298541</v>
      </c>
      <c r="VXD236" s="1077">
        <v>8298541</v>
      </c>
      <c r="VXE236" s="1077">
        <v>8298541</v>
      </c>
      <c r="VXF236" s="1077">
        <v>8298541</v>
      </c>
      <c r="VXG236" s="1077">
        <v>8298541</v>
      </c>
      <c r="VXH236" s="1077">
        <v>8298541</v>
      </c>
      <c r="VXI236" s="1077">
        <v>8298541</v>
      </c>
      <c r="VXJ236" s="1077">
        <v>8298541</v>
      </c>
      <c r="VXK236" s="1077">
        <v>8298541</v>
      </c>
      <c r="VXL236" s="1077">
        <v>8298541</v>
      </c>
      <c r="VXM236" s="1077">
        <v>8298541</v>
      </c>
      <c r="VXN236" s="1077">
        <v>8298541</v>
      </c>
      <c r="VXO236" s="1077">
        <v>8298541</v>
      </c>
      <c r="VXP236" s="1077">
        <v>8298541</v>
      </c>
      <c r="VXQ236" s="1077">
        <v>8298541</v>
      </c>
      <c r="VXR236" s="1077">
        <v>8298541</v>
      </c>
      <c r="VXS236" s="1077">
        <v>8298541</v>
      </c>
      <c r="VXT236" s="1077">
        <v>8298541</v>
      </c>
      <c r="VXU236" s="1077">
        <v>8298541</v>
      </c>
      <c r="VXV236" s="1077">
        <v>8298541</v>
      </c>
      <c r="VXW236" s="1077">
        <v>8298541</v>
      </c>
      <c r="VXX236" s="1077">
        <v>8298541</v>
      </c>
      <c r="VXY236" s="1077">
        <v>8298541</v>
      </c>
      <c r="VXZ236" s="1077">
        <v>8298541</v>
      </c>
      <c r="VYA236" s="1077">
        <v>8298541</v>
      </c>
      <c r="VYB236" s="1077">
        <v>8298541</v>
      </c>
      <c r="VYC236" s="1077">
        <v>8298541</v>
      </c>
      <c r="VYD236" s="1077">
        <v>8298541</v>
      </c>
      <c r="VYE236" s="1077">
        <v>8298541</v>
      </c>
      <c r="VYF236" s="1077">
        <v>8298541</v>
      </c>
      <c r="VYG236" s="1077">
        <v>8298541</v>
      </c>
      <c r="VYH236" s="1077">
        <v>8298541</v>
      </c>
      <c r="VYI236" s="1077">
        <v>8298541</v>
      </c>
      <c r="VYJ236" s="1077">
        <v>8298541</v>
      </c>
      <c r="VYK236" s="1077">
        <v>8298541</v>
      </c>
      <c r="VYL236" s="1077">
        <v>8298541</v>
      </c>
      <c r="VYM236" s="1077">
        <v>8298541</v>
      </c>
      <c r="VYN236" s="1077">
        <v>8298541</v>
      </c>
      <c r="VYO236" s="1077">
        <v>8298541</v>
      </c>
      <c r="VYP236" s="1077">
        <v>8298541</v>
      </c>
      <c r="VYQ236" s="1077">
        <v>8298541</v>
      </c>
      <c r="VYR236" s="1077">
        <v>8298541</v>
      </c>
      <c r="VYS236" s="1077">
        <v>8298541</v>
      </c>
      <c r="VYT236" s="1077">
        <v>8298541</v>
      </c>
      <c r="VYU236" s="1077">
        <v>8298541</v>
      </c>
      <c r="VYV236" s="1077">
        <v>8298541</v>
      </c>
      <c r="VYW236" s="1077">
        <v>8298541</v>
      </c>
      <c r="VYX236" s="1077">
        <v>8298541</v>
      </c>
      <c r="VYY236" s="1077">
        <v>8298541</v>
      </c>
      <c r="VYZ236" s="1077">
        <v>8298541</v>
      </c>
      <c r="VZA236" s="1077">
        <v>8298541</v>
      </c>
      <c r="VZB236" s="1077">
        <v>8298541</v>
      </c>
      <c r="VZC236" s="1077">
        <v>8298541</v>
      </c>
      <c r="VZD236" s="1077">
        <v>8298541</v>
      </c>
      <c r="VZE236" s="1077">
        <v>8298541</v>
      </c>
      <c r="VZF236" s="1077">
        <v>8298541</v>
      </c>
      <c r="VZG236" s="1077">
        <v>8298541</v>
      </c>
      <c r="VZH236" s="1077">
        <v>8298541</v>
      </c>
      <c r="VZI236" s="1077">
        <v>8298541</v>
      </c>
      <c r="VZJ236" s="1077">
        <v>8298541</v>
      </c>
      <c r="VZK236" s="1077">
        <v>8298541</v>
      </c>
      <c r="VZL236" s="1077">
        <v>8298541</v>
      </c>
      <c r="VZM236" s="1077">
        <v>8298541</v>
      </c>
      <c r="VZN236" s="1077">
        <v>8298541</v>
      </c>
      <c r="VZO236" s="1077">
        <v>8298541</v>
      </c>
      <c r="VZP236" s="1077">
        <v>8298541</v>
      </c>
      <c r="VZQ236" s="1077">
        <v>8298541</v>
      </c>
      <c r="VZR236" s="1077">
        <v>8298541</v>
      </c>
      <c r="VZS236" s="1077">
        <v>8298541</v>
      </c>
      <c r="VZT236" s="1077">
        <v>8298541</v>
      </c>
      <c r="VZU236" s="1077">
        <v>8298541</v>
      </c>
      <c r="VZV236" s="1077">
        <v>8298541</v>
      </c>
      <c r="VZW236" s="1077">
        <v>8298541</v>
      </c>
      <c r="VZX236" s="1077">
        <v>8298541</v>
      </c>
      <c r="VZY236" s="1077">
        <v>8298541</v>
      </c>
      <c r="VZZ236" s="1077">
        <v>8298541</v>
      </c>
      <c r="WAA236" s="1077">
        <v>8298541</v>
      </c>
      <c r="WAB236" s="1077">
        <v>8298541</v>
      </c>
      <c r="WAC236" s="1077">
        <v>8298541</v>
      </c>
      <c r="WAD236" s="1077">
        <v>8298541</v>
      </c>
      <c r="WAE236" s="1077">
        <v>8298541</v>
      </c>
      <c r="WAF236" s="1077">
        <v>8298541</v>
      </c>
      <c r="WAG236" s="1077">
        <v>8298541</v>
      </c>
      <c r="WAH236" s="1077">
        <v>8298541</v>
      </c>
      <c r="WAI236" s="1077">
        <v>8298541</v>
      </c>
      <c r="WAJ236" s="1077">
        <v>8298541</v>
      </c>
      <c r="WAK236" s="1077">
        <v>8298541</v>
      </c>
      <c r="WAL236" s="1077">
        <v>8298541</v>
      </c>
      <c r="WAM236" s="1077">
        <v>8298541</v>
      </c>
      <c r="WAN236" s="1077">
        <v>8298541</v>
      </c>
      <c r="WAO236" s="1077">
        <v>8298541</v>
      </c>
      <c r="WAP236" s="1077">
        <v>8298541</v>
      </c>
      <c r="WAQ236" s="1077">
        <v>8298541</v>
      </c>
      <c r="WAR236" s="1077">
        <v>8298541</v>
      </c>
      <c r="WAS236" s="1077">
        <v>8298541</v>
      </c>
      <c r="WAT236" s="1077">
        <v>8298541</v>
      </c>
      <c r="WAU236" s="1077">
        <v>8298541</v>
      </c>
      <c r="WAV236" s="1077">
        <v>8298541</v>
      </c>
      <c r="WAW236" s="1077">
        <v>8298541</v>
      </c>
      <c r="WAX236" s="1077">
        <v>8298541</v>
      </c>
      <c r="WAY236" s="1077">
        <v>8298541</v>
      </c>
      <c r="WAZ236" s="1077">
        <v>8298541</v>
      </c>
      <c r="WBA236" s="1077">
        <v>8298541</v>
      </c>
      <c r="WBB236" s="1077">
        <v>8298541</v>
      </c>
      <c r="WBC236" s="1077">
        <v>8298541</v>
      </c>
      <c r="WBD236" s="1077">
        <v>8298541</v>
      </c>
      <c r="WBE236" s="1077">
        <v>8298541</v>
      </c>
      <c r="WBF236" s="1077">
        <v>8298541</v>
      </c>
      <c r="WBG236" s="1077">
        <v>8298541</v>
      </c>
      <c r="WBH236" s="1077">
        <v>8298541</v>
      </c>
      <c r="WBI236" s="1077">
        <v>8298541</v>
      </c>
      <c r="WBJ236" s="1077">
        <v>8298541</v>
      </c>
      <c r="WBK236" s="1077">
        <v>8298541</v>
      </c>
      <c r="WBL236" s="1077">
        <v>8298541</v>
      </c>
      <c r="WBM236" s="1077">
        <v>8298541</v>
      </c>
      <c r="WBN236" s="1077">
        <v>8298541</v>
      </c>
      <c r="WBO236" s="1077">
        <v>8298541</v>
      </c>
      <c r="WBP236" s="1077">
        <v>8298541</v>
      </c>
      <c r="WBQ236" s="1077">
        <v>8298541</v>
      </c>
      <c r="WBR236" s="1077">
        <v>8298541</v>
      </c>
      <c r="WBS236" s="1077">
        <v>8298541</v>
      </c>
      <c r="WBT236" s="1077">
        <v>8298541</v>
      </c>
      <c r="WBU236" s="1077">
        <v>8298541</v>
      </c>
      <c r="WBV236" s="1077">
        <v>8298541</v>
      </c>
      <c r="WBW236" s="1077">
        <v>8298541</v>
      </c>
      <c r="WBX236" s="1077">
        <v>8298541</v>
      </c>
      <c r="WBY236" s="1077">
        <v>8298541</v>
      </c>
      <c r="WBZ236" s="1077">
        <v>8298541</v>
      </c>
      <c r="WCA236" s="1077">
        <v>8298541</v>
      </c>
      <c r="WCB236" s="1077">
        <v>8298541</v>
      </c>
      <c r="WCC236" s="1077">
        <v>8298541</v>
      </c>
      <c r="WCD236" s="1077">
        <v>8298541</v>
      </c>
      <c r="WCE236" s="1077">
        <v>8298541</v>
      </c>
      <c r="WCF236" s="1077">
        <v>8298541</v>
      </c>
      <c r="WCG236" s="1077">
        <v>8298541</v>
      </c>
      <c r="WCH236" s="1077">
        <v>8298541</v>
      </c>
      <c r="WCI236" s="1077">
        <v>8298541</v>
      </c>
      <c r="WCJ236" s="1077">
        <v>8298541</v>
      </c>
      <c r="WCK236" s="1077">
        <v>8298541</v>
      </c>
      <c r="WCL236" s="1077">
        <v>8298541</v>
      </c>
      <c r="WCM236" s="1077">
        <v>8298541</v>
      </c>
      <c r="WCN236" s="1077">
        <v>8298541</v>
      </c>
      <c r="WCO236" s="1077">
        <v>8298541</v>
      </c>
      <c r="WCP236" s="1077">
        <v>8298541</v>
      </c>
      <c r="WCQ236" s="1077">
        <v>8298541</v>
      </c>
      <c r="WCR236" s="1077">
        <v>8298541</v>
      </c>
      <c r="WCS236" s="1077">
        <v>8298541</v>
      </c>
      <c r="WCT236" s="1077">
        <v>8298541</v>
      </c>
      <c r="WCU236" s="1077">
        <v>8298541</v>
      </c>
      <c r="WCV236" s="1077">
        <v>8298541</v>
      </c>
      <c r="WCW236" s="1077">
        <v>8298541</v>
      </c>
      <c r="WCX236" s="1077">
        <v>8298541</v>
      </c>
      <c r="WCY236" s="1077">
        <v>8298541</v>
      </c>
      <c r="WCZ236" s="1077">
        <v>8298541</v>
      </c>
      <c r="WDA236" s="1077">
        <v>8298541</v>
      </c>
      <c r="WDB236" s="1077">
        <v>8298541</v>
      </c>
      <c r="WDC236" s="1077">
        <v>8298541</v>
      </c>
      <c r="WDD236" s="1077">
        <v>8298541</v>
      </c>
      <c r="WDE236" s="1077">
        <v>8298541</v>
      </c>
      <c r="WDF236" s="1077">
        <v>8298541</v>
      </c>
      <c r="WDG236" s="1077">
        <v>8298541</v>
      </c>
      <c r="WDH236" s="1077">
        <v>8298541</v>
      </c>
      <c r="WDI236" s="1077">
        <v>8298541</v>
      </c>
      <c r="WDJ236" s="1077">
        <v>8298541</v>
      </c>
      <c r="WDK236" s="1077">
        <v>8298541</v>
      </c>
      <c r="WDL236" s="1077">
        <v>8298541</v>
      </c>
      <c r="WDM236" s="1077">
        <v>8298541</v>
      </c>
      <c r="WDN236" s="1077">
        <v>8298541</v>
      </c>
      <c r="WDO236" s="1077">
        <v>8298541</v>
      </c>
      <c r="WDP236" s="1077">
        <v>8298541</v>
      </c>
      <c r="WDQ236" s="1077">
        <v>8298541</v>
      </c>
      <c r="WDR236" s="1077">
        <v>8298541</v>
      </c>
      <c r="WDS236" s="1077">
        <v>8298541</v>
      </c>
      <c r="WDT236" s="1077">
        <v>8298541</v>
      </c>
      <c r="WDU236" s="1077">
        <v>8298541</v>
      </c>
      <c r="WDV236" s="1077">
        <v>8298541</v>
      </c>
      <c r="WDW236" s="1077">
        <v>8298541</v>
      </c>
      <c r="WDX236" s="1077">
        <v>8298541</v>
      </c>
      <c r="WDY236" s="1077">
        <v>8298541</v>
      </c>
      <c r="WDZ236" s="1077">
        <v>8298541</v>
      </c>
      <c r="WEA236" s="1077">
        <v>8298541</v>
      </c>
      <c r="WEB236" s="1077">
        <v>8298541</v>
      </c>
      <c r="WEC236" s="1077">
        <v>8298541</v>
      </c>
      <c r="WED236" s="1077">
        <v>8298541</v>
      </c>
      <c r="WEE236" s="1077">
        <v>8298541</v>
      </c>
      <c r="WEF236" s="1077">
        <v>8298541</v>
      </c>
      <c r="WEG236" s="1077">
        <v>8298541</v>
      </c>
      <c r="WEH236" s="1077">
        <v>8298541</v>
      </c>
      <c r="WEI236" s="1077">
        <v>8298541</v>
      </c>
      <c r="WEJ236" s="1077">
        <v>8298541</v>
      </c>
      <c r="WEK236" s="1077">
        <v>8298541</v>
      </c>
      <c r="WEL236" s="1077">
        <v>8298541</v>
      </c>
      <c r="WEM236" s="1077">
        <v>8298541</v>
      </c>
      <c r="WEN236" s="1077">
        <v>8298541</v>
      </c>
      <c r="WEO236" s="1077">
        <v>8298541</v>
      </c>
      <c r="WEP236" s="1077">
        <v>8298541</v>
      </c>
      <c r="WEQ236" s="1077">
        <v>8298541</v>
      </c>
      <c r="WER236" s="1077">
        <v>8298541</v>
      </c>
      <c r="WES236" s="1077">
        <v>8298541</v>
      </c>
      <c r="WET236" s="1077">
        <v>8298541</v>
      </c>
      <c r="WEU236" s="1077">
        <v>8298541</v>
      </c>
      <c r="WEV236" s="1077">
        <v>8298541</v>
      </c>
      <c r="WEW236" s="1077">
        <v>8298541</v>
      </c>
      <c r="WEX236" s="1077">
        <v>8298541</v>
      </c>
      <c r="WEY236" s="1077">
        <v>8298541</v>
      </c>
      <c r="WEZ236" s="1077">
        <v>8298541</v>
      </c>
      <c r="WFA236" s="1077">
        <v>8298541</v>
      </c>
      <c r="WFB236" s="1077">
        <v>8298541</v>
      </c>
      <c r="WFC236" s="1077">
        <v>8298541</v>
      </c>
      <c r="WFD236" s="1077">
        <v>8298541</v>
      </c>
      <c r="WFE236" s="1077">
        <v>8298541</v>
      </c>
      <c r="WFF236" s="1077">
        <v>8298541</v>
      </c>
      <c r="WFG236" s="1077">
        <v>8298541</v>
      </c>
      <c r="WFH236" s="1077">
        <v>8298541</v>
      </c>
      <c r="WFI236" s="1077">
        <v>8298541</v>
      </c>
      <c r="WFJ236" s="1077">
        <v>8298541</v>
      </c>
      <c r="WFK236" s="1077">
        <v>8298541</v>
      </c>
      <c r="WFL236" s="1077">
        <v>8298541</v>
      </c>
      <c r="WFM236" s="1077">
        <v>8298541</v>
      </c>
      <c r="WFN236" s="1077">
        <v>8298541</v>
      </c>
      <c r="WFO236" s="1077">
        <v>8298541</v>
      </c>
      <c r="WFP236" s="1077">
        <v>8298541</v>
      </c>
      <c r="WFQ236" s="1077">
        <v>8298541</v>
      </c>
      <c r="WFR236" s="1077">
        <v>8298541</v>
      </c>
      <c r="WFS236" s="1077">
        <v>8298541</v>
      </c>
      <c r="WFT236" s="1077">
        <v>8298541</v>
      </c>
      <c r="WFU236" s="1077">
        <v>8298541</v>
      </c>
      <c r="WFV236" s="1077">
        <v>8298541</v>
      </c>
      <c r="WFW236" s="1077">
        <v>8298541</v>
      </c>
      <c r="WFX236" s="1077">
        <v>8298541</v>
      </c>
      <c r="WFY236" s="1077">
        <v>8298541</v>
      </c>
      <c r="WFZ236" s="1077">
        <v>8298541</v>
      </c>
      <c r="WGA236" s="1077">
        <v>8298541</v>
      </c>
      <c r="WGB236" s="1077">
        <v>8298541</v>
      </c>
      <c r="WGC236" s="1077">
        <v>8298541</v>
      </c>
      <c r="WGD236" s="1077">
        <v>8298541</v>
      </c>
      <c r="WGE236" s="1077">
        <v>8298541</v>
      </c>
      <c r="WGF236" s="1077">
        <v>8298541</v>
      </c>
      <c r="WGG236" s="1077">
        <v>8298541</v>
      </c>
      <c r="WGH236" s="1077">
        <v>8298541</v>
      </c>
      <c r="WGI236" s="1077">
        <v>8298541</v>
      </c>
      <c r="WGJ236" s="1077">
        <v>8298541</v>
      </c>
      <c r="WGK236" s="1077">
        <v>8298541</v>
      </c>
      <c r="WGL236" s="1077">
        <v>8298541</v>
      </c>
      <c r="WGM236" s="1077">
        <v>8298541</v>
      </c>
      <c r="WGN236" s="1077">
        <v>8298541</v>
      </c>
      <c r="WGO236" s="1077">
        <v>8298541</v>
      </c>
      <c r="WGP236" s="1077">
        <v>8298541</v>
      </c>
      <c r="WGQ236" s="1077">
        <v>8298541</v>
      </c>
      <c r="WGR236" s="1077">
        <v>8298541</v>
      </c>
      <c r="WGS236" s="1077">
        <v>8298541</v>
      </c>
      <c r="WGT236" s="1077">
        <v>8298541</v>
      </c>
      <c r="WGU236" s="1077">
        <v>8298541</v>
      </c>
      <c r="WGV236" s="1077">
        <v>8298541</v>
      </c>
      <c r="WGW236" s="1077">
        <v>8298541</v>
      </c>
      <c r="WGX236" s="1077">
        <v>8298541</v>
      </c>
      <c r="WGY236" s="1077">
        <v>8298541</v>
      </c>
      <c r="WGZ236" s="1077">
        <v>8298541</v>
      </c>
      <c r="WHA236" s="1077">
        <v>8298541</v>
      </c>
      <c r="WHB236" s="1077">
        <v>8298541</v>
      </c>
      <c r="WHC236" s="1077">
        <v>8298541</v>
      </c>
      <c r="WHD236" s="1077">
        <v>8298541</v>
      </c>
      <c r="WHE236" s="1077">
        <v>8298541</v>
      </c>
      <c r="WHF236" s="1077">
        <v>8298541</v>
      </c>
      <c r="WHG236" s="1077">
        <v>8298541</v>
      </c>
      <c r="WHH236" s="1077">
        <v>8298541</v>
      </c>
      <c r="WHI236" s="1077">
        <v>8298541</v>
      </c>
      <c r="WHJ236" s="1077">
        <v>8298541</v>
      </c>
      <c r="WHK236" s="1077">
        <v>8298541</v>
      </c>
      <c r="WHL236" s="1077">
        <v>8298541</v>
      </c>
      <c r="WHM236" s="1077">
        <v>8298541</v>
      </c>
      <c r="WHN236" s="1077">
        <v>8298541</v>
      </c>
      <c r="WHO236" s="1077">
        <v>8298541</v>
      </c>
      <c r="WHP236" s="1077">
        <v>8298541</v>
      </c>
      <c r="WHQ236" s="1077">
        <v>8298541</v>
      </c>
      <c r="WHR236" s="1077">
        <v>8298541</v>
      </c>
      <c r="WHS236" s="1077">
        <v>8298541</v>
      </c>
      <c r="WHT236" s="1077">
        <v>8298541</v>
      </c>
      <c r="WHU236" s="1077">
        <v>8298541</v>
      </c>
      <c r="WHV236" s="1077">
        <v>8298541</v>
      </c>
      <c r="WHW236" s="1077">
        <v>8298541</v>
      </c>
      <c r="WHX236" s="1077">
        <v>8298541</v>
      </c>
      <c r="WHY236" s="1077">
        <v>8298541</v>
      </c>
      <c r="WHZ236" s="1077">
        <v>8298541</v>
      </c>
      <c r="WIA236" s="1077">
        <v>8298541</v>
      </c>
      <c r="WIB236" s="1077">
        <v>8298541</v>
      </c>
      <c r="WIC236" s="1077">
        <v>8298541</v>
      </c>
      <c r="WID236" s="1077">
        <v>8298541</v>
      </c>
      <c r="WIE236" s="1077">
        <v>8298541</v>
      </c>
      <c r="WIF236" s="1077">
        <v>8298541</v>
      </c>
      <c r="WIG236" s="1077">
        <v>8298541</v>
      </c>
      <c r="WIH236" s="1077">
        <v>8298541</v>
      </c>
      <c r="WII236" s="1077">
        <v>8298541</v>
      </c>
      <c r="WIJ236" s="1077">
        <v>8298541</v>
      </c>
      <c r="WIK236" s="1077">
        <v>8298541</v>
      </c>
      <c r="WIL236" s="1077">
        <v>8298541</v>
      </c>
      <c r="WIM236" s="1077">
        <v>8298541</v>
      </c>
      <c r="WIN236" s="1077">
        <v>8298541</v>
      </c>
      <c r="WIO236" s="1077">
        <v>8298541</v>
      </c>
      <c r="WIP236" s="1077">
        <v>8298541</v>
      </c>
      <c r="WIQ236" s="1077">
        <v>8298541</v>
      </c>
      <c r="WIR236" s="1077">
        <v>8298541</v>
      </c>
      <c r="WIS236" s="1077">
        <v>8298541</v>
      </c>
      <c r="WIT236" s="1077">
        <v>8298541</v>
      </c>
      <c r="WIU236" s="1077">
        <v>8298541</v>
      </c>
      <c r="WIV236" s="1077">
        <v>8298541</v>
      </c>
      <c r="WIW236" s="1077">
        <v>8298541</v>
      </c>
      <c r="WIX236" s="1077">
        <v>8298541</v>
      </c>
      <c r="WIY236" s="1077">
        <v>8298541</v>
      </c>
      <c r="WIZ236" s="1077">
        <v>8298541</v>
      </c>
      <c r="WJA236" s="1077">
        <v>8298541</v>
      </c>
      <c r="WJB236" s="1077">
        <v>8298541</v>
      </c>
      <c r="WJC236" s="1077">
        <v>8298541</v>
      </c>
      <c r="WJD236" s="1077">
        <v>8298541</v>
      </c>
      <c r="WJE236" s="1077">
        <v>8298541</v>
      </c>
      <c r="WJF236" s="1077">
        <v>8298541</v>
      </c>
      <c r="WJG236" s="1077">
        <v>8298541</v>
      </c>
      <c r="WJH236" s="1077">
        <v>8298541</v>
      </c>
      <c r="WJI236" s="1077">
        <v>8298541</v>
      </c>
      <c r="WJJ236" s="1077">
        <v>8298541</v>
      </c>
      <c r="WJK236" s="1077">
        <v>8298541</v>
      </c>
      <c r="WJL236" s="1077">
        <v>8298541</v>
      </c>
      <c r="WJM236" s="1077">
        <v>8298541</v>
      </c>
      <c r="WJN236" s="1077">
        <v>8298541</v>
      </c>
      <c r="WJO236" s="1077">
        <v>8298541</v>
      </c>
      <c r="WJP236" s="1077">
        <v>8298541</v>
      </c>
      <c r="WJQ236" s="1077">
        <v>8298541</v>
      </c>
      <c r="WJR236" s="1077">
        <v>8298541</v>
      </c>
      <c r="WJS236" s="1077">
        <v>8298541</v>
      </c>
      <c r="WJT236" s="1077">
        <v>8298541</v>
      </c>
      <c r="WJU236" s="1077">
        <v>8298541</v>
      </c>
      <c r="WJV236" s="1077">
        <v>8298541</v>
      </c>
      <c r="WJW236" s="1077">
        <v>8298541</v>
      </c>
      <c r="WJX236" s="1077">
        <v>8298541</v>
      </c>
      <c r="WJY236" s="1077">
        <v>8298541</v>
      </c>
      <c r="WJZ236" s="1077">
        <v>8298541</v>
      </c>
      <c r="WKA236" s="1077">
        <v>8298541</v>
      </c>
      <c r="WKB236" s="1077">
        <v>8298541</v>
      </c>
      <c r="WKC236" s="1077">
        <v>8298541</v>
      </c>
      <c r="WKD236" s="1077">
        <v>8298541</v>
      </c>
      <c r="WKE236" s="1077">
        <v>8298541</v>
      </c>
      <c r="WKF236" s="1077">
        <v>8298541</v>
      </c>
      <c r="WKG236" s="1077">
        <v>8298541</v>
      </c>
      <c r="WKH236" s="1077">
        <v>8298541</v>
      </c>
      <c r="WKI236" s="1077">
        <v>8298541</v>
      </c>
      <c r="WKJ236" s="1077">
        <v>8298541</v>
      </c>
      <c r="WKK236" s="1077">
        <v>8298541</v>
      </c>
      <c r="WKL236" s="1077">
        <v>8298541</v>
      </c>
      <c r="WKM236" s="1077">
        <v>8298541</v>
      </c>
      <c r="WKN236" s="1077">
        <v>8298541</v>
      </c>
      <c r="WKO236" s="1077">
        <v>8298541</v>
      </c>
      <c r="WKP236" s="1077">
        <v>8298541</v>
      </c>
      <c r="WKQ236" s="1077">
        <v>8298541</v>
      </c>
      <c r="WKR236" s="1077">
        <v>8298541</v>
      </c>
      <c r="WKS236" s="1077">
        <v>8298541</v>
      </c>
      <c r="WKT236" s="1077">
        <v>8298541</v>
      </c>
      <c r="WKU236" s="1077">
        <v>8298541</v>
      </c>
      <c r="WKV236" s="1077">
        <v>8298541</v>
      </c>
      <c r="WKW236" s="1077">
        <v>8298541</v>
      </c>
      <c r="WKX236" s="1077">
        <v>8298541</v>
      </c>
      <c r="WKY236" s="1077">
        <v>8298541</v>
      </c>
      <c r="WKZ236" s="1077">
        <v>8298541</v>
      </c>
      <c r="WLA236" s="1077">
        <v>8298541</v>
      </c>
      <c r="WLB236" s="1077">
        <v>8298541</v>
      </c>
      <c r="WLC236" s="1077">
        <v>8298541</v>
      </c>
      <c r="WLD236" s="1077">
        <v>8298541</v>
      </c>
      <c r="WLE236" s="1077">
        <v>8298541</v>
      </c>
      <c r="WLF236" s="1077">
        <v>8298541</v>
      </c>
      <c r="WLG236" s="1077">
        <v>8298541</v>
      </c>
      <c r="WLH236" s="1077">
        <v>8298541</v>
      </c>
      <c r="WLI236" s="1077">
        <v>8298541</v>
      </c>
      <c r="WLJ236" s="1077">
        <v>8298541</v>
      </c>
      <c r="WLK236" s="1077">
        <v>8298541</v>
      </c>
      <c r="WLL236" s="1077">
        <v>8298541</v>
      </c>
      <c r="WLM236" s="1077">
        <v>8298541</v>
      </c>
      <c r="WLN236" s="1077">
        <v>8298541</v>
      </c>
      <c r="WLO236" s="1077">
        <v>8298541</v>
      </c>
      <c r="WLP236" s="1077">
        <v>8298541</v>
      </c>
      <c r="WLQ236" s="1077">
        <v>8298541</v>
      </c>
      <c r="WLR236" s="1077">
        <v>8298541</v>
      </c>
      <c r="WLS236" s="1077">
        <v>8298541</v>
      </c>
      <c r="WLT236" s="1077">
        <v>8298541</v>
      </c>
      <c r="WLU236" s="1077">
        <v>8298541</v>
      </c>
      <c r="WLV236" s="1077">
        <v>8298541</v>
      </c>
      <c r="WLW236" s="1077">
        <v>8298541</v>
      </c>
      <c r="WLX236" s="1077">
        <v>8298541</v>
      </c>
      <c r="WLY236" s="1077">
        <v>8298541</v>
      </c>
      <c r="WLZ236" s="1077">
        <v>8298541</v>
      </c>
      <c r="WMA236" s="1077">
        <v>8298541</v>
      </c>
      <c r="WMB236" s="1077">
        <v>8298541</v>
      </c>
      <c r="WMC236" s="1077">
        <v>8298541</v>
      </c>
      <c r="WMD236" s="1077">
        <v>8298541</v>
      </c>
      <c r="WME236" s="1077">
        <v>8298541</v>
      </c>
      <c r="WMF236" s="1077">
        <v>8298541</v>
      </c>
      <c r="WMG236" s="1077">
        <v>8298541</v>
      </c>
      <c r="WMH236" s="1077">
        <v>8298541</v>
      </c>
      <c r="WMI236" s="1077">
        <v>8298541</v>
      </c>
      <c r="WMJ236" s="1077">
        <v>8298541</v>
      </c>
      <c r="WMK236" s="1077">
        <v>8298541</v>
      </c>
      <c r="WML236" s="1077">
        <v>8298541</v>
      </c>
      <c r="WMM236" s="1077">
        <v>8298541</v>
      </c>
      <c r="WMN236" s="1077">
        <v>8298541</v>
      </c>
      <c r="WMO236" s="1077">
        <v>8298541</v>
      </c>
      <c r="WMP236" s="1077">
        <v>8298541</v>
      </c>
      <c r="WMQ236" s="1077">
        <v>8298541</v>
      </c>
      <c r="WMR236" s="1077">
        <v>8298541</v>
      </c>
      <c r="WMS236" s="1077">
        <v>8298541</v>
      </c>
      <c r="WMT236" s="1077">
        <v>8298541</v>
      </c>
      <c r="WMU236" s="1077">
        <v>8298541</v>
      </c>
      <c r="WMV236" s="1077">
        <v>8298541</v>
      </c>
      <c r="WMW236" s="1077">
        <v>8298541</v>
      </c>
      <c r="WMX236" s="1077">
        <v>8298541</v>
      </c>
      <c r="WMY236" s="1077">
        <v>8298541</v>
      </c>
      <c r="WMZ236" s="1077">
        <v>8298541</v>
      </c>
      <c r="WNA236" s="1077">
        <v>8298541</v>
      </c>
      <c r="WNB236" s="1077">
        <v>8298541</v>
      </c>
      <c r="WNC236" s="1077">
        <v>8298541</v>
      </c>
      <c r="WND236" s="1077">
        <v>8298541</v>
      </c>
      <c r="WNE236" s="1077">
        <v>8298541</v>
      </c>
      <c r="WNF236" s="1077">
        <v>8298541</v>
      </c>
      <c r="WNG236" s="1077">
        <v>8298541</v>
      </c>
      <c r="WNH236" s="1077">
        <v>8298541</v>
      </c>
      <c r="WNI236" s="1077">
        <v>8298541</v>
      </c>
      <c r="WNJ236" s="1077">
        <v>8298541</v>
      </c>
      <c r="WNK236" s="1077">
        <v>8298541</v>
      </c>
      <c r="WNL236" s="1077">
        <v>8298541</v>
      </c>
      <c r="WNM236" s="1077">
        <v>8298541</v>
      </c>
      <c r="WNN236" s="1077">
        <v>8298541</v>
      </c>
      <c r="WNO236" s="1077">
        <v>8298541</v>
      </c>
      <c r="WNP236" s="1077">
        <v>8298541</v>
      </c>
      <c r="WNQ236" s="1077">
        <v>8298541</v>
      </c>
      <c r="WNR236" s="1077">
        <v>8298541</v>
      </c>
      <c r="WNS236" s="1077">
        <v>8298541</v>
      </c>
      <c r="WNT236" s="1077">
        <v>8298541</v>
      </c>
      <c r="WNU236" s="1077">
        <v>8298541</v>
      </c>
      <c r="WNV236" s="1077">
        <v>8298541</v>
      </c>
      <c r="WNW236" s="1077">
        <v>8298541</v>
      </c>
      <c r="WNX236" s="1077">
        <v>8298541</v>
      </c>
      <c r="WNY236" s="1077">
        <v>8298541</v>
      </c>
      <c r="WNZ236" s="1077">
        <v>8298541</v>
      </c>
      <c r="WOA236" s="1077">
        <v>8298541</v>
      </c>
      <c r="WOB236" s="1077">
        <v>8298541</v>
      </c>
      <c r="WOC236" s="1077">
        <v>8298541</v>
      </c>
      <c r="WOD236" s="1077">
        <v>8298541</v>
      </c>
      <c r="WOE236" s="1077">
        <v>8298541</v>
      </c>
      <c r="WOF236" s="1077">
        <v>8298541</v>
      </c>
      <c r="WOG236" s="1077">
        <v>8298541</v>
      </c>
      <c r="WOH236" s="1077">
        <v>8298541</v>
      </c>
      <c r="WOI236" s="1077">
        <v>8298541</v>
      </c>
      <c r="WOJ236" s="1077">
        <v>8298541</v>
      </c>
      <c r="WOK236" s="1077">
        <v>8298541</v>
      </c>
      <c r="WOL236" s="1077">
        <v>8298541</v>
      </c>
      <c r="WOM236" s="1077">
        <v>8298541</v>
      </c>
      <c r="WON236" s="1077">
        <v>8298541</v>
      </c>
      <c r="WOO236" s="1077">
        <v>8298541</v>
      </c>
      <c r="WOP236" s="1077">
        <v>8298541</v>
      </c>
      <c r="WOQ236" s="1077">
        <v>8298541</v>
      </c>
      <c r="WOR236" s="1077">
        <v>8298541</v>
      </c>
      <c r="WOS236" s="1077">
        <v>8298541</v>
      </c>
      <c r="WOT236" s="1077">
        <v>8298541</v>
      </c>
      <c r="WOU236" s="1077">
        <v>8298541</v>
      </c>
      <c r="WOV236" s="1077">
        <v>8298541</v>
      </c>
      <c r="WOW236" s="1077">
        <v>8298541</v>
      </c>
      <c r="WOX236" s="1077">
        <v>8298541</v>
      </c>
      <c r="WOY236" s="1077">
        <v>8298541</v>
      </c>
      <c r="WOZ236" s="1077">
        <v>8298541</v>
      </c>
      <c r="WPA236" s="1077">
        <v>8298541</v>
      </c>
      <c r="WPB236" s="1077">
        <v>8298541</v>
      </c>
      <c r="WPC236" s="1077">
        <v>8298541</v>
      </c>
      <c r="WPD236" s="1077">
        <v>8298541</v>
      </c>
      <c r="WPE236" s="1077">
        <v>8298541</v>
      </c>
      <c r="WPF236" s="1077">
        <v>8298541</v>
      </c>
      <c r="WPG236" s="1077">
        <v>8298541</v>
      </c>
      <c r="WPH236" s="1077">
        <v>8298541</v>
      </c>
      <c r="WPI236" s="1077">
        <v>8298541</v>
      </c>
      <c r="WPJ236" s="1077">
        <v>8298541</v>
      </c>
      <c r="WPK236" s="1077">
        <v>8298541</v>
      </c>
      <c r="WPL236" s="1077">
        <v>8298541</v>
      </c>
      <c r="WPM236" s="1077">
        <v>8298541</v>
      </c>
      <c r="WPN236" s="1077">
        <v>8298541</v>
      </c>
      <c r="WPO236" s="1077">
        <v>8298541</v>
      </c>
      <c r="WPP236" s="1077">
        <v>8298541</v>
      </c>
      <c r="WPQ236" s="1077">
        <v>8298541</v>
      </c>
      <c r="WPR236" s="1077">
        <v>8298541</v>
      </c>
      <c r="WPS236" s="1077">
        <v>8298541</v>
      </c>
      <c r="WPT236" s="1077">
        <v>8298541</v>
      </c>
      <c r="WPU236" s="1077">
        <v>8298541</v>
      </c>
      <c r="WPV236" s="1077">
        <v>8298541</v>
      </c>
      <c r="WPW236" s="1077">
        <v>8298541</v>
      </c>
      <c r="WPX236" s="1077">
        <v>8298541</v>
      </c>
      <c r="WPY236" s="1077">
        <v>8298541</v>
      </c>
      <c r="WPZ236" s="1077">
        <v>8298541</v>
      </c>
      <c r="WQA236" s="1077">
        <v>8298541</v>
      </c>
      <c r="WQB236" s="1077">
        <v>8298541</v>
      </c>
      <c r="WQC236" s="1077">
        <v>8298541</v>
      </c>
      <c r="WQD236" s="1077">
        <v>8298541</v>
      </c>
      <c r="WQE236" s="1077">
        <v>8298541</v>
      </c>
      <c r="WQF236" s="1077">
        <v>8298541</v>
      </c>
      <c r="WQG236" s="1077">
        <v>8298541</v>
      </c>
      <c r="WQH236" s="1077">
        <v>8298541</v>
      </c>
      <c r="WQI236" s="1077">
        <v>8298541</v>
      </c>
      <c r="WQJ236" s="1077">
        <v>8298541</v>
      </c>
      <c r="WQK236" s="1077">
        <v>8298541</v>
      </c>
      <c r="WQL236" s="1077">
        <v>8298541</v>
      </c>
      <c r="WQM236" s="1077">
        <v>8298541</v>
      </c>
      <c r="WQN236" s="1077">
        <v>8298541</v>
      </c>
      <c r="WQO236" s="1077">
        <v>8298541</v>
      </c>
      <c r="WQP236" s="1077">
        <v>8298541</v>
      </c>
      <c r="WQQ236" s="1077">
        <v>8298541</v>
      </c>
      <c r="WQR236" s="1077">
        <v>8298541</v>
      </c>
      <c r="WQS236" s="1077">
        <v>8298541</v>
      </c>
      <c r="WQT236" s="1077">
        <v>8298541</v>
      </c>
      <c r="WQU236" s="1077">
        <v>8298541</v>
      </c>
      <c r="WQV236" s="1077">
        <v>8298541</v>
      </c>
      <c r="WQW236" s="1077">
        <v>8298541</v>
      </c>
      <c r="WQX236" s="1077">
        <v>8298541</v>
      </c>
      <c r="WQY236" s="1077">
        <v>8298541</v>
      </c>
      <c r="WQZ236" s="1077">
        <v>8298541</v>
      </c>
      <c r="WRA236" s="1077">
        <v>8298541</v>
      </c>
      <c r="WRB236" s="1077">
        <v>8298541</v>
      </c>
      <c r="WRC236" s="1077">
        <v>8298541</v>
      </c>
      <c r="WRD236" s="1077">
        <v>8298541</v>
      </c>
      <c r="WRE236" s="1077">
        <v>8298541</v>
      </c>
      <c r="WRF236" s="1077">
        <v>8298541</v>
      </c>
      <c r="WRG236" s="1077">
        <v>8298541</v>
      </c>
      <c r="WRH236" s="1077">
        <v>8298541</v>
      </c>
      <c r="WRI236" s="1077">
        <v>8298541</v>
      </c>
      <c r="WRJ236" s="1077">
        <v>8298541</v>
      </c>
      <c r="WRK236" s="1077">
        <v>8298541</v>
      </c>
      <c r="WRL236" s="1077">
        <v>8298541</v>
      </c>
      <c r="WRM236" s="1077">
        <v>8298541</v>
      </c>
      <c r="WRN236" s="1077">
        <v>8298541</v>
      </c>
      <c r="WRO236" s="1077">
        <v>8298541</v>
      </c>
      <c r="WRP236" s="1077">
        <v>8298541</v>
      </c>
      <c r="WRQ236" s="1077">
        <v>8298541</v>
      </c>
      <c r="WRR236" s="1077">
        <v>8298541</v>
      </c>
      <c r="WRS236" s="1077">
        <v>8298541</v>
      </c>
      <c r="WRT236" s="1077">
        <v>8298541</v>
      </c>
      <c r="WRU236" s="1077">
        <v>8298541</v>
      </c>
      <c r="WRV236" s="1077">
        <v>8298541</v>
      </c>
      <c r="WRW236" s="1077">
        <v>8298541</v>
      </c>
      <c r="WRX236" s="1077">
        <v>8298541</v>
      </c>
      <c r="WRY236" s="1077">
        <v>8298541</v>
      </c>
      <c r="WRZ236" s="1077">
        <v>8298541</v>
      </c>
      <c r="WSA236" s="1077">
        <v>8298541</v>
      </c>
      <c r="WSB236" s="1077">
        <v>8298541</v>
      </c>
      <c r="WSC236" s="1077">
        <v>8298541</v>
      </c>
      <c r="WSD236" s="1077">
        <v>8298541</v>
      </c>
      <c r="WSE236" s="1077">
        <v>8298541</v>
      </c>
      <c r="WSF236" s="1077">
        <v>8298541</v>
      </c>
      <c r="WSG236" s="1077">
        <v>8298541</v>
      </c>
      <c r="WSH236" s="1077">
        <v>8298541</v>
      </c>
      <c r="WSI236" s="1077">
        <v>8298541</v>
      </c>
      <c r="WSJ236" s="1077">
        <v>8298541</v>
      </c>
      <c r="WSK236" s="1077">
        <v>8298541</v>
      </c>
      <c r="WSL236" s="1077">
        <v>8298541</v>
      </c>
      <c r="WSM236" s="1077">
        <v>8298541</v>
      </c>
      <c r="WSN236" s="1077">
        <v>8298541</v>
      </c>
      <c r="WSO236" s="1077">
        <v>8298541</v>
      </c>
      <c r="WSP236" s="1077">
        <v>8298541</v>
      </c>
      <c r="WSQ236" s="1077">
        <v>8298541</v>
      </c>
      <c r="WSR236" s="1077">
        <v>8298541</v>
      </c>
      <c r="WSS236" s="1077">
        <v>8298541</v>
      </c>
      <c r="WST236" s="1077">
        <v>8298541</v>
      </c>
      <c r="WSU236" s="1077">
        <v>8298541</v>
      </c>
      <c r="WSV236" s="1077">
        <v>8298541</v>
      </c>
      <c r="WSW236" s="1077">
        <v>8298541</v>
      </c>
      <c r="WSX236" s="1077">
        <v>8298541</v>
      </c>
      <c r="WSY236" s="1077">
        <v>8298541</v>
      </c>
      <c r="WSZ236" s="1077">
        <v>8298541</v>
      </c>
      <c r="WTA236" s="1077">
        <v>8298541</v>
      </c>
      <c r="WTB236" s="1077">
        <v>8298541</v>
      </c>
      <c r="WTC236" s="1077">
        <v>8298541</v>
      </c>
      <c r="WTD236" s="1077">
        <v>8298541</v>
      </c>
      <c r="WTE236" s="1077">
        <v>8298541</v>
      </c>
      <c r="WTF236" s="1077">
        <v>8298541</v>
      </c>
      <c r="WTG236" s="1077">
        <v>8298541</v>
      </c>
      <c r="WTH236" s="1077">
        <v>8298541</v>
      </c>
      <c r="WTI236" s="1077">
        <v>8298541</v>
      </c>
      <c r="WTJ236" s="1077">
        <v>8298541</v>
      </c>
      <c r="WTK236" s="1077">
        <v>8298541</v>
      </c>
      <c r="WTL236" s="1077">
        <v>8298541</v>
      </c>
      <c r="WTM236" s="1077">
        <v>8298541</v>
      </c>
      <c r="WTN236" s="1077">
        <v>8298541</v>
      </c>
      <c r="WTO236" s="1077">
        <v>8298541</v>
      </c>
      <c r="WTP236" s="1077">
        <v>8298541</v>
      </c>
      <c r="WTQ236" s="1077">
        <v>8298541</v>
      </c>
      <c r="WTR236" s="1077">
        <v>8298541</v>
      </c>
      <c r="WTS236" s="1077">
        <v>8298541</v>
      </c>
      <c r="WTT236" s="1077">
        <v>8298541</v>
      </c>
      <c r="WTU236" s="1077">
        <v>8298541</v>
      </c>
      <c r="WTV236" s="1077">
        <v>8298541</v>
      </c>
      <c r="WTW236" s="1077">
        <v>8298541</v>
      </c>
      <c r="WTX236" s="1077">
        <v>8298541</v>
      </c>
      <c r="WTY236" s="1077">
        <v>8298541</v>
      </c>
      <c r="WTZ236" s="1077">
        <v>8298541</v>
      </c>
      <c r="WUA236" s="1077">
        <v>8298541</v>
      </c>
      <c r="WUB236" s="1077">
        <v>8298541</v>
      </c>
      <c r="WUC236" s="1077">
        <v>8298541</v>
      </c>
      <c r="WUD236" s="1077">
        <v>8298541</v>
      </c>
      <c r="WUE236" s="1077">
        <v>8298541</v>
      </c>
      <c r="WUF236" s="1077">
        <v>8298541</v>
      </c>
      <c r="WUG236" s="1077">
        <v>8298541</v>
      </c>
      <c r="WUH236" s="1077">
        <v>8298541</v>
      </c>
      <c r="WUI236" s="1077">
        <v>8298541</v>
      </c>
      <c r="WUJ236" s="1077">
        <v>8298541</v>
      </c>
      <c r="WUK236" s="1077">
        <v>8298541</v>
      </c>
      <c r="WUL236" s="1077">
        <v>8298541</v>
      </c>
      <c r="WUM236" s="1077">
        <v>8298541</v>
      </c>
      <c r="WUN236" s="1077">
        <v>8298541</v>
      </c>
      <c r="WUO236" s="1077">
        <v>8298541</v>
      </c>
      <c r="WUP236" s="1077">
        <v>8298541</v>
      </c>
      <c r="WUQ236" s="1077">
        <v>8298541</v>
      </c>
      <c r="WUR236" s="1077">
        <v>8298541</v>
      </c>
      <c r="WUS236" s="1077">
        <v>8298541</v>
      </c>
      <c r="WUT236" s="1077">
        <v>8298541</v>
      </c>
      <c r="WUU236" s="1077">
        <v>8298541</v>
      </c>
      <c r="WUV236" s="1077">
        <v>8298541</v>
      </c>
      <c r="WUW236" s="1077">
        <v>8298541</v>
      </c>
      <c r="WUX236" s="1077">
        <v>8298541</v>
      </c>
      <c r="WUY236" s="1077">
        <v>8298541</v>
      </c>
      <c r="WUZ236" s="1077">
        <v>8298541</v>
      </c>
      <c r="WVA236" s="1077">
        <v>8298541</v>
      </c>
      <c r="WVB236" s="1077">
        <v>8298541</v>
      </c>
      <c r="WVC236" s="1077">
        <v>8298541</v>
      </c>
      <c r="WVD236" s="1077">
        <v>8298541</v>
      </c>
      <c r="WVE236" s="1077">
        <v>8298541</v>
      </c>
      <c r="WVF236" s="1077">
        <v>8298541</v>
      </c>
      <c r="WVG236" s="1077">
        <v>8298541</v>
      </c>
      <c r="WVH236" s="1077">
        <v>8298541</v>
      </c>
      <c r="WVI236" s="1077">
        <v>8298541</v>
      </c>
      <c r="WVJ236" s="1077">
        <v>8298541</v>
      </c>
      <c r="WVK236" s="1077">
        <v>8298541</v>
      </c>
      <c r="WVL236" s="1077">
        <v>8298541</v>
      </c>
      <c r="WVM236" s="1077">
        <v>8298541</v>
      </c>
      <c r="WVN236" s="1077">
        <v>8298541</v>
      </c>
      <c r="WVO236" s="1077">
        <v>8298541</v>
      </c>
      <c r="WVP236" s="1077">
        <v>8298541</v>
      </c>
      <c r="WVQ236" s="1077">
        <v>8298541</v>
      </c>
      <c r="WVR236" s="1077">
        <v>8298541</v>
      </c>
      <c r="WVS236" s="1077">
        <v>8298541</v>
      </c>
      <c r="WVT236" s="1077">
        <v>8298541</v>
      </c>
      <c r="WVU236" s="1077">
        <v>8298541</v>
      </c>
      <c r="WVV236" s="1077">
        <v>8298541</v>
      </c>
      <c r="WVW236" s="1077">
        <v>8298541</v>
      </c>
      <c r="WVX236" s="1077">
        <v>8298541</v>
      </c>
      <c r="WVY236" s="1077">
        <v>8298541</v>
      </c>
      <c r="WVZ236" s="1077">
        <v>8298541</v>
      </c>
      <c r="WWA236" s="1077">
        <v>8298541</v>
      </c>
      <c r="WWB236" s="1077">
        <v>8298541</v>
      </c>
      <c r="WWC236" s="1077">
        <v>8298541</v>
      </c>
      <c r="WWD236" s="1077">
        <v>8298541</v>
      </c>
      <c r="WWE236" s="1077">
        <v>8298541</v>
      </c>
      <c r="WWF236" s="1077">
        <v>8298541</v>
      </c>
      <c r="WWG236" s="1077">
        <v>8298541</v>
      </c>
      <c r="WWH236" s="1077">
        <v>8298541</v>
      </c>
      <c r="WWI236" s="1077">
        <v>8298541</v>
      </c>
      <c r="WWJ236" s="1077">
        <v>8298541</v>
      </c>
      <c r="WWK236" s="1077">
        <v>8298541</v>
      </c>
      <c r="WWL236" s="1077">
        <v>8298541</v>
      </c>
      <c r="WWM236" s="1077">
        <v>8298541</v>
      </c>
      <c r="WWN236" s="1077">
        <v>8298541</v>
      </c>
      <c r="WWO236" s="1077">
        <v>8298541</v>
      </c>
      <c r="WWP236" s="1077">
        <v>8298541</v>
      </c>
      <c r="WWQ236" s="1077">
        <v>8298541</v>
      </c>
      <c r="WWR236" s="1077">
        <v>8298541</v>
      </c>
      <c r="WWS236" s="1077">
        <v>8298541</v>
      </c>
      <c r="WWT236" s="1077">
        <v>8298541</v>
      </c>
      <c r="WWU236" s="1077">
        <v>8298541</v>
      </c>
      <c r="WWV236" s="1077">
        <v>8298541</v>
      </c>
      <c r="WWW236" s="1077">
        <v>8298541</v>
      </c>
      <c r="WWX236" s="1077">
        <v>8298541</v>
      </c>
      <c r="WWY236" s="1077">
        <v>8298541</v>
      </c>
      <c r="WWZ236" s="1077">
        <v>8298541</v>
      </c>
      <c r="WXA236" s="1077">
        <v>8298541</v>
      </c>
      <c r="WXB236" s="1077">
        <v>8298541</v>
      </c>
      <c r="WXC236" s="1077">
        <v>8298541</v>
      </c>
      <c r="WXD236" s="1077">
        <v>8298541</v>
      </c>
      <c r="WXE236" s="1077">
        <v>8298541</v>
      </c>
      <c r="WXF236" s="1077">
        <v>8298541</v>
      </c>
      <c r="WXG236" s="1077">
        <v>8298541</v>
      </c>
      <c r="WXH236" s="1077">
        <v>8298541</v>
      </c>
      <c r="WXI236" s="1077">
        <v>8298541</v>
      </c>
      <c r="WXJ236" s="1077">
        <v>8298541</v>
      </c>
      <c r="WXK236" s="1077">
        <v>8298541</v>
      </c>
      <c r="WXL236" s="1077">
        <v>8298541</v>
      </c>
      <c r="WXM236" s="1077">
        <v>8298541</v>
      </c>
      <c r="WXN236" s="1077">
        <v>8298541</v>
      </c>
      <c r="WXO236" s="1077">
        <v>8298541</v>
      </c>
      <c r="WXP236" s="1077">
        <v>8298541</v>
      </c>
      <c r="WXQ236" s="1077">
        <v>8298541</v>
      </c>
      <c r="WXR236" s="1077">
        <v>8298541</v>
      </c>
      <c r="WXS236" s="1077">
        <v>8298541</v>
      </c>
      <c r="WXT236" s="1077">
        <v>8298541</v>
      </c>
      <c r="WXU236" s="1077">
        <v>8298541</v>
      </c>
      <c r="WXV236" s="1077">
        <v>8298541</v>
      </c>
      <c r="WXW236" s="1077">
        <v>8298541</v>
      </c>
      <c r="WXX236" s="1077">
        <v>8298541</v>
      </c>
      <c r="WXY236" s="1077">
        <v>8298541</v>
      </c>
      <c r="WXZ236" s="1077">
        <v>8298541</v>
      </c>
      <c r="WYA236" s="1077">
        <v>8298541</v>
      </c>
      <c r="WYB236" s="1077">
        <v>8298541</v>
      </c>
      <c r="WYC236" s="1077">
        <v>8298541</v>
      </c>
      <c r="WYD236" s="1077">
        <v>8298541</v>
      </c>
      <c r="WYE236" s="1077">
        <v>8298541</v>
      </c>
      <c r="WYF236" s="1077">
        <v>8298541</v>
      </c>
      <c r="WYG236" s="1077">
        <v>8298541</v>
      </c>
      <c r="WYH236" s="1077">
        <v>8298541</v>
      </c>
      <c r="WYI236" s="1077">
        <v>8298541</v>
      </c>
      <c r="WYJ236" s="1077">
        <v>8298541</v>
      </c>
      <c r="WYK236" s="1077">
        <v>8298541</v>
      </c>
      <c r="WYL236" s="1077">
        <v>8298541</v>
      </c>
      <c r="WYM236" s="1077">
        <v>8298541</v>
      </c>
      <c r="WYN236" s="1077">
        <v>8298541</v>
      </c>
      <c r="WYO236" s="1077">
        <v>8298541</v>
      </c>
      <c r="WYP236" s="1077">
        <v>8298541</v>
      </c>
      <c r="WYQ236" s="1077">
        <v>8298541</v>
      </c>
      <c r="WYR236" s="1077">
        <v>8298541</v>
      </c>
      <c r="WYS236" s="1077">
        <v>8298541</v>
      </c>
      <c r="WYT236" s="1077">
        <v>8298541</v>
      </c>
      <c r="WYU236" s="1077">
        <v>8298541</v>
      </c>
      <c r="WYV236" s="1077">
        <v>8298541</v>
      </c>
      <c r="WYW236" s="1077">
        <v>8298541</v>
      </c>
      <c r="WYX236" s="1077">
        <v>8298541</v>
      </c>
      <c r="WYY236" s="1077">
        <v>8298541</v>
      </c>
      <c r="WYZ236" s="1077">
        <v>8298541</v>
      </c>
      <c r="WZA236" s="1077">
        <v>8298541</v>
      </c>
      <c r="WZB236" s="1077">
        <v>8298541</v>
      </c>
      <c r="WZC236" s="1077">
        <v>8298541</v>
      </c>
      <c r="WZD236" s="1077">
        <v>8298541</v>
      </c>
      <c r="WZE236" s="1077">
        <v>8298541</v>
      </c>
      <c r="WZF236" s="1077">
        <v>8298541</v>
      </c>
      <c r="WZG236" s="1077">
        <v>8298541</v>
      </c>
      <c r="WZH236" s="1077">
        <v>8298541</v>
      </c>
      <c r="WZI236" s="1077">
        <v>8298541</v>
      </c>
      <c r="WZJ236" s="1077">
        <v>8298541</v>
      </c>
      <c r="WZK236" s="1077">
        <v>8298541</v>
      </c>
      <c r="WZL236" s="1077">
        <v>8298541</v>
      </c>
      <c r="WZM236" s="1077">
        <v>8298541</v>
      </c>
      <c r="WZN236" s="1077">
        <v>8298541</v>
      </c>
      <c r="WZO236" s="1077">
        <v>8298541</v>
      </c>
      <c r="WZP236" s="1077">
        <v>8298541</v>
      </c>
      <c r="WZQ236" s="1077">
        <v>8298541</v>
      </c>
      <c r="WZR236" s="1077">
        <v>8298541</v>
      </c>
      <c r="WZS236" s="1077">
        <v>8298541</v>
      </c>
      <c r="WZT236" s="1077">
        <v>8298541</v>
      </c>
      <c r="WZU236" s="1077">
        <v>8298541</v>
      </c>
      <c r="WZV236" s="1077">
        <v>8298541</v>
      </c>
      <c r="WZW236" s="1077">
        <v>8298541</v>
      </c>
      <c r="WZX236" s="1077">
        <v>8298541</v>
      </c>
      <c r="WZY236" s="1077">
        <v>8298541</v>
      </c>
      <c r="WZZ236" s="1077">
        <v>8298541</v>
      </c>
      <c r="XAA236" s="1077">
        <v>8298541</v>
      </c>
      <c r="XAB236" s="1077">
        <v>8298541</v>
      </c>
      <c r="XAC236" s="1077">
        <v>8298541</v>
      </c>
      <c r="XAD236" s="1077">
        <v>8298541</v>
      </c>
      <c r="XAE236" s="1077">
        <v>8298541</v>
      </c>
      <c r="XAF236" s="1077">
        <v>8298541</v>
      </c>
      <c r="XAG236" s="1077">
        <v>8298541</v>
      </c>
      <c r="XAH236" s="1077">
        <v>8298541</v>
      </c>
      <c r="XAI236" s="1077">
        <v>8298541</v>
      </c>
      <c r="XAJ236" s="1077">
        <v>8298541</v>
      </c>
      <c r="XAK236" s="1077">
        <v>8298541</v>
      </c>
      <c r="XAL236" s="1077">
        <v>8298541</v>
      </c>
      <c r="XAM236" s="1077">
        <v>8298541</v>
      </c>
      <c r="XAN236" s="1077">
        <v>8298541</v>
      </c>
      <c r="XAO236" s="1077">
        <v>8298541</v>
      </c>
      <c r="XAP236" s="1077">
        <v>8298541</v>
      </c>
      <c r="XAQ236" s="1077">
        <v>8298541</v>
      </c>
      <c r="XAR236" s="1077">
        <v>8298541</v>
      </c>
      <c r="XAS236" s="1077">
        <v>8298541</v>
      </c>
      <c r="XAT236" s="1077">
        <v>8298541</v>
      </c>
      <c r="XAU236" s="1077">
        <v>8298541</v>
      </c>
      <c r="XAV236" s="1077">
        <v>8298541</v>
      </c>
      <c r="XAW236" s="1077">
        <v>8298541</v>
      </c>
      <c r="XAX236" s="1077">
        <v>8298541</v>
      </c>
      <c r="XAY236" s="1077">
        <v>8298541</v>
      </c>
    </row>
    <row r="237" spans="1:16275" s="1064" customFormat="1" ht="94.5" customHeight="1">
      <c r="A237" s="1121">
        <v>33</v>
      </c>
      <c r="B237" s="1233" t="s">
        <v>1978</v>
      </c>
      <c r="C237" s="1056">
        <f t="shared" si="150"/>
        <v>4297231.05</v>
      </c>
      <c r="D237" s="1056">
        <f t="shared" si="151"/>
        <v>0</v>
      </c>
      <c r="E237" s="1056">
        <v>0</v>
      </c>
      <c r="F237" s="1056">
        <v>0</v>
      </c>
      <c r="G237" s="1056">
        <v>0</v>
      </c>
      <c r="H237" s="1056">
        <v>0</v>
      </c>
      <c r="I237" s="1056">
        <v>0</v>
      </c>
      <c r="J237" s="1056">
        <v>0</v>
      </c>
      <c r="K237" s="1063">
        <v>0</v>
      </c>
      <c r="L237" s="1056">
        <v>0</v>
      </c>
      <c r="M237" s="1063">
        <v>0</v>
      </c>
      <c r="N237" s="1056">
        <v>0</v>
      </c>
      <c r="O237" s="1234">
        <v>446</v>
      </c>
      <c r="P237" s="1234">
        <v>3985102.41</v>
      </c>
      <c r="Q237" s="1234">
        <v>0</v>
      </c>
      <c r="R237" s="1234">
        <v>0</v>
      </c>
      <c r="S237" s="1234">
        <v>0</v>
      </c>
      <c r="T237" s="1265">
        <v>0</v>
      </c>
      <c r="U237" s="1265">
        <v>0</v>
      </c>
      <c r="V237" s="1265">
        <v>0</v>
      </c>
      <c r="W237" s="1265">
        <v>0</v>
      </c>
      <c r="X237" s="1265">
        <v>0</v>
      </c>
      <c r="Y237" s="1265">
        <v>0</v>
      </c>
      <c r="Z237" s="1265">
        <v>312128.64000000001</v>
      </c>
      <c r="AA237" s="1056">
        <v>0</v>
      </c>
    </row>
    <row r="238" spans="1:16275" s="1064" customFormat="1" ht="94.5" customHeight="1">
      <c r="A238" s="1121">
        <v>34</v>
      </c>
      <c r="B238" s="1233" t="s">
        <v>1979</v>
      </c>
      <c r="C238" s="1056">
        <f t="shared" si="150"/>
        <v>10007992.25</v>
      </c>
      <c r="D238" s="1056">
        <f t="shared" si="151"/>
        <v>0</v>
      </c>
      <c r="E238" s="1056">
        <v>0</v>
      </c>
      <c r="F238" s="1056">
        <v>0</v>
      </c>
      <c r="G238" s="1056">
        <v>0</v>
      </c>
      <c r="H238" s="1056">
        <v>0</v>
      </c>
      <c r="I238" s="1056">
        <v>0</v>
      </c>
      <c r="J238" s="1056">
        <v>0</v>
      </c>
      <c r="K238" s="1063">
        <v>0</v>
      </c>
      <c r="L238" s="1056">
        <v>0</v>
      </c>
      <c r="M238" s="1063">
        <v>0</v>
      </c>
      <c r="N238" s="1056">
        <v>0</v>
      </c>
      <c r="O238" s="1234">
        <v>1794</v>
      </c>
      <c r="P238" s="1234">
        <v>9281063.4499999993</v>
      </c>
      <c r="Q238" s="1234">
        <v>0</v>
      </c>
      <c r="R238" s="1234">
        <v>0</v>
      </c>
      <c r="S238" s="1234">
        <v>0</v>
      </c>
      <c r="T238" s="1265">
        <v>0</v>
      </c>
      <c r="U238" s="1265">
        <v>0</v>
      </c>
      <c r="V238" s="1265">
        <v>0</v>
      </c>
      <c r="W238" s="1265">
        <v>0</v>
      </c>
      <c r="X238" s="1265">
        <v>0</v>
      </c>
      <c r="Y238" s="1265">
        <v>0</v>
      </c>
      <c r="Z238" s="1265">
        <v>726928.8</v>
      </c>
      <c r="AA238" s="1056">
        <v>0</v>
      </c>
    </row>
    <row r="239" spans="1:16275" s="1064" customFormat="1" ht="94.5" customHeight="1">
      <c r="A239" s="1121">
        <v>35</v>
      </c>
      <c r="B239" s="1233" t="s">
        <v>1980</v>
      </c>
      <c r="C239" s="1056">
        <f t="shared" si="150"/>
        <v>14807366.950000001</v>
      </c>
      <c r="D239" s="1056">
        <f t="shared" si="151"/>
        <v>0</v>
      </c>
      <c r="E239" s="1056">
        <v>0</v>
      </c>
      <c r="F239" s="1056">
        <v>0</v>
      </c>
      <c r="G239" s="1056">
        <v>0</v>
      </c>
      <c r="H239" s="1056">
        <v>0</v>
      </c>
      <c r="I239" s="1056">
        <v>0</v>
      </c>
      <c r="J239" s="1056">
        <v>0</v>
      </c>
      <c r="K239" s="1063">
        <v>0</v>
      </c>
      <c r="L239" s="1056">
        <v>0</v>
      </c>
      <c r="M239" s="1063">
        <v>0</v>
      </c>
      <c r="N239" s="1056">
        <v>0</v>
      </c>
      <c r="O239" s="1234">
        <v>1023</v>
      </c>
      <c r="P239" s="1234">
        <v>9140716.9700000007</v>
      </c>
      <c r="Q239" s="1234">
        <v>0</v>
      </c>
      <c r="R239" s="1234">
        <v>0</v>
      </c>
      <c r="S239" s="1234">
        <v>1106.58</v>
      </c>
      <c r="T239" s="1265">
        <v>4591119.42</v>
      </c>
      <c r="U239" s="1265">
        <v>0</v>
      </c>
      <c r="V239" s="1265">
        <v>0</v>
      </c>
      <c r="W239" s="1265">
        <v>0</v>
      </c>
      <c r="X239" s="1265">
        <v>0</v>
      </c>
      <c r="Y239" s="1265">
        <v>0</v>
      </c>
      <c r="Z239" s="1265">
        <v>1075530.56</v>
      </c>
      <c r="AA239" s="1056">
        <v>0</v>
      </c>
    </row>
    <row r="240" spans="1:16275" s="1064" customFormat="1" ht="94.5" customHeight="1">
      <c r="A240" s="1121">
        <v>36</v>
      </c>
      <c r="B240" s="1233" t="s">
        <v>1969</v>
      </c>
      <c r="C240" s="1056">
        <f t="shared" si="150"/>
        <v>2289645.7899999996</v>
      </c>
      <c r="D240" s="1056">
        <f t="shared" si="151"/>
        <v>0</v>
      </c>
      <c r="E240" s="1056">
        <v>0</v>
      </c>
      <c r="F240" s="1056">
        <v>0</v>
      </c>
      <c r="G240" s="1056">
        <v>0</v>
      </c>
      <c r="H240" s="1056">
        <v>0</v>
      </c>
      <c r="I240" s="1056">
        <v>0</v>
      </c>
      <c r="J240" s="1056">
        <v>0</v>
      </c>
      <c r="K240" s="1063">
        <v>0</v>
      </c>
      <c r="L240" s="1056">
        <v>0</v>
      </c>
      <c r="M240" s="1063">
        <v>0</v>
      </c>
      <c r="N240" s="1056">
        <v>0</v>
      </c>
      <c r="O240" s="1234">
        <v>0</v>
      </c>
      <c r="P240" s="1234">
        <v>0</v>
      </c>
      <c r="Q240" s="1234">
        <v>0</v>
      </c>
      <c r="R240" s="1234">
        <v>0</v>
      </c>
      <c r="S240" s="1234">
        <v>511.78</v>
      </c>
      <c r="T240" s="1265">
        <v>2123337.7599999998</v>
      </c>
      <c r="U240" s="1265">
        <v>0</v>
      </c>
      <c r="V240" s="1265">
        <v>0</v>
      </c>
      <c r="W240" s="1265">
        <v>0</v>
      </c>
      <c r="X240" s="1265">
        <v>0</v>
      </c>
      <c r="Y240" s="1265">
        <v>0</v>
      </c>
      <c r="Z240" s="1265">
        <v>166308.03</v>
      </c>
      <c r="AA240" s="1056">
        <v>0</v>
      </c>
    </row>
    <row r="241" spans="1:27" s="1064" customFormat="1" ht="87.6" customHeight="1">
      <c r="A241" s="1121">
        <v>37</v>
      </c>
      <c r="B241" s="1062" t="s">
        <v>1109</v>
      </c>
      <c r="C241" s="1056">
        <f t="shared" ref="C241:T241" si="152">SUM(C242:C243)</f>
        <v>16524105.949999999</v>
      </c>
      <c r="D241" s="1056">
        <f t="shared" si="152"/>
        <v>0</v>
      </c>
      <c r="E241" s="1056">
        <f t="shared" si="152"/>
        <v>0</v>
      </c>
      <c r="F241" s="1056">
        <f t="shared" si="152"/>
        <v>0</v>
      </c>
      <c r="G241" s="1056">
        <f t="shared" si="152"/>
        <v>0</v>
      </c>
      <c r="H241" s="1056">
        <f t="shared" si="152"/>
        <v>0</v>
      </c>
      <c r="I241" s="1056">
        <f t="shared" si="152"/>
        <v>0</v>
      </c>
      <c r="J241" s="1056">
        <f t="shared" si="152"/>
        <v>0</v>
      </c>
      <c r="K241" s="1063">
        <f t="shared" si="152"/>
        <v>0</v>
      </c>
      <c r="L241" s="1056">
        <f t="shared" si="152"/>
        <v>0</v>
      </c>
      <c r="M241" s="1063">
        <f t="shared" si="152"/>
        <v>0</v>
      </c>
      <c r="N241" s="1056">
        <f t="shared" si="152"/>
        <v>0</v>
      </c>
      <c r="O241" s="1056">
        <f t="shared" si="152"/>
        <v>1715</v>
      </c>
      <c r="P241" s="1056">
        <f t="shared" si="152"/>
        <v>15323880.35</v>
      </c>
      <c r="Q241" s="1056">
        <f t="shared" si="152"/>
        <v>0</v>
      </c>
      <c r="R241" s="1056">
        <f t="shared" si="152"/>
        <v>0</v>
      </c>
      <c r="S241" s="1056">
        <f t="shared" si="152"/>
        <v>0</v>
      </c>
      <c r="T241" s="1056">
        <f t="shared" si="152"/>
        <v>0</v>
      </c>
      <c r="U241" s="1076">
        <v>0</v>
      </c>
      <c r="V241" s="1076">
        <v>0</v>
      </c>
      <c r="W241" s="1056">
        <f>SUM(W242:W243)</f>
        <v>0</v>
      </c>
      <c r="X241" s="1056">
        <f>SUM(X242:X243)</f>
        <v>0</v>
      </c>
      <c r="Y241" s="1076">
        <v>0</v>
      </c>
      <c r="Z241" s="1056">
        <f>SUM(Z242:Z243)</f>
        <v>1200225.6000000001</v>
      </c>
      <c r="AA241" s="1056">
        <f>SUM(AA242:AA243)</f>
        <v>0</v>
      </c>
    </row>
    <row r="242" spans="1:27" s="1064" customFormat="1" ht="94.5" customHeight="1">
      <c r="A242" s="1121">
        <v>38</v>
      </c>
      <c r="B242" s="1055" t="s">
        <v>1405</v>
      </c>
      <c r="C242" s="1056">
        <f>D242+N242+P242+R242+T242+X242+Z242</f>
        <v>4913874.07</v>
      </c>
      <c r="D242" s="1056">
        <f t="shared" ref="D242" si="153">SUM(E242:J242)</f>
        <v>0</v>
      </c>
      <c r="E242" s="1056">
        <v>0</v>
      </c>
      <c r="F242" s="1056">
        <v>0</v>
      </c>
      <c r="G242" s="1056">
        <v>0</v>
      </c>
      <c r="H242" s="1056">
        <v>0</v>
      </c>
      <c r="I242" s="1056">
        <v>0</v>
      </c>
      <c r="J242" s="1056">
        <v>0</v>
      </c>
      <c r="K242" s="1063">
        <v>0</v>
      </c>
      <c r="L242" s="1056">
        <v>0</v>
      </c>
      <c r="M242" s="1063">
        <v>0</v>
      </c>
      <c r="N242" s="1056">
        <v>0</v>
      </c>
      <c r="O242" s="1056">
        <v>510</v>
      </c>
      <c r="P242" s="1056">
        <v>4556955.67</v>
      </c>
      <c r="Q242" s="1056">
        <v>0</v>
      </c>
      <c r="R242" s="1056">
        <v>0</v>
      </c>
      <c r="S242" s="1056">
        <v>0</v>
      </c>
      <c r="T242" s="1056">
        <v>0</v>
      </c>
      <c r="U242" s="1076">
        <v>0</v>
      </c>
      <c r="V242" s="1076">
        <v>0</v>
      </c>
      <c r="W242" s="1056">
        <v>0</v>
      </c>
      <c r="X242" s="1056">
        <v>0</v>
      </c>
      <c r="Y242" s="1056">
        <v>0</v>
      </c>
      <c r="Z242" s="1056">
        <v>356918.4</v>
      </c>
      <c r="AA242" s="1056">
        <v>0</v>
      </c>
    </row>
    <row r="243" spans="1:27" s="1064" customFormat="1" ht="94.9" customHeight="1">
      <c r="A243" s="1121">
        <v>39</v>
      </c>
      <c r="B243" s="1055" t="s">
        <v>1418</v>
      </c>
      <c r="C243" s="1056">
        <f t="shared" ref="C243" si="154">D243+N243+P243+R243+T243+X243+Z243</f>
        <v>11610231.879999999</v>
      </c>
      <c r="D243" s="1056">
        <f t="shared" ref="D243" si="155">SUM(E243:J243)</f>
        <v>0</v>
      </c>
      <c r="E243" s="1056">
        <v>0</v>
      </c>
      <c r="F243" s="1056">
        <v>0</v>
      </c>
      <c r="G243" s="1056">
        <v>0</v>
      </c>
      <c r="H243" s="1056">
        <v>0</v>
      </c>
      <c r="I243" s="1056">
        <v>0</v>
      </c>
      <c r="J243" s="1056">
        <v>0</v>
      </c>
      <c r="K243" s="1063">
        <v>0</v>
      </c>
      <c r="L243" s="1056">
        <v>0</v>
      </c>
      <c r="M243" s="1063">
        <v>0</v>
      </c>
      <c r="N243" s="1056">
        <v>0</v>
      </c>
      <c r="O243" s="1056">
        <v>1205</v>
      </c>
      <c r="P243" s="1056">
        <v>10766924.68</v>
      </c>
      <c r="Q243" s="1056">
        <v>0</v>
      </c>
      <c r="R243" s="1056">
        <v>0</v>
      </c>
      <c r="S243" s="1056">
        <v>0</v>
      </c>
      <c r="T243" s="1056">
        <v>0</v>
      </c>
      <c r="U243" s="1076">
        <v>0</v>
      </c>
      <c r="V243" s="1076">
        <v>0</v>
      </c>
      <c r="W243" s="1056">
        <v>0</v>
      </c>
      <c r="X243" s="1056">
        <v>0</v>
      </c>
      <c r="Y243" s="1056">
        <v>0</v>
      </c>
      <c r="Z243" s="1056">
        <v>843307.2</v>
      </c>
      <c r="AA243" s="1056">
        <v>0</v>
      </c>
    </row>
    <row r="244" spans="1:27" s="1064" customFormat="1" ht="87.6" customHeight="1">
      <c r="A244" s="1121"/>
      <c r="B244" s="1055" t="s">
        <v>1055</v>
      </c>
      <c r="C244" s="1068">
        <f t="shared" ref="C244:T244" si="156">SUM(C245:C246)</f>
        <v>10868333.24</v>
      </c>
      <c r="D244" s="1068">
        <f t="shared" si="156"/>
        <v>0</v>
      </c>
      <c r="E244" s="1068">
        <f t="shared" si="156"/>
        <v>0</v>
      </c>
      <c r="F244" s="1068">
        <f t="shared" si="156"/>
        <v>0</v>
      </c>
      <c r="G244" s="1068">
        <f t="shared" si="156"/>
        <v>0</v>
      </c>
      <c r="H244" s="1068">
        <f t="shared" si="156"/>
        <v>0</v>
      </c>
      <c r="I244" s="1068">
        <f t="shared" si="156"/>
        <v>0</v>
      </c>
      <c r="J244" s="1068">
        <f t="shared" si="156"/>
        <v>0</v>
      </c>
      <c r="K244" s="1063">
        <f t="shared" si="156"/>
        <v>0</v>
      </c>
      <c r="L244" s="1068">
        <f t="shared" si="156"/>
        <v>0</v>
      </c>
      <c r="M244" s="1063">
        <f t="shared" si="156"/>
        <v>0</v>
      </c>
      <c r="N244" s="1068">
        <f t="shared" si="156"/>
        <v>0</v>
      </c>
      <c r="O244" s="1068">
        <f t="shared" si="156"/>
        <v>1128</v>
      </c>
      <c r="P244" s="1068">
        <f t="shared" si="156"/>
        <v>10078913.720000001</v>
      </c>
      <c r="Q244" s="1068">
        <f t="shared" si="156"/>
        <v>0</v>
      </c>
      <c r="R244" s="1068">
        <f t="shared" si="156"/>
        <v>0</v>
      </c>
      <c r="S244" s="1068">
        <f t="shared" si="156"/>
        <v>0</v>
      </c>
      <c r="T244" s="1068">
        <f t="shared" si="156"/>
        <v>0</v>
      </c>
      <c r="U244" s="1076">
        <v>0</v>
      </c>
      <c r="V244" s="1076">
        <v>0</v>
      </c>
      <c r="W244" s="1068">
        <f>SUM(W245:W246)</f>
        <v>0</v>
      </c>
      <c r="X244" s="1068">
        <f>SUM(X245:X246)</f>
        <v>0</v>
      </c>
      <c r="Y244" s="1076">
        <v>0</v>
      </c>
      <c r="Z244" s="1068">
        <f>SUM(Z245:Z246)</f>
        <v>789419.52000000002</v>
      </c>
      <c r="AA244" s="1068">
        <f>SUM(AA245:AA246)</f>
        <v>0</v>
      </c>
    </row>
    <row r="245" spans="1:27" s="1064" customFormat="1" ht="100.5" customHeight="1">
      <c r="A245" s="1121">
        <v>40</v>
      </c>
      <c r="B245" s="1062" t="s">
        <v>1567</v>
      </c>
      <c r="C245" s="1056">
        <f t="shared" ref="C245:C246" si="157">D245+N245+P245+R245+T245+X245+Z245</f>
        <v>5434166.6200000001</v>
      </c>
      <c r="D245" s="1056">
        <f t="shared" ref="D245:D246" si="158">SUM(E245:J245)</f>
        <v>0</v>
      </c>
      <c r="E245" s="1068">
        <v>0</v>
      </c>
      <c r="F245" s="1068">
        <v>0</v>
      </c>
      <c r="G245" s="1068">
        <v>0</v>
      </c>
      <c r="H245" s="1068">
        <v>0</v>
      </c>
      <c r="I245" s="1068">
        <v>0</v>
      </c>
      <c r="J245" s="1068">
        <v>0</v>
      </c>
      <c r="K245" s="1063">
        <v>0</v>
      </c>
      <c r="L245" s="1068">
        <v>0</v>
      </c>
      <c r="M245" s="1063">
        <v>0</v>
      </c>
      <c r="N245" s="1068">
        <v>0</v>
      </c>
      <c r="O245" s="1068">
        <v>564</v>
      </c>
      <c r="P245" s="1068">
        <v>5039456.8600000003</v>
      </c>
      <c r="Q245" s="1068">
        <v>0</v>
      </c>
      <c r="R245" s="1068">
        <v>0</v>
      </c>
      <c r="S245" s="1068">
        <v>0</v>
      </c>
      <c r="T245" s="1068">
        <v>0</v>
      </c>
      <c r="U245" s="1076">
        <v>0</v>
      </c>
      <c r="V245" s="1076">
        <v>0</v>
      </c>
      <c r="W245" s="1068">
        <v>0</v>
      </c>
      <c r="X245" s="1068">
        <v>0</v>
      </c>
      <c r="Y245" s="1056">
        <v>0</v>
      </c>
      <c r="Z245" s="1068">
        <v>394709.76000000001</v>
      </c>
      <c r="AA245" s="1068">
        <v>0</v>
      </c>
    </row>
    <row r="246" spans="1:27" s="1064" customFormat="1" ht="107.25" customHeight="1">
      <c r="A246" s="1121">
        <v>41</v>
      </c>
      <c r="B246" s="1062" t="s">
        <v>1568</v>
      </c>
      <c r="C246" s="1056">
        <f t="shared" si="157"/>
        <v>5434166.6200000001</v>
      </c>
      <c r="D246" s="1056">
        <f t="shared" si="158"/>
        <v>0</v>
      </c>
      <c r="E246" s="1068">
        <v>0</v>
      </c>
      <c r="F246" s="1068">
        <v>0</v>
      </c>
      <c r="G246" s="1068">
        <v>0</v>
      </c>
      <c r="H246" s="1068">
        <v>0</v>
      </c>
      <c r="I246" s="1068">
        <v>0</v>
      </c>
      <c r="J246" s="1068">
        <v>0</v>
      </c>
      <c r="K246" s="1063">
        <v>0</v>
      </c>
      <c r="L246" s="1068">
        <v>0</v>
      </c>
      <c r="M246" s="1063">
        <v>0</v>
      </c>
      <c r="N246" s="1068">
        <v>0</v>
      </c>
      <c r="O246" s="1252">
        <v>564</v>
      </c>
      <c r="P246" s="1068">
        <v>5039456.8600000003</v>
      </c>
      <c r="Q246" s="1068">
        <v>0</v>
      </c>
      <c r="R246" s="1068">
        <v>0</v>
      </c>
      <c r="S246" s="1068">
        <v>0</v>
      </c>
      <c r="T246" s="1068">
        <v>0</v>
      </c>
      <c r="U246" s="1076">
        <v>0</v>
      </c>
      <c r="V246" s="1076">
        <v>0</v>
      </c>
      <c r="W246" s="1068">
        <v>0</v>
      </c>
      <c r="X246" s="1068">
        <v>0</v>
      </c>
      <c r="Y246" s="1076">
        <v>0</v>
      </c>
      <c r="Z246" s="1068">
        <v>394709.76000000001</v>
      </c>
      <c r="AA246" s="1068">
        <v>0</v>
      </c>
    </row>
    <row r="247" spans="1:27" s="1078" customFormat="1" ht="88.5" customHeight="1">
      <c r="A247" s="1121"/>
      <c r="B247" s="1055" t="s">
        <v>1054</v>
      </c>
      <c r="C247" s="1068">
        <f>C248+C249</f>
        <v>4437569.01</v>
      </c>
      <c r="D247" s="1068">
        <f t="shared" ref="D247:AA247" si="159">D248+D249</f>
        <v>4115246.95</v>
      </c>
      <c r="E247" s="1068">
        <f t="shared" si="159"/>
        <v>4115246.95</v>
      </c>
      <c r="F247" s="1068">
        <f t="shared" si="159"/>
        <v>0</v>
      </c>
      <c r="G247" s="1068">
        <f t="shared" si="159"/>
        <v>0</v>
      </c>
      <c r="H247" s="1068">
        <f t="shared" si="159"/>
        <v>0</v>
      </c>
      <c r="I247" s="1068">
        <f t="shared" si="159"/>
        <v>0</v>
      </c>
      <c r="J247" s="1068">
        <f t="shared" si="159"/>
        <v>0</v>
      </c>
      <c r="K247" s="1068">
        <f t="shared" si="159"/>
        <v>0</v>
      </c>
      <c r="L247" s="1068">
        <f t="shared" si="159"/>
        <v>0</v>
      </c>
      <c r="M247" s="1068">
        <f t="shared" si="159"/>
        <v>0</v>
      </c>
      <c r="N247" s="1068">
        <f t="shared" si="159"/>
        <v>0</v>
      </c>
      <c r="O247" s="1068">
        <f t="shared" si="159"/>
        <v>0</v>
      </c>
      <c r="P247" s="1068">
        <f t="shared" si="159"/>
        <v>0</v>
      </c>
      <c r="Q247" s="1068">
        <f t="shared" si="159"/>
        <v>0</v>
      </c>
      <c r="R247" s="1068">
        <f t="shared" si="159"/>
        <v>0</v>
      </c>
      <c r="S247" s="1068">
        <f t="shared" si="159"/>
        <v>0</v>
      </c>
      <c r="T247" s="1068">
        <f t="shared" si="159"/>
        <v>0</v>
      </c>
      <c r="U247" s="1068">
        <f t="shared" si="159"/>
        <v>0</v>
      </c>
      <c r="V247" s="1068">
        <f t="shared" si="159"/>
        <v>0</v>
      </c>
      <c r="W247" s="1068">
        <f t="shared" si="159"/>
        <v>0</v>
      </c>
      <c r="X247" s="1068">
        <f t="shared" si="159"/>
        <v>0</v>
      </c>
      <c r="Y247" s="1068">
        <f t="shared" si="159"/>
        <v>0</v>
      </c>
      <c r="Z247" s="1068">
        <f t="shared" si="159"/>
        <v>322322.06</v>
      </c>
      <c r="AA247" s="1068">
        <f t="shared" si="159"/>
        <v>0</v>
      </c>
    </row>
    <row r="248" spans="1:27" s="1078" customFormat="1" ht="119.25" customHeight="1">
      <c r="A248" s="1121">
        <v>42</v>
      </c>
      <c r="B248" s="1062" t="s">
        <v>1482</v>
      </c>
      <c r="C248" s="1056">
        <f t="shared" ref="C248" si="160">D248+N248+P248+R248+T248+X248+Z248</f>
        <v>2244560.6799999997</v>
      </c>
      <c r="D248" s="1056">
        <f t="shared" ref="D248" si="161">SUM(E248:J248)</f>
        <v>2081527.4</v>
      </c>
      <c r="E248" s="1068">
        <v>2081527.4</v>
      </c>
      <c r="F248" s="1068">
        <v>0</v>
      </c>
      <c r="G248" s="1068">
        <v>0</v>
      </c>
      <c r="H248" s="1068">
        <v>0</v>
      </c>
      <c r="I248" s="1068">
        <v>0</v>
      </c>
      <c r="J248" s="1068">
        <v>0</v>
      </c>
      <c r="K248" s="1063">
        <v>0</v>
      </c>
      <c r="L248" s="1068">
        <v>0</v>
      </c>
      <c r="M248" s="1063">
        <v>0</v>
      </c>
      <c r="N248" s="1068">
        <v>0</v>
      </c>
      <c r="O248" s="1062">
        <v>0</v>
      </c>
      <c r="P248" s="1068">
        <v>0</v>
      </c>
      <c r="Q248" s="1068">
        <v>0</v>
      </c>
      <c r="R248" s="1068">
        <v>0</v>
      </c>
      <c r="S248" s="1068">
        <v>0</v>
      </c>
      <c r="T248" s="1068">
        <v>0</v>
      </c>
      <c r="U248" s="1076">
        <v>0</v>
      </c>
      <c r="V248" s="1076">
        <v>0</v>
      </c>
      <c r="W248" s="1068">
        <v>0</v>
      </c>
      <c r="X248" s="1068">
        <v>0</v>
      </c>
      <c r="Y248" s="1056">
        <v>0</v>
      </c>
      <c r="Z248" s="1068">
        <v>163033.28</v>
      </c>
      <c r="AA248" s="1068">
        <v>0</v>
      </c>
    </row>
    <row r="249" spans="1:27" s="1078" customFormat="1" ht="119.25" customHeight="1">
      <c r="A249" s="1121">
        <v>43</v>
      </c>
      <c r="B249" s="1062" t="s">
        <v>1483</v>
      </c>
      <c r="C249" s="1056">
        <f t="shared" ref="C249" si="162">D249+N249+P249+R249+T249+X249+Z249</f>
        <v>2193008.33</v>
      </c>
      <c r="D249" s="1056">
        <f t="shared" ref="D249" si="163">SUM(E249:J249)</f>
        <v>2033719.55</v>
      </c>
      <c r="E249" s="1068">
        <v>2033719.55</v>
      </c>
      <c r="F249" s="1068">
        <v>0</v>
      </c>
      <c r="G249" s="1068">
        <v>0</v>
      </c>
      <c r="H249" s="1068">
        <v>0</v>
      </c>
      <c r="I249" s="1068">
        <v>0</v>
      </c>
      <c r="J249" s="1068">
        <v>0</v>
      </c>
      <c r="K249" s="1063">
        <v>0</v>
      </c>
      <c r="L249" s="1068">
        <v>0</v>
      </c>
      <c r="M249" s="1063">
        <v>0</v>
      </c>
      <c r="N249" s="1068">
        <v>0</v>
      </c>
      <c r="O249" s="1062">
        <v>0</v>
      </c>
      <c r="P249" s="1068">
        <v>0</v>
      </c>
      <c r="Q249" s="1068">
        <v>0</v>
      </c>
      <c r="R249" s="1068">
        <v>0</v>
      </c>
      <c r="S249" s="1068">
        <v>0</v>
      </c>
      <c r="T249" s="1068">
        <v>0</v>
      </c>
      <c r="U249" s="1076">
        <v>0</v>
      </c>
      <c r="V249" s="1076">
        <v>0</v>
      </c>
      <c r="W249" s="1068">
        <v>0</v>
      </c>
      <c r="X249" s="1068">
        <v>0</v>
      </c>
      <c r="Y249" s="1056">
        <v>0</v>
      </c>
      <c r="Z249" s="1068">
        <v>159288.78</v>
      </c>
      <c r="AA249" s="1068">
        <v>0</v>
      </c>
    </row>
    <row r="250" spans="1:27" s="1069" customFormat="1" ht="86.45" customHeight="1">
      <c r="A250" s="1121"/>
      <c r="B250" s="1062" t="s">
        <v>1094</v>
      </c>
      <c r="C250" s="1056">
        <f>C251</f>
        <v>6667741.7200000007</v>
      </c>
      <c r="D250" s="1056">
        <f t="shared" ref="D250:AA250" si="164">D251</f>
        <v>0</v>
      </c>
      <c r="E250" s="1056">
        <f t="shared" si="164"/>
        <v>0</v>
      </c>
      <c r="F250" s="1056">
        <f t="shared" si="164"/>
        <v>0</v>
      </c>
      <c r="G250" s="1056">
        <f t="shared" si="164"/>
        <v>0</v>
      </c>
      <c r="H250" s="1056">
        <f t="shared" si="164"/>
        <v>0</v>
      </c>
      <c r="I250" s="1056">
        <f t="shared" si="164"/>
        <v>0</v>
      </c>
      <c r="J250" s="1056">
        <f t="shared" si="164"/>
        <v>0</v>
      </c>
      <c r="K250" s="1056">
        <f t="shared" si="164"/>
        <v>0</v>
      </c>
      <c r="L250" s="1056">
        <f t="shared" si="164"/>
        <v>0</v>
      </c>
      <c r="M250" s="1056">
        <f t="shared" si="164"/>
        <v>0</v>
      </c>
      <c r="N250" s="1056">
        <f t="shared" si="164"/>
        <v>0</v>
      </c>
      <c r="O250" s="1056">
        <f t="shared" si="164"/>
        <v>788.23</v>
      </c>
      <c r="P250" s="1056">
        <f t="shared" si="164"/>
        <v>6183431.4400000004</v>
      </c>
      <c r="Q250" s="1056">
        <f t="shared" si="164"/>
        <v>0</v>
      </c>
      <c r="R250" s="1056">
        <f t="shared" si="164"/>
        <v>0</v>
      </c>
      <c r="S250" s="1056">
        <f t="shared" si="164"/>
        <v>0</v>
      </c>
      <c r="T250" s="1056">
        <f t="shared" si="164"/>
        <v>0</v>
      </c>
      <c r="U250" s="1056">
        <f t="shared" si="164"/>
        <v>0</v>
      </c>
      <c r="V250" s="1056">
        <f t="shared" si="164"/>
        <v>0</v>
      </c>
      <c r="W250" s="1056">
        <f t="shared" si="164"/>
        <v>0</v>
      </c>
      <c r="X250" s="1056">
        <f t="shared" si="164"/>
        <v>0</v>
      </c>
      <c r="Y250" s="1056">
        <f t="shared" si="164"/>
        <v>0</v>
      </c>
      <c r="Z250" s="1056">
        <f t="shared" si="164"/>
        <v>484310.28</v>
      </c>
      <c r="AA250" s="1056">
        <f t="shared" si="164"/>
        <v>0</v>
      </c>
    </row>
    <row r="251" spans="1:27" s="1069" customFormat="1" ht="91.15" customHeight="1">
      <c r="A251" s="1121">
        <v>44</v>
      </c>
      <c r="B251" s="1062" t="s">
        <v>1540</v>
      </c>
      <c r="C251" s="1056">
        <f t="shared" ref="C251" si="165">D251+N251+P251+R251+T251+X251+Z251</f>
        <v>6667741.7200000007</v>
      </c>
      <c r="D251" s="1056">
        <f t="shared" ref="D251" si="166">SUM(E251:J251)</f>
        <v>0</v>
      </c>
      <c r="E251" s="1068">
        <v>0</v>
      </c>
      <c r="F251" s="1068">
        <v>0</v>
      </c>
      <c r="G251" s="1068">
        <v>0</v>
      </c>
      <c r="H251" s="1068">
        <v>0</v>
      </c>
      <c r="I251" s="1068">
        <v>0</v>
      </c>
      <c r="J251" s="1068">
        <v>0</v>
      </c>
      <c r="K251" s="1063">
        <v>0</v>
      </c>
      <c r="L251" s="1068">
        <v>0</v>
      </c>
      <c r="M251" s="1063">
        <v>0</v>
      </c>
      <c r="N251" s="1068">
        <v>0</v>
      </c>
      <c r="O251" s="1068">
        <v>788.23</v>
      </c>
      <c r="P251" s="1068">
        <v>6183431.4400000004</v>
      </c>
      <c r="Q251" s="1068">
        <v>0</v>
      </c>
      <c r="R251" s="1068">
        <v>0</v>
      </c>
      <c r="S251" s="1068">
        <v>0</v>
      </c>
      <c r="T251" s="1068">
        <v>0</v>
      </c>
      <c r="U251" s="1076">
        <v>0</v>
      </c>
      <c r="V251" s="1076">
        <v>0</v>
      </c>
      <c r="W251" s="1068">
        <v>0</v>
      </c>
      <c r="X251" s="1068">
        <v>0</v>
      </c>
      <c r="Y251" s="1056">
        <v>0</v>
      </c>
      <c r="Z251" s="1068">
        <v>484310.28</v>
      </c>
      <c r="AA251" s="1068">
        <v>0</v>
      </c>
    </row>
    <row r="252" spans="1:27" s="1064" customFormat="1" ht="65.45" customHeight="1">
      <c r="A252" s="1121"/>
      <c r="B252" s="1055" t="s">
        <v>41</v>
      </c>
      <c r="C252" s="1056">
        <f>C253</f>
        <v>18720983.869999997</v>
      </c>
      <c r="D252" s="1056">
        <f t="shared" ref="D252:AA252" si="167">D253</f>
        <v>0</v>
      </c>
      <c r="E252" s="1056">
        <f t="shared" si="167"/>
        <v>0</v>
      </c>
      <c r="F252" s="1056">
        <f t="shared" si="167"/>
        <v>0</v>
      </c>
      <c r="G252" s="1056">
        <f t="shared" si="167"/>
        <v>0</v>
      </c>
      <c r="H252" s="1056">
        <f t="shared" si="167"/>
        <v>0</v>
      </c>
      <c r="I252" s="1056">
        <f t="shared" si="167"/>
        <v>0</v>
      </c>
      <c r="J252" s="1056">
        <f t="shared" si="167"/>
        <v>0</v>
      </c>
      <c r="K252" s="1063">
        <f t="shared" si="167"/>
        <v>0</v>
      </c>
      <c r="L252" s="1056">
        <f t="shared" si="167"/>
        <v>0</v>
      </c>
      <c r="M252" s="1063">
        <f t="shared" si="167"/>
        <v>0</v>
      </c>
      <c r="N252" s="1056">
        <f t="shared" si="167"/>
        <v>0</v>
      </c>
      <c r="O252" s="1056">
        <f t="shared" si="167"/>
        <v>2135.7799999999997</v>
      </c>
      <c r="P252" s="1056">
        <f t="shared" si="167"/>
        <v>17361188.420000002</v>
      </c>
      <c r="Q252" s="1056">
        <f t="shared" si="167"/>
        <v>0</v>
      </c>
      <c r="R252" s="1056">
        <f t="shared" si="167"/>
        <v>0</v>
      </c>
      <c r="S252" s="1056">
        <f t="shared" si="167"/>
        <v>0</v>
      </c>
      <c r="T252" s="1056">
        <f t="shared" si="167"/>
        <v>0</v>
      </c>
      <c r="U252" s="1076">
        <v>0</v>
      </c>
      <c r="V252" s="1076">
        <v>0</v>
      </c>
      <c r="W252" s="1056">
        <f t="shared" si="167"/>
        <v>0</v>
      </c>
      <c r="X252" s="1056">
        <f t="shared" si="167"/>
        <v>0</v>
      </c>
      <c r="Y252" s="1076">
        <v>0</v>
      </c>
      <c r="Z252" s="1056">
        <f t="shared" si="167"/>
        <v>1359795.45</v>
      </c>
      <c r="AA252" s="1056">
        <f t="shared" si="167"/>
        <v>0</v>
      </c>
    </row>
    <row r="253" spans="1:27" s="1064" customFormat="1" ht="108" customHeight="1">
      <c r="A253" s="1121"/>
      <c r="B253" s="1055" t="s">
        <v>1025</v>
      </c>
      <c r="C253" s="1068">
        <f t="shared" ref="C253:T253" si="168">SUM(C254:C256)</f>
        <v>18720983.869999997</v>
      </c>
      <c r="D253" s="1068">
        <f t="shared" si="168"/>
        <v>0</v>
      </c>
      <c r="E253" s="1068">
        <f t="shared" si="168"/>
        <v>0</v>
      </c>
      <c r="F253" s="1068">
        <f t="shared" si="168"/>
        <v>0</v>
      </c>
      <c r="G253" s="1068">
        <f t="shared" si="168"/>
        <v>0</v>
      </c>
      <c r="H253" s="1068">
        <f t="shared" si="168"/>
        <v>0</v>
      </c>
      <c r="I253" s="1068">
        <f t="shared" si="168"/>
        <v>0</v>
      </c>
      <c r="J253" s="1068">
        <f t="shared" si="168"/>
        <v>0</v>
      </c>
      <c r="K253" s="1073">
        <f t="shared" si="168"/>
        <v>0</v>
      </c>
      <c r="L253" s="1068">
        <f t="shared" si="168"/>
        <v>0</v>
      </c>
      <c r="M253" s="1073">
        <f t="shared" si="168"/>
        <v>0</v>
      </c>
      <c r="N253" s="1068">
        <f t="shared" si="168"/>
        <v>0</v>
      </c>
      <c r="O253" s="1068">
        <f t="shared" si="168"/>
        <v>2135.7799999999997</v>
      </c>
      <c r="P253" s="1068">
        <f t="shared" si="168"/>
        <v>17361188.420000002</v>
      </c>
      <c r="Q253" s="1068">
        <f t="shared" si="168"/>
        <v>0</v>
      </c>
      <c r="R253" s="1068">
        <f t="shared" si="168"/>
        <v>0</v>
      </c>
      <c r="S253" s="1068">
        <f t="shared" si="168"/>
        <v>0</v>
      </c>
      <c r="T253" s="1068">
        <f t="shared" si="168"/>
        <v>0</v>
      </c>
      <c r="U253" s="1076">
        <v>0</v>
      </c>
      <c r="V253" s="1076">
        <v>0</v>
      </c>
      <c r="W253" s="1068">
        <f>SUM(W254:W256)</f>
        <v>0</v>
      </c>
      <c r="X253" s="1068">
        <f>SUM(X254:X256)</f>
        <v>0</v>
      </c>
      <c r="Y253" s="1068">
        <f>SUM(Y254:Y256)</f>
        <v>0</v>
      </c>
      <c r="Z253" s="1068">
        <f>SUM(Z254:Z256)</f>
        <v>1359795.45</v>
      </c>
      <c r="AA253" s="1068">
        <f>SUM(AA254:AA256)</f>
        <v>0</v>
      </c>
    </row>
    <row r="254" spans="1:27" s="1064" customFormat="1" ht="119.25" customHeight="1">
      <c r="A254" s="1121">
        <v>45</v>
      </c>
      <c r="B254" s="1062" t="s">
        <v>1450</v>
      </c>
      <c r="C254" s="1056">
        <f t="shared" ref="C254:C256" si="169">D254+N254+P254+R254+T254+X254+Z254</f>
        <v>6179714.1899999995</v>
      </c>
      <c r="D254" s="1056">
        <f t="shared" ref="D254:D256" si="170">SUM(E254:J254)</f>
        <v>0</v>
      </c>
      <c r="E254" s="1056">
        <v>0</v>
      </c>
      <c r="F254" s="1056">
        <v>0</v>
      </c>
      <c r="G254" s="1056">
        <v>0</v>
      </c>
      <c r="H254" s="1056">
        <v>0</v>
      </c>
      <c r="I254" s="1056">
        <v>0</v>
      </c>
      <c r="J254" s="1056">
        <v>0</v>
      </c>
      <c r="K254" s="1063">
        <v>0</v>
      </c>
      <c r="L254" s="1056">
        <v>0</v>
      </c>
      <c r="M254" s="1063">
        <v>0</v>
      </c>
      <c r="N254" s="1056">
        <v>0</v>
      </c>
      <c r="O254" s="1056">
        <v>737</v>
      </c>
      <c r="P254" s="1068">
        <v>5730851.71</v>
      </c>
      <c r="Q254" s="1056">
        <v>0</v>
      </c>
      <c r="R254" s="1056">
        <v>0</v>
      </c>
      <c r="S254" s="1056">
        <v>0</v>
      </c>
      <c r="T254" s="1056">
        <v>0</v>
      </c>
      <c r="U254" s="1076">
        <v>0</v>
      </c>
      <c r="V254" s="1076">
        <v>0</v>
      </c>
      <c r="W254" s="1056">
        <v>0</v>
      </c>
      <c r="X254" s="1056">
        <v>0</v>
      </c>
      <c r="Y254" s="1076">
        <v>0</v>
      </c>
      <c r="Z254" s="1056">
        <v>448862.48</v>
      </c>
      <c r="AA254" s="1056">
        <v>0</v>
      </c>
    </row>
    <row r="255" spans="1:27" s="1064" customFormat="1" ht="110.25" customHeight="1">
      <c r="A255" s="1121">
        <v>46</v>
      </c>
      <c r="B255" s="1062" t="s">
        <v>1462</v>
      </c>
      <c r="C255" s="1056">
        <f>D255+N255+P255+R255+T255+X255+Z255</f>
        <v>6262780.6799999997</v>
      </c>
      <c r="D255" s="1056">
        <f t="shared" si="170"/>
        <v>0</v>
      </c>
      <c r="E255" s="1056">
        <v>0</v>
      </c>
      <c r="F255" s="1056">
        <v>0</v>
      </c>
      <c r="G255" s="1056">
        <v>0</v>
      </c>
      <c r="H255" s="1056">
        <v>0</v>
      </c>
      <c r="I255" s="1056">
        <v>0</v>
      </c>
      <c r="J255" s="1056">
        <v>0</v>
      </c>
      <c r="K255" s="1063">
        <v>0</v>
      </c>
      <c r="L255" s="1056">
        <v>0</v>
      </c>
      <c r="M255" s="1063">
        <v>0</v>
      </c>
      <c r="N255" s="1056">
        <v>0</v>
      </c>
      <c r="O255" s="1056">
        <v>650</v>
      </c>
      <c r="P255" s="1068">
        <v>5807884.6799999997</v>
      </c>
      <c r="Q255" s="1056">
        <v>0</v>
      </c>
      <c r="R255" s="1056">
        <v>0</v>
      </c>
      <c r="S255" s="1056">
        <v>0</v>
      </c>
      <c r="T255" s="1056">
        <v>0</v>
      </c>
      <c r="U255" s="1076">
        <v>0</v>
      </c>
      <c r="V255" s="1076">
        <v>0</v>
      </c>
      <c r="W255" s="1056">
        <v>0</v>
      </c>
      <c r="X255" s="1056">
        <v>0</v>
      </c>
      <c r="Y255" s="1076">
        <v>0</v>
      </c>
      <c r="Z255" s="1056">
        <v>454896</v>
      </c>
      <c r="AA255" s="1056">
        <v>0</v>
      </c>
    </row>
    <row r="256" spans="1:27" s="1064" customFormat="1" ht="92.25" customHeight="1">
      <c r="A256" s="1121">
        <v>47</v>
      </c>
      <c r="B256" s="1062" t="s">
        <v>1463</v>
      </c>
      <c r="C256" s="1056">
        <f t="shared" si="169"/>
        <v>6278489</v>
      </c>
      <c r="D256" s="1056">
        <f t="shared" si="170"/>
        <v>0</v>
      </c>
      <c r="E256" s="1056">
        <v>0</v>
      </c>
      <c r="F256" s="1056">
        <v>0</v>
      </c>
      <c r="G256" s="1056">
        <v>0</v>
      </c>
      <c r="H256" s="1056">
        <v>0</v>
      </c>
      <c r="I256" s="1056">
        <v>0</v>
      </c>
      <c r="J256" s="1056">
        <v>0</v>
      </c>
      <c r="K256" s="1063">
        <v>0</v>
      </c>
      <c r="L256" s="1056">
        <v>0</v>
      </c>
      <c r="M256" s="1063">
        <v>0</v>
      </c>
      <c r="N256" s="1056">
        <v>0</v>
      </c>
      <c r="O256" s="1056">
        <v>748.78</v>
      </c>
      <c r="P256" s="1056">
        <v>5822452.0300000003</v>
      </c>
      <c r="Q256" s="1056">
        <v>0</v>
      </c>
      <c r="R256" s="1056">
        <v>0</v>
      </c>
      <c r="S256" s="1056">
        <v>0</v>
      </c>
      <c r="T256" s="1056">
        <v>0</v>
      </c>
      <c r="U256" s="1076">
        <v>0</v>
      </c>
      <c r="V256" s="1076">
        <v>0</v>
      </c>
      <c r="W256" s="1056">
        <v>0</v>
      </c>
      <c r="X256" s="1056">
        <v>0</v>
      </c>
      <c r="Y256" s="1056">
        <v>0</v>
      </c>
      <c r="Z256" s="1056">
        <v>456036.97</v>
      </c>
      <c r="AA256" s="1056">
        <v>0</v>
      </c>
    </row>
    <row r="257" spans="1:27" s="1064" customFormat="1" ht="114.75" customHeight="1">
      <c r="A257" s="1121"/>
      <c r="B257" s="1055" t="s">
        <v>1237</v>
      </c>
      <c r="C257" s="1056">
        <f>C258+C259</f>
        <v>815494.39999999991</v>
      </c>
      <c r="D257" s="1056">
        <f t="shared" ref="D257:AA257" si="171">D258+D259</f>
        <v>756261.11</v>
      </c>
      <c r="E257" s="1056">
        <f t="shared" si="171"/>
        <v>756261.11</v>
      </c>
      <c r="F257" s="1056">
        <f t="shared" si="171"/>
        <v>0</v>
      </c>
      <c r="G257" s="1056">
        <f t="shared" si="171"/>
        <v>0</v>
      </c>
      <c r="H257" s="1056">
        <f t="shared" si="171"/>
        <v>0</v>
      </c>
      <c r="I257" s="1056">
        <f t="shared" si="171"/>
        <v>0</v>
      </c>
      <c r="J257" s="1056">
        <f t="shared" si="171"/>
        <v>0</v>
      </c>
      <c r="K257" s="1056">
        <f t="shared" si="171"/>
        <v>0</v>
      </c>
      <c r="L257" s="1056">
        <f t="shared" si="171"/>
        <v>0</v>
      </c>
      <c r="M257" s="1056">
        <f t="shared" si="171"/>
        <v>0</v>
      </c>
      <c r="N257" s="1056">
        <f t="shared" si="171"/>
        <v>0</v>
      </c>
      <c r="O257" s="1056">
        <f t="shared" si="171"/>
        <v>0</v>
      </c>
      <c r="P257" s="1056">
        <f t="shared" si="171"/>
        <v>0</v>
      </c>
      <c r="Q257" s="1056">
        <f t="shared" si="171"/>
        <v>0</v>
      </c>
      <c r="R257" s="1056">
        <f t="shared" si="171"/>
        <v>0</v>
      </c>
      <c r="S257" s="1056">
        <f t="shared" si="171"/>
        <v>0</v>
      </c>
      <c r="T257" s="1056">
        <f t="shared" si="171"/>
        <v>0</v>
      </c>
      <c r="U257" s="1056">
        <f t="shared" si="171"/>
        <v>0</v>
      </c>
      <c r="V257" s="1056">
        <f t="shared" si="171"/>
        <v>0</v>
      </c>
      <c r="W257" s="1056">
        <f t="shared" si="171"/>
        <v>0</v>
      </c>
      <c r="X257" s="1056">
        <f t="shared" si="171"/>
        <v>0</v>
      </c>
      <c r="Y257" s="1056">
        <f t="shared" si="171"/>
        <v>0</v>
      </c>
      <c r="Z257" s="1056">
        <f t="shared" si="171"/>
        <v>59233.289999999994</v>
      </c>
      <c r="AA257" s="1056">
        <f t="shared" si="171"/>
        <v>0</v>
      </c>
    </row>
    <row r="258" spans="1:27" s="1064" customFormat="1" ht="114.75" customHeight="1">
      <c r="A258" s="1121">
        <v>48</v>
      </c>
      <c r="B258" s="1055" t="s">
        <v>1386</v>
      </c>
      <c r="C258" s="1056">
        <f t="shared" ref="C258" si="172">D258+N258+P258+R258+T258+X258+Z258</f>
        <v>390874.51999999996</v>
      </c>
      <c r="D258" s="1056">
        <f t="shared" ref="D258" si="173">SUM(E258:J258)</f>
        <v>362483.42</v>
      </c>
      <c r="E258" s="1056">
        <v>362483.42</v>
      </c>
      <c r="F258" s="1056">
        <v>0</v>
      </c>
      <c r="G258" s="1056">
        <v>0</v>
      </c>
      <c r="H258" s="1056">
        <v>0</v>
      </c>
      <c r="I258" s="1056">
        <v>0</v>
      </c>
      <c r="J258" s="1056">
        <v>0</v>
      </c>
      <c r="K258" s="1063">
        <v>0</v>
      </c>
      <c r="L258" s="1056">
        <v>0</v>
      </c>
      <c r="M258" s="1063">
        <v>0</v>
      </c>
      <c r="N258" s="1056">
        <v>0</v>
      </c>
      <c r="O258" s="1056">
        <v>0</v>
      </c>
      <c r="P258" s="1056">
        <v>0</v>
      </c>
      <c r="Q258" s="1056">
        <v>0</v>
      </c>
      <c r="R258" s="1056">
        <v>0</v>
      </c>
      <c r="S258" s="1056">
        <v>0</v>
      </c>
      <c r="T258" s="1056">
        <v>0</v>
      </c>
      <c r="U258" s="1076">
        <v>0</v>
      </c>
      <c r="V258" s="1076">
        <v>0</v>
      </c>
      <c r="W258" s="1056">
        <v>0</v>
      </c>
      <c r="X258" s="1056">
        <v>0</v>
      </c>
      <c r="Y258" s="1056">
        <v>0</v>
      </c>
      <c r="Z258" s="1056">
        <v>28391.1</v>
      </c>
      <c r="AA258" s="1056">
        <v>0</v>
      </c>
    </row>
    <row r="259" spans="1:27" s="1064" customFormat="1" ht="113.25" customHeight="1">
      <c r="A259" s="1121">
        <v>49</v>
      </c>
      <c r="B259" s="1055" t="s">
        <v>1387</v>
      </c>
      <c r="C259" s="1056">
        <f t="shared" ref="C259" si="174">D259+N259+P259+R259+T259+X259+Z259</f>
        <v>424619.88</v>
      </c>
      <c r="D259" s="1056">
        <f t="shared" ref="D259" si="175">SUM(E259:J259)</f>
        <v>393777.69</v>
      </c>
      <c r="E259" s="1056">
        <v>393777.69</v>
      </c>
      <c r="F259" s="1056">
        <v>0</v>
      </c>
      <c r="G259" s="1056">
        <v>0</v>
      </c>
      <c r="H259" s="1056">
        <v>0</v>
      </c>
      <c r="I259" s="1056">
        <v>0</v>
      </c>
      <c r="J259" s="1056">
        <v>0</v>
      </c>
      <c r="K259" s="1063">
        <v>0</v>
      </c>
      <c r="L259" s="1056">
        <v>0</v>
      </c>
      <c r="M259" s="1063">
        <v>0</v>
      </c>
      <c r="N259" s="1056">
        <v>0</v>
      </c>
      <c r="O259" s="1056">
        <v>0</v>
      </c>
      <c r="P259" s="1056">
        <v>0</v>
      </c>
      <c r="Q259" s="1056">
        <v>0</v>
      </c>
      <c r="R259" s="1056">
        <v>0</v>
      </c>
      <c r="S259" s="1056">
        <v>0</v>
      </c>
      <c r="T259" s="1056">
        <v>0</v>
      </c>
      <c r="U259" s="1076">
        <v>0</v>
      </c>
      <c r="V259" s="1076">
        <v>0</v>
      </c>
      <c r="W259" s="1056">
        <v>0</v>
      </c>
      <c r="X259" s="1056">
        <v>0</v>
      </c>
      <c r="Y259" s="1056">
        <v>0</v>
      </c>
      <c r="Z259" s="1056">
        <v>30842.19</v>
      </c>
      <c r="AA259" s="1056">
        <v>0</v>
      </c>
    </row>
    <row r="260" spans="1:27" s="1064" customFormat="1" ht="60.6" customHeight="1">
      <c r="A260" s="1121"/>
      <c r="B260" s="1055" t="s">
        <v>43</v>
      </c>
      <c r="C260" s="1056">
        <f>C261</f>
        <v>16322864.309999999</v>
      </c>
      <c r="D260" s="1056">
        <f t="shared" ref="D260:AA260" si="176">D261</f>
        <v>0</v>
      </c>
      <c r="E260" s="1056">
        <f t="shared" si="176"/>
        <v>0</v>
      </c>
      <c r="F260" s="1056">
        <f t="shared" si="176"/>
        <v>0</v>
      </c>
      <c r="G260" s="1056">
        <f t="shared" si="176"/>
        <v>0</v>
      </c>
      <c r="H260" s="1056">
        <f t="shared" si="176"/>
        <v>0</v>
      </c>
      <c r="I260" s="1056">
        <f t="shared" si="176"/>
        <v>0</v>
      </c>
      <c r="J260" s="1056">
        <f t="shared" si="176"/>
        <v>0</v>
      </c>
      <c r="K260" s="1063">
        <f t="shared" si="176"/>
        <v>0</v>
      </c>
      <c r="L260" s="1056">
        <f t="shared" si="176"/>
        <v>0</v>
      </c>
      <c r="M260" s="1063">
        <f t="shared" si="176"/>
        <v>0</v>
      </c>
      <c r="N260" s="1056">
        <f t="shared" si="176"/>
        <v>0</v>
      </c>
      <c r="O260" s="1056">
        <f t="shared" si="176"/>
        <v>1159.2</v>
      </c>
      <c r="P260" s="1056">
        <f t="shared" si="176"/>
        <v>10357692.189999999</v>
      </c>
      <c r="Q260" s="1056">
        <f t="shared" si="176"/>
        <v>0</v>
      </c>
      <c r="R260" s="1056">
        <f t="shared" si="176"/>
        <v>0</v>
      </c>
      <c r="S260" s="1056">
        <f t="shared" si="176"/>
        <v>1152</v>
      </c>
      <c r="T260" s="1056">
        <f t="shared" si="176"/>
        <v>4779563.67</v>
      </c>
      <c r="U260" s="1076">
        <v>0</v>
      </c>
      <c r="V260" s="1076">
        <v>0</v>
      </c>
      <c r="W260" s="1056">
        <f t="shared" si="176"/>
        <v>0</v>
      </c>
      <c r="X260" s="1056">
        <f t="shared" si="176"/>
        <v>0</v>
      </c>
      <c r="Y260" s="1076">
        <v>0</v>
      </c>
      <c r="Z260" s="1056">
        <f t="shared" si="176"/>
        <v>1185608.45</v>
      </c>
      <c r="AA260" s="1056">
        <f t="shared" si="176"/>
        <v>0</v>
      </c>
    </row>
    <row r="261" spans="1:27" s="1064" customFormat="1" ht="85.9" customHeight="1">
      <c r="A261" s="1121"/>
      <c r="B261" s="1062" t="s">
        <v>1040</v>
      </c>
      <c r="C261" s="1068">
        <f t="shared" ref="C261:T261" si="177">SUM(C262:C262)</f>
        <v>16322864.309999999</v>
      </c>
      <c r="D261" s="1068">
        <f t="shared" si="177"/>
        <v>0</v>
      </c>
      <c r="E261" s="1068">
        <f t="shared" si="177"/>
        <v>0</v>
      </c>
      <c r="F261" s="1068">
        <f t="shared" si="177"/>
        <v>0</v>
      </c>
      <c r="G261" s="1068">
        <f t="shared" si="177"/>
        <v>0</v>
      </c>
      <c r="H261" s="1068">
        <f t="shared" si="177"/>
        <v>0</v>
      </c>
      <c r="I261" s="1068">
        <f t="shared" si="177"/>
        <v>0</v>
      </c>
      <c r="J261" s="1068">
        <f t="shared" si="177"/>
        <v>0</v>
      </c>
      <c r="K261" s="1063">
        <f t="shared" si="177"/>
        <v>0</v>
      </c>
      <c r="L261" s="1068">
        <f t="shared" si="177"/>
        <v>0</v>
      </c>
      <c r="M261" s="1063">
        <f t="shared" si="177"/>
        <v>0</v>
      </c>
      <c r="N261" s="1068">
        <f t="shared" si="177"/>
        <v>0</v>
      </c>
      <c r="O261" s="1068">
        <f t="shared" si="177"/>
        <v>1159.2</v>
      </c>
      <c r="P261" s="1068">
        <f t="shared" si="177"/>
        <v>10357692.189999999</v>
      </c>
      <c r="Q261" s="1068">
        <f t="shared" si="177"/>
        <v>0</v>
      </c>
      <c r="R261" s="1068">
        <f t="shared" si="177"/>
        <v>0</v>
      </c>
      <c r="S261" s="1068">
        <f t="shared" si="177"/>
        <v>1152</v>
      </c>
      <c r="T261" s="1068">
        <f t="shared" si="177"/>
        <v>4779563.67</v>
      </c>
      <c r="U261" s="1076">
        <v>0</v>
      </c>
      <c r="V261" s="1076">
        <v>0</v>
      </c>
      <c r="W261" s="1068">
        <f>SUM(W262:W262)</f>
        <v>0</v>
      </c>
      <c r="X261" s="1068">
        <f>SUM(X262:X262)</f>
        <v>0</v>
      </c>
      <c r="Y261" s="1076">
        <v>0</v>
      </c>
      <c r="Z261" s="1068">
        <f>SUM(Z262:Z262)</f>
        <v>1185608.45</v>
      </c>
      <c r="AA261" s="1068">
        <f>SUM(AA262:AA262)</f>
        <v>0</v>
      </c>
    </row>
    <row r="262" spans="1:27" s="1064" customFormat="1" ht="59.45" customHeight="1">
      <c r="A262" s="1121">
        <v>50</v>
      </c>
      <c r="B262" s="1062" t="s">
        <v>1608</v>
      </c>
      <c r="C262" s="1056">
        <f t="shared" ref="C262" si="178">D262+N262+P262+R262+T262+X262+Z262</f>
        <v>16322864.309999999</v>
      </c>
      <c r="D262" s="1056">
        <f t="shared" ref="D262" si="179">SUM(E262:J262)</f>
        <v>0</v>
      </c>
      <c r="E262" s="1056">
        <v>0</v>
      </c>
      <c r="F262" s="1056">
        <v>0</v>
      </c>
      <c r="G262" s="1056">
        <v>0</v>
      </c>
      <c r="H262" s="1056">
        <v>0</v>
      </c>
      <c r="I262" s="1056">
        <v>0</v>
      </c>
      <c r="J262" s="1056">
        <v>0</v>
      </c>
      <c r="K262" s="1063">
        <v>0</v>
      </c>
      <c r="L262" s="1056">
        <v>0</v>
      </c>
      <c r="M262" s="1063">
        <v>0</v>
      </c>
      <c r="N262" s="1056">
        <v>0</v>
      </c>
      <c r="O262" s="1056">
        <v>1159.2</v>
      </c>
      <c r="P262" s="1056">
        <v>10357692.189999999</v>
      </c>
      <c r="Q262" s="1056">
        <v>0</v>
      </c>
      <c r="R262" s="1056">
        <v>0</v>
      </c>
      <c r="S262" s="1056">
        <v>1152</v>
      </c>
      <c r="T262" s="1056">
        <v>4779563.67</v>
      </c>
      <c r="U262" s="1076">
        <v>0</v>
      </c>
      <c r="V262" s="1076">
        <v>0</v>
      </c>
      <c r="W262" s="1056">
        <v>0</v>
      </c>
      <c r="X262" s="1056">
        <v>0</v>
      </c>
      <c r="Y262" s="1056">
        <v>0</v>
      </c>
      <c r="Z262" s="1056">
        <v>1185608.45</v>
      </c>
      <c r="AA262" s="1056">
        <v>0</v>
      </c>
    </row>
    <row r="263" spans="1:27" s="1071" customFormat="1" ht="104.25" customHeight="1">
      <c r="A263" s="1121"/>
      <c r="B263" s="1062" t="s">
        <v>1312</v>
      </c>
      <c r="C263" s="1056">
        <f>C264</f>
        <v>4370826.05</v>
      </c>
      <c r="D263" s="1056">
        <f t="shared" ref="D263:AA263" si="180">D264</f>
        <v>0</v>
      </c>
      <c r="E263" s="1056">
        <f t="shared" si="180"/>
        <v>0</v>
      </c>
      <c r="F263" s="1056">
        <f t="shared" si="180"/>
        <v>0</v>
      </c>
      <c r="G263" s="1056">
        <f t="shared" si="180"/>
        <v>0</v>
      </c>
      <c r="H263" s="1056">
        <f t="shared" si="180"/>
        <v>0</v>
      </c>
      <c r="I263" s="1056">
        <f t="shared" si="180"/>
        <v>0</v>
      </c>
      <c r="J263" s="1056">
        <f t="shared" si="180"/>
        <v>0</v>
      </c>
      <c r="K263" s="1056">
        <f t="shared" si="180"/>
        <v>0</v>
      </c>
      <c r="L263" s="1056">
        <f t="shared" si="180"/>
        <v>0</v>
      </c>
      <c r="M263" s="1056">
        <f t="shared" si="180"/>
        <v>0</v>
      </c>
      <c r="N263" s="1056">
        <f t="shared" si="180"/>
        <v>0</v>
      </c>
      <c r="O263" s="1056">
        <f t="shared" si="180"/>
        <v>783.5</v>
      </c>
      <c r="P263" s="1056">
        <f t="shared" si="180"/>
        <v>4053351.85</v>
      </c>
      <c r="Q263" s="1056">
        <f t="shared" si="180"/>
        <v>0</v>
      </c>
      <c r="R263" s="1056">
        <f t="shared" si="180"/>
        <v>0</v>
      </c>
      <c r="S263" s="1056">
        <f t="shared" si="180"/>
        <v>0</v>
      </c>
      <c r="T263" s="1056">
        <f t="shared" si="180"/>
        <v>0</v>
      </c>
      <c r="U263" s="1056">
        <f t="shared" si="180"/>
        <v>0</v>
      </c>
      <c r="V263" s="1056">
        <f t="shared" si="180"/>
        <v>0</v>
      </c>
      <c r="W263" s="1056">
        <f t="shared" si="180"/>
        <v>0</v>
      </c>
      <c r="X263" s="1056">
        <f t="shared" si="180"/>
        <v>0</v>
      </c>
      <c r="Y263" s="1056">
        <f t="shared" si="180"/>
        <v>0</v>
      </c>
      <c r="Z263" s="1056">
        <f t="shared" si="180"/>
        <v>317474.2</v>
      </c>
      <c r="AA263" s="1056">
        <f t="shared" si="180"/>
        <v>0</v>
      </c>
    </row>
    <row r="264" spans="1:27" s="1071" customFormat="1" ht="63" customHeight="1">
      <c r="A264" s="1121">
        <v>51</v>
      </c>
      <c r="B264" s="1055" t="s">
        <v>2146</v>
      </c>
      <c r="C264" s="1056">
        <f t="shared" ref="C264" si="181">D264+N264+P264+R264+T264+X264+Z264</f>
        <v>4370826.05</v>
      </c>
      <c r="D264" s="1056">
        <f t="shared" ref="D264" si="182">SUM(E264:J264)</f>
        <v>0</v>
      </c>
      <c r="E264" s="1056">
        <v>0</v>
      </c>
      <c r="F264" s="1056">
        <v>0</v>
      </c>
      <c r="G264" s="1056">
        <v>0</v>
      </c>
      <c r="H264" s="1056">
        <v>0</v>
      </c>
      <c r="I264" s="1056">
        <v>0</v>
      </c>
      <c r="J264" s="1056">
        <v>0</v>
      </c>
      <c r="K264" s="1063">
        <v>0</v>
      </c>
      <c r="L264" s="1056">
        <v>0</v>
      </c>
      <c r="M264" s="1063">
        <v>0</v>
      </c>
      <c r="N264" s="1056">
        <v>0</v>
      </c>
      <c r="O264" s="1056">
        <v>783.5</v>
      </c>
      <c r="P264" s="1056">
        <v>4053351.85</v>
      </c>
      <c r="Q264" s="1056">
        <v>0</v>
      </c>
      <c r="R264" s="1056">
        <v>0</v>
      </c>
      <c r="S264" s="1056">
        <v>0</v>
      </c>
      <c r="T264" s="1056">
        <v>0</v>
      </c>
      <c r="U264" s="1076">
        <v>0</v>
      </c>
      <c r="V264" s="1076">
        <v>0</v>
      </c>
      <c r="W264" s="1056">
        <v>0</v>
      </c>
      <c r="X264" s="1056">
        <v>0</v>
      </c>
      <c r="Y264" s="1076">
        <v>0</v>
      </c>
      <c r="Z264" s="1056">
        <v>317474.2</v>
      </c>
      <c r="AA264" s="1056">
        <v>0</v>
      </c>
    </row>
    <row r="265" spans="1:27" s="1071" customFormat="1" ht="93.6" customHeight="1">
      <c r="A265" s="1121"/>
      <c r="B265" s="1062" t="s">
        <v>1098</v>
      </c>
      <c r="C265" s="1056">
        <f>C266</f>
        <v>4158100.78</v>
      </c>
      <c r="D265" s="1056">
        <f t="shared" ref="D265:AA265" si="183">D266</f>
        <v>0</v>
      </c>
      <c r="E265" s="1056">
        <f t="shared" si="183"/>
        <v>0</v>
      </c>
      <c r="F265" s="1056">
        <f t="shared" si="183"/>
        <v>0</v>
      </c>
      <c r="G265" s="1056">
        <f t="shared" si="183"/>
        <v>0</v>
      </c>
      <c r="H265" s="1056">
        <f t="shared" si="183"/>
        <v>0</v>
      </c>
      <c r="I265" s="1056">
        <f t="shared" si="183"/>
        <v>0</v>
      </c>
      <c r="J265" s="1056">
        <f t="shared" si="183"/>
        <v>0</v>
      </c>
      <c r="K265" s="1056">
        <f t="shared" si="183"/>
        <v>0</v>
      </c>
      <c r="L265" s="1056">
        <f t="shared" si="183"/>
        <v>0</v>
      </c>
      <c r="M265" s="1056">
        <f t="shared" si="183"/>
        <v>0</v>
      </c>
      <c r="N265" s="1056">
        <f t="shared" si="183"/>
        <v>0</v>
      </c>
      <c r="O265" s="1056">
        <f t="shared" si="183"/>
        <v>495.9</v>
      </c>
      <c r="P265" s="1056">
        <f t="shared" si="183"/>
        <v>3856077.84</v>
      </c>
      <c r="Q265" s="1056">
        <f t="shared" si="183"/>
        <v>0</v>
      </c>
      <c r="R265" s="1056">
        <f t="shared" si="183"/>
        <v>0</v>
      </c>
      <c r="S265" s="1056">
        <f t="shared" si="183"/>
        <v>0</v>
      </c>
      <c r="T265" s="1056">
        <f t="shared" si="183"/>
        <v>0</v>
      </c>
      <c r="U265" s="1056">
        <f t="shared" si="183"/>
        <v>0</v>
      </c>
      <c r="V265" s="1056">
        <f t="shared" si="183"/>
        <v>0</v>
      </c>
      <c r="W265" s="1056">
        <f t="shared" si="183"/>
        <v>0</v>
      </c>
      <c r="X265" s="1056">
        <f t="shared" si="183"/>
        <v>0</v>
      </c>
      <c r="Y265" s="1056">
        <f t="shared" si="183"/>
        <v>0</v>
      </c>
      <c r="Z265" s="1056">
        <f t="shared" si="183"/>
        <v>302022.94</v>
      </c>
      <c r="AA265" s="1056">
        <f t="shared" si="183"/>
        <v>0</v>
      </c>
    </row>
    <row r="266" spans="1:27" s="1071" customFormat="1" ht="92.45" customHeight="1">
      <c r="A266" s="1121">
        <v>52</v>
      </c>
      <c r="B266" s="1055" t="s">
        <v>1602</v>
      </c>
      <c r="C266" s="1056">
        <f t="shared" ref="C266" si="184">D266+N266+P266+R266+T266+X266+Z266</f>
        <v>4158100.78</v>
      </c>
      <c r="D266" s="1056">
        <f t="shared" ref="D266" si="185">SUM(E266:J266)</f>
        <v>0</v>
      </c>
      <c r="E266" s="1056">
        <v>0</v>
      </c>
      <c r="F266" s="1056">
        <v>0</v>
      </c>
      <c r="G266" s="1056">
        <v>0</v>
      </c>
      <c r="H266" s="1056">
        <v>0</v>
      </c>
      <c r="I266" s="1056">
        <v>0</v>
      </c>
      <c r="J266" s="1056">
        <v>0</v>
      </c>
      <c r="K266" s="1063">
        <v>0</v>
      </c>
      <c r="L266" s="1056">
        <v>0</v>
      </c>
      <c r="M266" s="1063">
        <v>0</v>
      </c>
      <c r="N266" s="1056">
        <v>0</v>
      </c>
      <c r="O266" s="1056">
        <v>495.9</v>
      </c>
      <c r="P266" s="1056">
        <v>3856077.84</v>
      </c>
      <c r="Q266" s="1056">
        <v>0</v>
      </c>
      <c r="R266" s="1056">
        <v>0</v>
      </c>
      <c r="S266" s="1056">
        <v>0</v>
      </c>
      <c r="T266" s="1056">
        <v>0</v>
      </c>
      <c r="U266" s="1076">
        <v>0</v>
      </c>
      <c r="V266" s="1076">
        <v>0</v>
      </c>
      <c r="W266" s="1056">
        <v>0</v>
      </c>
      <c r="X266" s="1056">
        <v>0</v>
      </c>
      <c r="Y266" s="1076">
        <v>0</v>
      </c>
      <c r="Z266" s="1056">
        <v>302022.94</v>
      </c>
      <c r="AA266" s="1056">
        <v>0</v>
      </c>
    </row>
    <row r="267" spans="1:27" s="1071" customFormat="1" ht="80.45" customHeight="1">
      <c r="A267" s="1121"/>
      <c r="B267" s="1062" t="s">
        <v>49</v>
      </c>
      <c r="C267" s="1056">
        <f>C268+C270</f>
        <v>5038527.6099999994</v>
      </c>
      <c r="D267" s="1056">
        <f t="shared" ref="D267:AA267" si="186">D268+D270</f>
        <v>0</v>
      </c>
      <c r="E267" s="1056">
        <f t="shared" si="186"/>
        <v>0</v>
      </c>
      <c r="F267" s="1056">
        <f t="shared" si="186"/>
        <v>0</v>
      </c>
      <c r="G267" s="1056">
        <f t="shared" si="186"/>
        <v>0</v>
      </c>
      <c r="H267" s="1056">
        <f t="shared" si="186"/>
        <v>0</v>
      </c>
      <c r="I267" s="1056">
        <f t="shared" si="186"/>
        <v>0</v>
      </c>
      <c r="J267" s="1056">
        <f t="shared" si="186"/>
        <v>0</v>
      </c>
      <c r="K267" s="1056">
        <f t="shared" si="186"/>
        <v>0</v>
      </c>
      <c r="L267" s="1056">
        <f t="shared" si="186"/>
        <v>0</v>
      </c>
      <c r="M267" s="1056">
        <f t="shared" si="186"/>
        <v>0</v>
      </c>
      <c r="N267" s="1056">
        <f t="shared" si="186"/>
        <v>0</v>
      </c>
      <c r="O267" s="1056">
        <f t="shared" si="186"/>
        <v>903.19</v>
      </c>
      <c r="P267" s="1056">
        <f t="shared" si="186"/>
        <v>4672555.0199999996</v>
      </c>
      <c r="Q267" s="1056">
        <f t="shared" si="186"/>
        <v>0</v>
      </c>
      <c r="R267" s="1056">
        <f t="shared" si="186"/>
        <v>0</v>
      </c>
      <c r="S267" s="1056">
        <f t="shared" si="186"/>
        <v>0</v>
      </c>
      <c r="T267" s="1056">
        <f t="shared" si="186"/>
        <v>0</v>
      </c>
      <c r="U267" s="1056">
        <f t="shared" si="186"/>
        <v>0</v>
      </c>
      <c r="V267" s="1056">
        <f t="shared" si="186"/>
        <v>0</v>
      </c>
      <c r="W267" s="1056">
        <f t="shared" si="186"/>
        <v>0</v>
      </c>
      <c r="X267" s="1056">
        <f t="shared" si="186"/>
        <v>0</v>
      </c>
      <c r="Y267" s="1056">
        <f t="shared" si="186"/>
        <v>0</v>
      </c>
      <c r="Z267" s="1056">
        <f t="shared" si="186"/>
        <v>365972.58999999997</v>
      </c>
      <c r="AA267" s="1056">
        <f t="shared" si="186"/>
        <v>0</v>
      </c>
    </row>
    <row r="268" spans="1:27" s="1071" customFormat="1" ht="155.44999999999999" customHeight="1">
      <c r="A268" s="1121"/>
      <c r="B268" s="1062" t="s">
        <v>1056</v>
      </c>
      <c r="C268" s="1056">
        <f>C269</f>
        <v>2119864.58</v>
      </c>
      <c r="D268" s="1056">
        <f t="shared" ref="D268:AA270" si="187">D269</f>
        <v>0</v>
      </c>
      <c r="E268" s="1056">
        <f t="shared" si="187"/>
        <v>0</v>
      </c>
      <c r="F268" s="1056">
        <f t="shared" si="187"/>
        <v>0</v>
      </c>
      <c r="G268" s="1056">
        <f t="shared" si="187"/>
        <v>0</v>
      </c>
      <c r="H268" s="1056">
        <f t="shared" si="187"/>
        <v>0</v>
      </c>
      <c r="I268" s="1056">
        <f t="shared" si="187"/>
        <v>0</v>
      </c>
      <c r="J268" s="1056">
        <f t="shared" si="187"/>
        <v>0</v>
      </c>
      <c r="K268" s="1063">
        <v>0</v>
      </c>
      <c r="L268" s="1056">
        <v>0</v>
      </c>
      <c r="M268" s="1063">
        <f t="shared" si="187"/>
        <v>0</v>
      </c>
      <c r="N268" s="1056">
        <f t="shared" si="187"/>
        <v>0</v>
      </c>
      <c r="O268" s="1056">
        <f t="shared" si="187"/>
        <v>380</v>
      </c>
      <c r="P268" s="1056">
        <f t="shared" si="187"/>
        <v>1965888.58</v>
      </c>
      <c r="Q268" s="1056">
        <f t="shared" si="187"/>
        <v>0</v>
      </c>
      <c r="R268" s="1056">
        <f t="shared" si="187"/>
        <v>0</v>
      </c>
      <c r="S268" s="1056">
        <f t="shared" si="187"/>
        <v>0</v>
      </c>
      <c r="T268" s="1056">
        <f t="shared" si="187"/>
        <v>0</v>
      </c>
      <c r="U268" s="1076">
        <v>0</v>
      </c>
      <c r="V268" s="1076">
        <v>0</v>
      </c>
      <c r="W268" s="1056">
        <f t="shared" si="187"/>
        <v>0</v>
      </c>
      <c r="X268" s="1056">
        <f t="shared" si="187"/>
        <v>0</v>
      </c>
      <c r="Y268" s="1056">
        <v>0</v>
      </c>
      <c r="Z268" s="1056">
        <f t="shared" si="187"/>
        <v>153976</v>
      </c>
      <c r="AA268" s="1056">
        <f t="shared" si="187"/>
        <v>0</v>
      </c>
    </row>
    <row r="269" spans="1:27" s="1071" customFormat="1" ht="131.44999999999999" customHeight="1">
      <c r="A269" s="1121">
        <v>53</v>
      </c>
      <c r="B269" s="1055" t="s">
        <v>1434</v>
      </c>
      <c r="C269" s="1056">
        <f>D269+N269+P269+R269+T269+X269+Z269</f>
        <v>2119864.58</v>
      </c>
      <c r="D269" s="1056">
        <f>SUM(E269:J269)</f>
        <v>0</v>
      </c>
      <c r="E269" s="1056">
        <v>0</v>
      </c>
      <c r="F269" s="1056">
        <v>0</v>
      </c>
      <c r="G269" s="1056">
        <v>0</v>
      </c>
      <c r="H269" s="1056">
        <v>0</v>
      </c>
      <c r="I269" s="1056">
        <v>0</v>
      </c>
      <c r="J269" s="1056">
        <v>0</v>
      </c>
      <c r="K269" s="1063">
        <v>0</v>
      </c>
      <c r="L269" s="1056">
        <v>0</v>
      </c>
      <c r="M269" s="1063">
        <v>0</v>
      </c>
      <c r="N269" s="1056">
        <v>0</v>
      </c>
      <c r="O269" s="1056">
        <v>380</v>
      </c>
      <c r="P269" s="1056">
        <v>1965888.58</v>
      </c>
      <c r="Q269" s="1056">
        <v>0</v>
      </c>
      <c r="R269" s="1056">
        <v>0</v>
      </c>
      <c r="S269" s="1056">
        <v>0</v>
      </c>
      <c r="T269" s="1056">
        <v>0</v>
      </c>
      <c r="U269" s="1076">
        <v>0</v>
      </c>
      <c r="V269" s="1076">
        <v>0</v>
      </c>
      <c r="W269" s="1056">
        <v>0</v>
      </c>
      <c r="X269" s="1056">
        <v>0</v>
      </c>
      <c r="Y269" s="1076">
        <v>0</v>
      </c>
      <c r="Z269" s="1056">
        <v>153976</v>
      </c>
      <c r="AA269" s="1056">
        <v>0</v>
      </c>
    </row>
    <row r="270" spans="1:27" s="1071" customFormat="1" ht="141" customHeight="1">
      <c r="A270" s="1121"/>
      <c r="B270" s="1062" t="s">
        <v>1087</v>
      </c>
      <c r="C270" s="1056">
        <f>C271</f>
        <v>2918663.03</v>
      </c>
      <c r="D270" s="1056">
        <f t="shared" si="187"/>
        <v>0</v>
      </c>
      <c r="E270" s="1056">
        <f t="shared" ref="E270:AA270" si="188">E271</f>
        <v>0</v>
      </c>
      <c r="F270" s="1056">
        <f t="shared" si="188"/>
        <v>0</v>
      </c>
      <c r="G270" s="1056">
        <f t="shared" si="188"/>
        <v>0</v>
      </c>
      <c r="H270" s="1056">
        <f t="shared" si="188"/>
        <v>0</v>
      </c>
      <c r="I270" s="1056">
        <f t="shared" si="188"/>
        <v>0</v>
      </c>
      <c r="J270" s="1056">
        <f t="shared" si="188"/>
        <v>0</v>
      </c>
      <c r="K270" s="1063">
        <f t="shared" si="188"/>
        <v>0</v>
      </c>
      <c r="L270" s="1056">
        <f t="shared" si="188"/>
        <v>0</v>
      </c>
      <c r="M270" s="1063">
        <f t="shared" si="188"/>
        <v>0</v>
      </c>
      <c r="N270" s="1056">
        <f t="shared" si="188"/>
        <v>0</v>
      </c>
      <c r="O270" s="1056">
        <f t="shared" si="188"/>
        <v>523.19000000000005</v>
      </c>
      <c r="P270" s="1056">
        <f t="shared" si="188"/>
        <v>2706666.44</v>
      </c>
      <c r="Q270" s="1056">
        <f t="shared" si="188"/>
        <v>0</v>
      </c>
      <c r="R270" s="1056">
        <f t="shared" si="188"/>
        <v>0</v>
      </c>
      <c r="S270" s="1056">
        <f t="shared" si="188"/>
        <v>0</v>
      </c>
      <c r="T270" s="1056">
        <f t="shared" si="188"/>
        <v>0</v>
      </c>
      <c r="U270" s="1076">
        <v>0</v>
      </c>
      <c r="V270" s="1076">
        <v>0</v>
      </c>
      <c r="W270" s="1056">
        <f t="shared" si="188"/>
        <v>0</v>
      </c>
      <c r="X270" s="1056">
        <f t="shared" si="188"/>
        <v>0</v>
      </c>
      <c r="Y270" s="1056">
        <f t="shared" si="188"/>
        <v>0</v>
      </c>
      <c r="Z270" s="1056">
        <f t="shared" si="188"/>
        <v>211996.59</v>
      </c>
      <c r="AA270" s="1056">
        <f t="shared" si="188"/>
        <v>0</v>
      </c>
    </row>
    <row r="271" spans="1:27" s="1071" customFormat="1" ht="93" customHeight="1">
      <c r="A271" s="1121">
        <v>54</v>
      </c>
      <c r="B271" s="1055" t="s">
        <v>1704</v>
      </c>
      <c r="C271" s="1056">
        <f>D271+N271+P271+R271+T271+X271+Z271</f>
        <v>2918663.03</v>
      </c>
      <c r="D271" s="1056">
        <f>SUM(E271:J271)</f>
        <v>0</v>
      </c>
      <c r="E271" s="1056">
        <v>0</v>
      </c>
      <c r="F271" s="1056">
        <v>0</v>
      </c>
      <c r="G271" s="1056">
        <v>0</v>
      </c>
      <c r="H271" s="1056">
        <v>0</v>
      </c>
      <c r="I271" s="1056">
        <v>0</v>
      </c>
      <c r="J271" s="1056">
        <v>0</v>
      </c>
      <c r="K271" s="1063">
        <v>0</v>
      </c>
      <c r="L271" s="1056">
        <v>0</v>
      </c>
      <c r="M271" s="1063">
        <v>0</v>
      </c>
      <c r="N271" s="1056">
        <v>0</v>
      </c>
      <c r="O271" s="1056">
        <v>523.19000000000005</v>
      </c>
      <c r="P271" s="1056">
        <v>2706666.44</v>
      </c>
      <c r="Q271" s="1056">
        <v>0</v>
      </c>
      <c r="R271" s="1056">
        <v>0</v>
      </c>
      <c r="S271" s="1056">
        <v>0</v>
      </c>
      <c r="T271" s="1056">
        <v>0</v>
      </c>
      <c r="U271" s="1076">
        <v>0</v>
      </c>
      <c r="V271" s="1076">
        <v>0</v>
      </c>
      <c r="W271" s="1056">
        <v>0</v>
      </c>
      <c r="X271" s="1056">
        <v>0</v>
      </c>
      <c r="Y271" s="1076">
        <v>0</v>
      </c>
      <c r="Z271" s="1056">
        <v>211996.59</v>
      </c>
      <c r="AA271" s="1056">
        <v>0</v>
      </c>
    </row>
    <row r="272" spans="1:27" s="1071" customFormat="1" ht="70.150000000000006" customHeight="1">
      <c r="A272" s="1121"/>
      <c r="B272" s="1062" t="s">
        <v>50</v>
      </c>
      <c r="C272" s="1056">
        <f>C273</f>
        <v>11257596.639999999</v>
      </c>
      <c r="D272" s="1056">
        <f t="shared" ref="D272:AA272" si="189">D273</f>
        <v>0</v>
      </c>
      <c r="E272" s="1056">
        <f t="shared" si="189"/>
        <v>0</v>
      </c>
      <c r="F272" s="1056">
        <f t="shared" si="189"/>
        <v>0</v>
      </c>
      <c r="G272" s="1056">
        <f t="shared" si="189"/>
        <v>0</v>
      </c>
      <c r="H272" s="1056">
        <f t="shared" si="189"/>
        <v>0</v>
      </c>
      <c r="I272" s="1056">
        <f t="shared" si="189"/>
        <v>0</v>
      </c>
      <c r="J272" s="1056">
        <f t="shared" si="189"/>
        <v>0</v>
      </c>
      <c r="K272" s="1063">
        <v>0</v>
      </c>
      <c r="L272" s="1056">
        <v>0</v>
      </c>
      <c r="M272" s="1063">
        <f t="shared" si="189"/>
        <v>0</v>
      </c>
      <c r="N272" s="1056">
        <f t="shared" si="189"/>
        <v>0</v>
      </c>
      <c r="O272" s="1056">
        <f t="shared" si="189"/>
        <v>2018</v>
      </c>
      <c r="P272" s="1056">
        <f t="shared" si="189"/>
        <v>10439903.039999999</v>
      </c>
      <c r="Q272" s="1056">
        <f t="shared" si="189"/>
        <v>0</v>
      </c>
      <c r="R272" s="1056">
        <f t="shared" si="189"/>
        <v>0</v>
      </c>
      <c r="S272" s="1056">
        <f t="shared" si="189"/>
        <v>0</v>
      </c>
      <c r="T272" s="1056">
        <f t="shared" si="189"/>
        <v>0</v>
      </c>
      <c r="U272" s="1076">
        <v>0</v>
      </c>
      <c r="V272" s="1076">
        <v>0</v>
      </c>
      <c r="W272" s="1056">
        <f t="shared" si="189"/>
        <v>0</v>
      </c>
      <c r="X272" s="1056">
        <f t="shared" si="189"/>
        <v>0</v>
      </c>
      <c r="Y272" s="1076">
        <v>0</v>
      </c>
      <c r="Z272" s="1056">
        <f t="shared" si="189"/>
        <v>817693.60000000009</v>
      </c>
      <c r="AA272" s="1056">
        <f t="shared" si="189"/>
        <v>0</v>
      </c>
    </row>
    <row r="273" spans="1:27" s="1071" customFormat="1" ht="136.5" customHeight="1">
      <c r="A273" s="1121"/>
      <c r="B273" s="1062" t="s">
        <v>1260</v>
      </c>
      <c r="C273" s="1068">
        <f>SUM(C274:C277)</f>
        <v>11257596.639999999</v>
      </c>
      <c r="D273" s="1068">
        <f t="shared" ref="D273:AA273" si="190">SUM(D274:D277)</f>
        <v>0</v>
      </c>
      <c r="E273" s="1068">
        <f t="shared" si="190"/>
        <v>0</v>
      </c>
      <c r="F273" s="1068">
        <f t="shared" si="190"/>
        <v>0</v>
      </c>
      <c r="G273" s="1068">
        <f t="shared" si="190"/>
        <v>0</v>
      </c>
      <c r="H273" s="1068">
        <f t="shared" si="190"/>
        <v>0</v>
      </c>
      <c r="I273" s="1068">
        <f t="shared" si="190"/>
        <v>0</v>
      </c>
      <c r="J273" s="1068">
        <f t="shared" si="190"/>
        <v>0</v>
      </c>
      <c r="K273" s="1063">
        <f t="shared" si="190"/>
        <v>0</v>
      </c>
      <c r="L273" s="1068">
        <f t="shared" si="190"/>
        <v>0</v>
      </c>
      <c r="M273" s="1063">
        <f t="shared" si="190"/>
        <v>0</v>
      </c>
      <c r="N273" s="1068">
        <f t="shared" si="190"/>
        <v>0</v>
      </c>
      <c r="O273" s="1068">
        <f t="shared" si="190"/>
        <v>2018</v>
      </c>
      <c r="P273" s="1068">
        <f t="shared" si="190"/>
        <v>10439903.039999999</v>
      </c>
      <c r="Q273" s="1068">
        <f t="shared" si="190"/>
        <v>0</v>
      </c>
      <c r="R273" s="1068">
        <f t="shared" si="190"/>
        <v>0</v>
      </c>
      <c r="S273" s="1068">
        <f t="shared" si="190"/>
        <v>0</v>
      </c>
      <c r="T273" s="1068">
        <f t="shared" si="190"/>
        <v>0</v>
      </c>
      <c r="U273" s="1076">
        <v>0</v>
      </c>
      <c r="V273" s="1076">
        <v>0</v>
      </c>
      <c r="W273" s="1068">
        <f t="shared" si="190"/>
        <v>0</v>
      </c>
      <c r="X273" s="1068">
        <f t="shared" si="190"/>
        <v>0</v>
      </c>
      <c r="Y273" s="1076">
        <v>0</v>
      </c>
      <c r="Z273" s="1068">
        <f t="shared" si="190"/>
        <v>817693.60000000009</v>
      </c>
      <c r="AA273" s="1068">
        <f t="shared" si="190"/>
        <v>0</v>
      </c>
    </row>
    <row r="274" spans="1:27" s="1064" customFormat="1" ht="92.25" customHeight="1">
      <c r="A274" s="1121">
        <v>55</v>
      </c>
      <c r="B274" s="1062" t="s">
        <v>1470</v>
      </c>
      <c r="C274" s="1056">
        <f>D274+N274+P274+R274+T274+X274+Z274</f>
        <v>1891142.35</v>
      </c>
      <c r="D274" s="1056">
        <f t="shared" ref="D274" si="191">SUM(E274:J274)</f>
        <v>0</v>
      </c>
      <c r="E274" s="1056">
        <v>0</v>
      </c>
      <c r="F274" s="1056">
        <v>0</v>
      </c>
      <c r="G274" s="1056">
        <v>0</v>
      </c>
      <c r="H274" s="1056">
        <v>0</v>
      </c>
      <c r="I274" s="1056">
        <v>0</v>
      </c>
      <c r="J274" s="1056">
        <v>0</v>
      </c>
      <c r="K274" s="1063">
        <v>0</v>
      </c>
      <c r="L274" s="1056">
        <v>0</v>
      </c>
      <c r="M274" s="1063">
        <v>0</v>
      </c>
      <c r="N274" s="1056">
        <v>0</v>
      </c>
      <c r="O274" s="1056">
        <v>339</v>
      </c>
      <c r="P274" s="1068">
        <v>1753779.55</v>
      </c>
      <c r="Q274" s="1056">
        <v>0</v>
      </c>
      <c r="R274" s="1056">
        <v>0</v>
      </c>
      <c r="S274" s="1056">
        <v>0</v>
      </c>
      <c r="T274" s="1056">
        <v>0</v>
      </c>
      <c r="U274" s="1076">
        <v>0</v>
      </c>
      <c r="V274" s="1076">
        <v>0</v>
      </c>
      <c r="W274" s="1056">
        <v>0</v>
      </c>
      <c r="X274" s="1056">
        <v>0</v>
      </c>
      <c r="Y274" s="1056">
        <v>0</v>
      </c>
      <c r="Z274" s="1056">
        <v>137362.79999999999</v>
      </c>
      <c r="AA274" s="1056">
        <v>0</v>
      </c>
    </row>
    <row r="275" spans="1:27" s="1064" customFormat="1" ht="126" customHeight="1">
      <c r="A275" s="1121">
        <v>56</v>
      </c>
      <c r="B275" s="1055" t="s">
        <v>1471</v>
      </c>
      <c r="C275" s="1056">
        <f>D275+N275+P275+R275+T275+X275+Z275</f>
        <v>5411233.2699999996</v>
      </c>
      <c r="D275" s="1056">
        <f t="shared" ref="D275:D276" si="192">SUM(E275:J275)</f>
        <v>0</v>
      </c>
      <c r="E275" s="1056">
        <v>0</v>
      </c>
      <c r="F275" s="1056">
        <v>0</v>
      </c>
      <c r="G275" s="1056">
        <v>0</v>
      </c>
      <c r="H275" s="1056">
        <v>0</v>
      </c>
      <c r="I275" s="1056">
        <v>0</v>
      </c>
      <c r="J275" s="1056">
        <v>0</v>
      </c>
      <c r="K275" s="1063">
        <v>0</v>
      </c>
      <c r="L275" s="1056">
        <v>0</v>
      </c>
      <c r="M275" s="1063">
        <v>0</v>
      </c>
      <c r="N275" s="1056">
        <v>0</v>
      </c>
      <c r="O275" s="1056">
        <v>970</v>
      </c>
      <c r="P275" s="1266">
        <v>5018189.2699999996</v>
      </c>
      <c r="Q275" s="1056">
        <v>0</v>
      </c>
      <c r="R275" s="1056">
        <v>0</v>
      </c>
      <c r="S275" s="1056">
        <v>0</v>
      </c>
      <c r="T275" s="1056">
        <v>0</v>
      </c>
      <c r="U275" s="1076">
        <v>0</v>
      </c>
      <c r="V275" s="1076">
        <v>0</v>
      </c>
      <c r="W275" s="1056">
        <v>0</v>
      </c>
      <c r="X275" s="1056">
        <v>0</v>
      </c>
      <c r="Y275" s="1076">
        <v>0</v>
      </c>
      <c r="Z275" s="1056">
        <v>393044</v>
      </c>
      <c r="AA275" s="1056">
        <v>0</v>
      </c>
    </row>
    <row r="276" spans="1:27" s="1064" customFormat="1" ht="102" customHeight="1">
      <c r="A276" s="1121">
        <v>57</v>
      </c>
      <c r="B276" s="1055" t="s">
        <v>1472</v>
      </c>
      <c r="C276" s="1056">
        <f>D276+N276+P276+R276+T276+X276+Z276</f>
        <v>1891142.35</v>
      </c>
      <c r="D276" s="1056">
        <f t="shared" si="192"/>
        <v>0</v>
      </c>
      <c r="E276" s="1056">
        <v>0</v>
      </c>
      <c r="F276" s="1056">
        <v>0</v>
      </c>
      <c r="G276" s="1056">
        <v>0</v>
      </c>
      <c r="H276" s="1056">
        <v>0</v>
      </c>
      <c r="I276" s="1056">
        <v>0</v>
      </c>
      <c r="J276" s="1056">
        <v>0</v>
      </c>
      <c r="K276" s="1063">
        <v>0</v>
      </c>
      <c r="L276" s="1056">
        <v>0</v>
      </c>
      <c r="M276" s="1063">
        <v>0</v>
      </c>
      <c r="N276" s="1056">
        <v>0</v>
      </c>
      <c r="O276" s="1056">
        <v>339</v>
      </c>
      <c r="P276" s="1266">
        <v>1753779.55</v>
      </c>
      <c r="Q276" s="1056">
        <v>0</v>
      </c>
      <c r="R276" s="1056">
        <v>0</v>
      </c>
      <c r="S276" s="1056">
        <v>0</v>
      </c>
      <c r="T276" s="1056">
        <v>0</v>
      </c>
      <c r="U276" s="1076">
        <v>0</v>
      </c>
      <c r="V276" s="1076">
        <v>0</v>
      </c>
      <c r="W276" s="1056">
        <v>0</v>
      </c>
      <c r="X276" s="1056">
        <v>0</v>
      </c>
      <c r="Y276" s="1076">
        <v>0</v>
      </c>
      <c r="Z276" s="1056">
        <v>137362.79999999999</v>
      </c>
      <c r="AA276" s="1056">
        <v>0</v>
      </c>
    </row>
    <row r="277" spans="1:27" s="1064" customFormat="1" ht="93.75" customHeight="1">
      <c r="A277" s="1121">
        <v>58</v>
      </c>
      <c r="B277" s="1267" t="s">
        <v>1473</v>
      </c>
      <c r="C277" s="1056">
        <f>D277+N277+P277+R277+T277+X277+Z277</f>
        <v>2064078.67</v>
      </c>
      <c r="D277" s="1056">
        <f t="shared" ref="D277" si="193">SUM(E277:J277)</f>
        <v>0</v>
      </c>
      <c r="E277" s="1056">
        <v>0</v>
      </c>
      <c r="F277" s="1056">
        <v>0</v>
      </c>
      <c r="G277" s="1056">
        <v>0</v>
      </c>
      <c r="H277" s="1056">
        <v>0</v>
      </c>
      <c r="I277" s="1056">
        <v>0</v>
      </c>
      <c r="J277" s="1056">
        <v>0</v>
      </c>
      <c r="K277" s="1063">
        <v>0</v>
      </c>
      <c r="L277" s="1056">
        <v>0</v>
      </c>
      <c r="M277" s="1063">
        <v>0</v>
      </c>
      <c r="N277" s="1056">
        <v>0</v>
      </c>
      <c r="O277" s="1056">
        <v>370</v>
      </c>
      <c r="P277" s="1268">
        <v>1914154.67</v>
      </c>
      <c r="Q277" s="1056">
        <v>0</v>
      </c>
      <c r="R277" s="1056">
        <v>0</v>
      </c>
      <c r="S277" s="1056">
        <v>0</v>
      </c>
      <c r="T277" s="1056">
        <v>0</v>
      </c>
      <c r="U277" s="1076">
        <v>0</v>
      </c>
      <c r="V277" s="1076">
        <v>0</v>
      </c>
      <c r="W277" s="1056">
        <v>0</v>
      </c>
      <c r="X277" s="1056">
        <v>0</v>
      </c>
      <c r="Y277" s="1056">
        <v>0</v>
      </c>
      <c r="Z277" s="1056">
        <v>149924</v>
      </c>
      <c r="AA277" s="1056">
        <v>0</v>
      </c>
    </row>
    <row r="278" spans="1:27" s="1064" customFormat="1" ht="92.45" customHeight="1">
      <c r="A278" s="1121"/>
      <c r="B278" s="1062" t="s">
        <v>1067</v>
      </c>
      <c r="C278" s="1068">
        <f>C279+C280+C281+C282+C283</f>
        <v>19728615.199999999</v>
      </c>
      <c r="D278" s="1068">
        <f t="shared" ref="D278:AA278" si="194">D279+D280+D281+D282+D283</f>
        <v>1587348.24</v>
      </c>
      <c r="E278" s="1068">
        <f t="shared" si="194"/>
        <v>0</v>
      </c>
      <c r="F278" s="1068">
        <f t="shared" si="194"/>
        <v>0</v>
      </c>
      <c r="G278" s="1068">
        <f t="shared" si="194"/>
        <v>0</v>
      </c>
      <c r="H278" s="1068">
        <f t="shared" si="194"/>
        <v>0</v>
      </c>
      <c r="I278" s="1068">
        <f t="shared" si="194"/>
        <v>1587348.24</v>
      </c>
      <c r="J278" s="1068">
        <f t="shared" si="194"/>
        <v>0</v>
      </c>
      <c r="K278" s="1068">
        <f t="shared" si="194"/>
        <v>0</v>
      </c>
      <c r="L278" s="1068">
        <f t="shared" si="194"/>
        <v>0</v>
      </c>
      <c r="M278" s="1068">
        <f t="shared" si="194"/>
        <v>0</v>
      </c>
      <c r="N278" s="1068">
        <f t="shared" si="194"/>
        <v>0</v>
      </c>
      <c r="O278" s="1068">
        <f t="shared" si="194"/>
        <v>2190.71</v>
      </c>
      <c r="P278" s="1068">
        <f t="shared" si="194"/>
        <v>16708282.379999999</v>
      </c>
      <c r="Q278" s="1068">
        <f t="shared" si="194"/>
        <v>0</v>
      </c>
      <c r="R278" s="1068">
        <f t="shared" si="194"/>
        <v>0</v>
      </c>
      <c r="S278" s="1068">
        <f t="shared" si="194"/>
        <v>0</v>
      </c>
      <c r="T278" s="1068">
        <f t="shared" si="194"/>
        <v>0</v>
      </c>
      <c r="U278" s="1068">
        <f t="shared" si="194"/>
        <v>0</v>
      </c>
      <c r="V278" s="1068">
        <f t="shared" si="194"/>
        <v>0</v>
      </c>
      <c r="W278" s="1068">
        <f t="shared" si="194"/>
        <v>0</v>
      </c>
      <c r="X278" s="1068">
        <f t="shared" si="194"/>
        <v>0</v>
      </c>
      <c r="Y278" s="1068">
        <f t="shared" si="194"/>
        <v>0</v>
      </c>
      <c r="Z278" s="1068">
        <f t="shared" si="194"/>
        <v>1432984.58</v>
      </c>
      <c r="AA278" s="1068">
        <f t="shared" si="194"/>
        <v>0</v>
      </c>
    </row>
    <row r="279" spans="1:27" s="1064" customFormat="1" ht="84" customHeight="1">
      <c r="A279" s="1121">
        <v>59</v>
      </c>
      <c r="B279" s="1247" t="s">
        <v>1522</v>
      </c>
      <c r="C279" s="1056">
        <f t="shared" ref="C279:C283" si="195">D279+N279+P279+R279+T279+X279+Z279</f>
        <v>3641084.34</v>
      </c>
      <c r="D279" s="1056">
        <f t="shared" ref="D279:D283" si="196">SUM(E279:J279)</f>
        <v>0</v>
      </c>
      <c r="E279" s="1056">
        <v>0</v>
      </c>
      <c r="F279" s="1056">
        <v>0</v>
      </c>
      <c r="G279" s="1056">
        <v>0</v>
      </c>
      <c r="H279" s="1056">
        <v>0</v>
      </c>
      <c r="I279" s="1056">
        <v>0</v>
      </c>
      <c r="J279" s="1056">
        <v>0</v>
      </c>
      <c r="K279" s="1063">
        <v>0</v>
      </c>
      <c r="L279" s="1056">
        <v>0</v>
      </c>
      <c r="M279" s="1063">
        <v>0</v>
      </c>
      <c r="N279" s="1056">
        <v>0</v>
      </c>
      <c r="O279" s="1056">
        <v>377.9</v>
      </c>
      <c r="P279" s="1056">
        <v>3376614.8</v>
      </c>
      <c r="Q279" s="1056">
        <v>0</v>
      </c>
      <c r="R279" s="1056">
        <v>0</v>
      </c>
      <c r="S279" s="1056">
        <v>0</v>
      </c>
      <c r="T279" s="1056">
        <v>0</v>
      </c>
      <c r="U279" s="1076">
        <v>0</v>
      </c>
      <c r="V279" s="1076">
        <v>0</v>
      </c>
      <c r="W279" s="1056">
        <v>0</v>
      </c>
      <c r="X279" s="1056">
        <v>0</v>
      </c>
      <c r="Y279" s="1056">
        <v>0</v>
      </c>
      <c r="Z279" s="1269">
        <v>264469.53999999998</v>
      </c>
      <c r="AA279" s="1251">
        <v>0</v>
      </c>
    </row>
    <row r="280" spans="1:27" s="1064" customFormat="1" ht="131.44999999999999" customHeight="1">
      <c r="A280" s="1121">
        <v>60</v>
      </c>
      <c r="B280" s="1247" t="s">
        <v>1523</v>
      </c>
      <c r="C280" s="1056">
        <f t="shared" si="195"/>
        <v>4250384.2699999996</v>
      </c>
      <c r="D280" s="1056">
        <f t="shared" si="196"/>
        <v>0</v>
      </c>
      <c r="E280" s="1056">
        <v>0</v>
      </c>
      <c r="F280" s="1056">
        <v>0</v>
      </c>
      <c r="G280" s="1056">
        <v>0</v>
      </c>
      <c r="H280" s="1056">
        <v>0</v>
      </c>
      <c r="I280" s="1056">
        <v>0</v>
      </c>
      <c r="J280" s="1056">
        <v>0</v>
      </c>
      <c r="K280" s="1063">
        <v>0</v>
      </c>
      <c r="L280" s="1056">
        <v>0</v>
      </c>
      <c r="M280" s="1063">
        <v>0</v>
      </c>
      <c r="N280" s="1056">
        <v>0</v>
      </c>
      <c r="O280" s="1056">
        <v>761.91</v>
      </c>
      <c r="P280" s="1056">
        <v>3941658.34</v>
      </c>
      <c r="Q280" s="1056">
        <v>0</v>
      </c>
      <c r="R280" s="1056">
        <v>0</v>
      </c>
      <c r="S280" s="1056">
        <v>0</v>
      </c>
      <c r="T280" s="1056">
        <v>0</v>
      </c>
      <c r="U280" s="1076">
        <v>0</v>
      </c>
      <c r="V280" s="1076">
        <v>0</v>
      </c>
      <c r="W280" s="1056">
        <v>0</v>
      </c>
      <c r="X280" s="1056">
        <v>0</v>
      </c>
      <c r="Y280" s="1076">
        <v>0</v>
      </c>
      <c r="Z280" s="1269">
        <v>308725.93</v>
      </c>
      <c r="AA280" s="1251">
        <v>0</v>
      </c>
    </row>
    <row r="281" spans="1:27" s="1064" customFormat="1" ht="97.15" customHeight="1">
      <c r="A281" s="1121">
        <v>61</v>
      </c>
      <c r="B281" s="1247" t="s">
        <v>1524</v>
      </c>
      <c r="C281" s="1056">
        <f t="shared" si="195"/>
        <v>1711675.5</v>
      </c>
      <c r="D281" s="1056">
        <f t="shared" si="196"/>
        <v>1587348.24</v>
      </c>
      <c r="E281" s="1056">
        <v>0</v>
      </c>
      <c r="F281" s="1056">
        <v>0</v>
      </c>
      <c r="G281" s="1056">
        <v>0</v>
      </c>
      <c r="H281" s="1056">
        <v>0</v>
      </c>
      <c r="I281" s="1056">
        <v>1587348.24</v>
      </c>
      <c r="J281" s="1056">
        <v>0</v>
      </c>
      <c r="K281" s="1063">
        <v>0</v>
      </c>
      <c r="L281" s="1056">
        <v>0</v>
      </c>
      <c r="M281" s="1063">
        <v>0</v>
      </c>
      <c r="N281" s="1056">
        <v>0</v>
      </c>
      <c r="O281" s="1056">
        <v>0</v>
      </c>
      <c r="P281" s="1056">
        <v>0</v>
      </c>
      <c r="Q281" s="1056">
        <v>0</v>
      </c>
      <c r="R281" s="1056">
        <v>0</v>
      </c>
      <c r="S281" s="1056">
        <v>0</v>
      </c>
      <c r="T281" s="1056">
        <v>0</v>
      </c>
      <c r="U281" s="1076">
        <v>0</v>
      </c>
      <c r="V281" s="1076">
        <v>0</v>
      </c>
      <c r="W281" s="1056">
        <v>0</v>
      </c>
      <c r="X281" s="1056">
        <v>0</v>
      </c>
      <c r="Y281" s="1056">
        <v>0</v>
      </c>
      <c r="Z281" s="1269">
        <v>124327.26</v>
      </c>
      <c r="AA281" s="1251">
        <v>0</v>
      </c>
    </row>
    <row r="282" spans="1:27" s="1064" customFormat="1" ht="124.15" customHeight="1">
      <c r="A282" s="1121">
        <v>62</v>
      </c>
      <c r="B282" s="1247" t="s">
        <v>1525</v>
      </c>
      <c r="C282" s="1056">
        <f t="shared" si="195"/>
        <v>5863889.7199999997</v>
      </c>
      <c r="D282" s="1056">
        <f t="shared" si="196"/>
        <v>0</v>
      </c>
      <c r="E282" s="1056">
        <v>0</v>
      </c>
      <c r="F282" s="1056">
        <v>0</v>
      </c>
      <c r="G282" s="1056">
        <v>0</v>
      </c>
      <c r="H282" s="1056">
        <v>0</v>
      </c>
      <c r="I282" s="1056">
        <v>0</v>
      </c>
      <c r="J282" s="1056">
        <v>0</v>
      </c>
      <c r="K282" s="1063">
        <v>0</v>
      </c>
      <c r="L282" s="1056">
        <v>0</v>
      </c>
      <c r="M282" s="1063">
        <v>0</v>
      </c>
      <c r="N282" s="1056">
        <v>0</v>
      </c>
      <c r="O282" s="1056">
        <v>608.6</v>
      </c>
      <c r="P282" s="1056">
        <v>5437967.0999999996</v>
      </c>
      <c r="Q282" s="1056">
        <v>0</v>
      </c>
      <c r="R282" s="1056">
        <v>0</v>
      </c>
      <c r="S282" s="1056">
        <v>0</v>
      </c>
      <c r="T282" s="1056">
        <v>0</v>
      </c>
      <c r="U282" s="1076">
        <v>0</v>
      </c>
      <c r="V282" s="1076">
        <v>0</v>
      </c>
      <c r="W282" s="1056">
        <v>0</v>
      </c>
      <c r="X282" s="1056">
        <v>0</v>
      </c>
      <c r="Y282" s="1076">
        <v>0</v>
      </c>
      <c r="Z282" s="1270">
        <v>425922.62</v>
      </c>
      <c r="AA282" s="1251">
        <v>0</v>
      </c>
    </row>
    <row r="283" spans="1:27" s="1064" customFormat="1" ht="124.15" customHeight="1">
      <c r="A283" s="1121">
        <v>63</v>
      </c>
      <c r="B283" s="1247" t="s">
        <v>1526</v>
      </c>
      <c r="C283" s="1056">
        <f t="shared" si="195"/>
        <v>4261581.37</v>
      </c>
      <c r="D283" s="1056">
        <f t="shared" si="196"/>
        <v>0</v>
      </c>
      <c r="E283" s="1056">
        <v>0</v>
      </c>
      <c r="F283" s="1056">
        <v>0</v>
      </c>
      <c r="G283" s="1056">
        <v>0</v>
      </c>
      <c r="H283" s="1056">
        <v>0</v>
      </c>
      <c r="I283" s="1056">
        <v>0</v>
      </c>
      <c r="J283" s="1056">
        <v>0</v>
      </c>
      <c r="K283" s="1063">
        <v>0</v>
      </c>
      <c r="L283" s="1056">
        <v>0</v>
      </c>
      <c r="M283" s="1063">
        <v>0</v>
      </c>
      <c r="N283" s="1056">
        <v>0</v>
      </c>
      <c r="O283" s="1056">
        <v>442.3</v>
      </c>
      <c r="P283" s="1056">
        <v>3952042.14</v>
      </c>
      <c r="Q283" s="1056">
        <v>0</v>
      </c>
      <c r="R283" s="1056">
        <v>0</v>
      </c>
      <c r="S283" s="1056">
        <v>0</v>
      </c>
      <c r="T283" s="1056">
        <v>0</v>
      </c>
      <c r="U283" s="1076">
        <v>0</v>
      </c>
      <c r="V283" s="1076">
        <v>0</v>
      </c>
      <c r="W283" s="1056">
        <v>0</v>
      </c>
      <c r="X283" s="1056">
        <v>0</v>
      </c>
      <c r="Y283" s="1076">
        <v>0</v>
      </c>
      <c r="Z283" s="1269">
        <v>309539.23</v>
      </c>
      <c r="AA283" s="1251">
        <v>0</v>
      </c>
    </row>
    <row r="284" spans="1:27" s="1075" customFormat="1" ht="136.5" customHeight="1">
      <c r="A284" s="1232"/>
      <c r="B284" s="1062" t="s">
        <v>1243</v>
      </c>
      <c r="C284" s="1056">
        <f>C285+C286+C287</f>
        <v>17639844.420000002</v>
      </c>
      <c r="D284" s="1056">
        <f t="shared" ref="D284:AA284" si="197">D285+D286+D287</f>
        <v>0</v>
      </c>
      <c r="E284" s="1056">
        <f t="shared" si="197"/>
        <v>0</v>
      </c>
      <c r="F284" s="1056">
        <f t="shared" si="197"/>
        <v>0</v>
      </c>
      <c r="G284" s="1056">
        <f t="shared" si="197"/>
        <v>0</v>
      </c>
      <c r="H284" s="1056">
        <f t="shared" si="197"/>
        <v>0</v>
      </c>
      <c r="I284" s="1056">
        <f t="shared" si="197"/>
        <v>0</v>
      </c>
      <c r="J284" s="1056">
        <f t="shared" si="197"/>
        <v>0</v>
      </c>
      <c r="K284" s="1056">
        <f t="shared" si="197"/>
        <v>0</v>
      </c>
      <c r="L284" s="1056">
        <f t="shared" si="197"/>
        <v>0</v>
      </c>
      <c r="M284" s="1056">
        <f t="shared" si="197"/>
        <v>0</v>
      </c>
      <c r="N284" s="1056">
        <f t="shared" si="197"/>
        <v>0</v>
      </c>
      <c r="O284" s="1056">
        <f t="shared" si="197"/>
        <v>1830.8000000000002</v>
      </c>
      <c r="P284" s="1056">
        <f t="shared" si="197"/>
        <v>16358577.350000001</v>
      </c>
      <c r="Q284" s="1056">
        <f t="shared" si="197"/>
        <v>0</v>
      </c>
      <c r="R284" s="1056">
        <f t="shared" si="197"/>
        <v>0</v>
      </c>
      <c r="S284" s="1056">
        <f t="shared" si="197"/>
        <v>0</v>
      </c>
      <c r="T284" s="1056">
        <f t="shared" si="197"/>
        <v>0</v>
      </c>
      <c r="U284" s="1056">
        <f t="shared" si="197"/>
        <v>0</v>
      </c>
      <c r="V284" s="1056">
        <f t="shared" si="197"/>
        <v>0</v>
      </c>
      <c r="W284" s="1056">
        <f t="shared" si="197"/>
        <v>0</v>
      </c>
      <c r="X284" s="1056">
        <f t="shared" si="197"/>
        <v>0</v>
      </c>
      <c r="Y284" s="1056">
        <f t="shared" si="197"/>
        <v>0</v>
      </c>
      <c r="Z284" s="1056">
        <f t="shared" si="197"/>
        <v>1281267.07</v>
      </c>
      <c r="AA284" s="1056">
        <f t="shared" si="197"/>
        <v>0</v>
      </c>
    </row>
    <row r="285" spans="1:27" s="1071" customFormat="1" ht="72.599999999999994" customHeight="1">
      <c r="A285" s="1121">
        <v>64</v>
      </c>
      <c r="B285" s="1062" t="s">
        <v>1424</v>
      </c>
      <c r="C285" s="1056">
        <f>D285+N285+P285+R285+T285+X285+Z285</f>
        <v>4919655.0999999996</v>
      </c>
      <c r="D285" s="1056">
        <f t="shared" ref="D285" si="198">SUM(E285:J285)</f>
        <v>0</v>
      </c>
      <c r="E285" s="1056">
        <v>0</v>
      </c>
      <c r="F285" s="1056">
        <v>0</v>
      </c>
      <c r="G285" s="1056">
        <v>0</v>
      </c>
      <c r="H285" s="1056">
        <v>0</v>
      </c>
      <c r="I285" s="1056">
        <v>0</v>
      </c>
      <c r="J285" s="1056">
        <v>0</v>
      </c>
      <c r="K285" s="1063">
        <v>0</v>
      </c>
      <c r="L285" s="1056">
        <v>0</v>
      </c>
      <c r="M285" s="1063">
        <v>0</v>
      </c>
      <c r="N285" s="1056">
        <v>0</v>
      </c>
      <c r="O285" s="1056">
        <v>510.6</v>
      </c>
      <c r="P285" s="1056">
        <v>4562316.8</v>
      </c>
      <c r="Q285" s="1056">
        <v>0</v>
      </c>
      <c r="R285" s="1056">
        <v>0</v>
      </c>
      <c r="S285" s="1056">
        <v>0</v>
      </c>
      <c r="T285" s="1056">
        <v>0</v>
      </c>
      <c r="U285" s="1076">
        <v>0</v>
      </c>
      <c r="V285" s="1076">
        <v>0</v>
      </c>
      <c r="W285" s="1056">
        <v>0</v>
      </c>
      <c r="X285" s="1056">
        <v>0</v>
      </c>
      <c r="Y285" s="1056">
        <v>0</v>
      </c>
      <c r="Z285" s="1056">
        <v>357338.3</v>
      </c>
      <c r="AA285" s="1056">
        <v>0</v>
      </c>
    </row>
    <row r="286" spans="1:27" s="1075" customFormat="1" ht="88.9" customHeight="1">
      <c r="A286" s="1121">
        <v>65</v>
      </c>
      <c r="B286" s="1062" t="s">
        <v>1425</v>
      </c>
      <c r="C286" s="1056">
        <f>D286+N286+P286+R286+T286+X286+Z286+L286</f>
        <v>8052008.9500000002</v>
      </c>
      <c r="D286" s="1056">
        <f t="shared" ref="D286" si="199">SUM(E286:J286)</f>
        <v>0</v>
      </c>
      <c r="E286" s="1056">
        <v>0</v>
      </c>
      <c r="F286" s="1056">
        <v>0</v>
      </c>
      <c r="G286" s="1056">
        <v>0</v>
      </c>
      <c r="H286" s="1056">
        <v>0</v>
      </c>
      <c r="I286" s="1056">
        <v>0</v>
      </c>
      <c r="J286" s="1056">
        <v>0</v>
      </c>
      <c r="K286" s="1063">
        <v>0</v>
      </c>
      <c r="L286" s="1056">
        <v>0</v>
      </c>
      <c r="M286" s="1063">
        <v>0</v>
      </c>
      <c r="N286" s="1056">
        <v>0</v>
      </c>
      <c r="O286" s="1056">
        <v>835.7</v>
      </c>
      <c r="P286" s="1056">
        <v>7467152.6600000001</v>
      </c>
      <c r="Q286" s="1056">
        <v>0</v>
      </c>
      <c r="R286" s="1056">
        <v>0</v>
      </c>
      <c r="S286" s="1056">
        <v>0</v>
      </c>
      <c r="T286" s="1056">
        <v>0</v>
      </c>
      <c r="U286" s="1076">
        <v>0</v>
      </c>
      <c r="V286" s="1076">
        <v>0</v>
      </c>
      <c r="W286" s="1056">
        <v>0</v>
      </c>
      <c r="X286" s="1056">
        <v>0</v>
      </c>
      <c r="Y286" s="1056">
        <v>0</v>
      </c>
      <c r="Z286" s="1056">
        <v>584856.29</v>
      </c>
      <c r="AA286" s="1056">
        <v>0</v>
      </c>
    </row>
    <row r="287" spans="1:27" s="1075" customFormat="1" ht="88.9" customHeight="1">
      <c r="A287" s="1121">
        <v>66</v>
      </c>
      <c r="B287" s="1062" t="s">
        <v>1585</v>
      </c>
      <c r="C287" s="1056">
        <f>D287+N287+P287+R287+T287+X287+Z287</f>
        <v>4668180.3699999992</v>
      </c>
      <c r="D287" s="1056">
        <f t="shared" ref="D287" si="200">SUM(E287:J287)</f>
        <v>0</v>
      </c>
      <c r="E287" s="1056"/>
      <c r="F287" s="1056"/>
      <c r="G287" s="1056"/>
      <c r="H287" s="1056"/>
      <c r="I287" s="1056"/>
      <c r="J287" s="1056"/>
      <c r="K287" s="1063"/>
      <c r="L287" s="1056"/>
      <c r="M287" s="1063"/>
      <c r="N287" s="1056"/>
      <c r="O287" s="1056">
        <v>484.5</v>
      </c>
      <c r="P287" s="1056">
        <v>4329107.8899999997</v>
      </c>
      <c r="Q287" s="1056"/>
      <c r="R287" s="1056"/>
      <c r="S287" s="1056"/>
      <c r="T287" s="1056"/>
      <c r="U287" s="1076"/>
      <c r="V287" s="1076"/>
      <c r="W287" s="1056"/>
      <c r="X287" s="1056"/>
      <c r="Y287" s="1056"/>
      <c r="Z287" s="1056">
        <v>339072.48</v>
      </c>
      <c r="AA287" s="1056"/>
    </row>
    <row r="288" spans="1:27" s="1064" customFormat="1" ht="75" customHeight="1">
      <c r="A288" s="1121"/>
      <c r="B288" s="1062" t="s">
        <v>53</v>
      </c>
      <c r="C288" s="1056">
        <f>C289+C295+C297</f>
        <v>68185265.25</v>
      </c>
      <c r="D288" s="1056">
        <f t="shared" ref="D288:AA288" si="201">D289+D295+D297</f>
        <v>0</v>
      </c>
      <c r="E288" s="1056">
        <f t="shared" si="201"/>
        <v>0</v>
      </c>
      <c r="F288" s="1056">
        <f t="shared" si="201"/>
        <v>0</v>
      </c>
      <c r="G288" s="1056">
        <f t="shared" si="201"/>
        <v>0</v>
      </c>
      <c r="H288" s="1056">
        <f t="shared" si="201"/>
        <v>0</v>
      </c>
      <c r="I288" s="1056">
        <f t="shared" si="201"/>
        <v>0</v>
      </c>
      <c r="J288" s="1056">
        <f t="shared" si="201"/>
        <v>0</v>
      </c>
      <c r="K288" s="1056">
        <f t="shared" si="201"/>
        <v>0</v>
      </c>
      <c r="L288" s="1056">
        <f t="shared" si="201"/>
        <v>0</v>
      </c>
      <c r="M288" s="1056">
        <f t="shared" si="201"/>
        <v>5</v>
      </c>
      <c r="N288" s="1056">
        <f t="shared" si="201"/>
        <v>14913972.1</v>
      </c>
      <c r="O288" s="1056">
        <f t="shared" si="201"/>
        <v>5440</v>
      </c>
      <c r="P288" s="1056">
        <f t="shared" si="201"/>
        <v>35249317.850000001</v>
      </c>
      <c r="Q288" s="1056">
        <f t="shared" si="201"/>
        <v>0</v>
      </c>
      <c r="R288" s="1056">
        <f t="shared" si="201"/>
        <v>0</v>
      </c>
      <c r="S288" s="1056">
        <f t="shared" si="201"/>
        <v>2647</v>
      </c>
      <c r="T288" s="1056">
        <f t="shared" si="201"/>
        <v>10982209.24</v>
      </c>
      <c r="U288" s="1056">
        <f t="shared" si="201"/>
        <v>0</v>
      </c>
      <c r="V288" s="1056">
        <f t="shared" si="201"/>
        <v>0</v>
      </c>
      <c r="W288" s="1056">
        <f t="shared" si="201"/>
        <v>0</v>
      </c>
      <c r="X288" s="1056">
        <f t="shared" si="201"/>
        <v>0</v>
      </c>
      <c r="Y288" s="1056">
        <f t="shared" si="201"/>
        <v>0</v>
      </c>
      <c r="Z288" s="1056">
        <f t="shared" si="201"/>
        <v>4952625.0399999991</v>
      </c>
      <c r="AA288" s="1056">
        <f t="shared" si="201"/>
        <v>0</v>
      </c>
    </row>
    <row r="289" spans="1:27" s="1064" customFormat="1" ht="126.6" customHeight="1">
      <c r="A289" s="1121"/>
      <c r="B289" s="1062" t="s">
        <v>1202</v>
      </c>
      <c r="C289" s="1068">
        <f t="shared" ref="C289:T289" si="202">SUM(C290:C294)</f>
        <v>54908170.200000003</v>
      </c>
      <c r="D289" s="1068">
        <f t="shared" si="202"/>
        <v>0</v>
      </c>
      <c r="E289" s="1068">
        <f t="shared" si="202"/>
        <v>0</v>
      </c>
      <c r="F289" s="1068">
        <f t="shared" si="202"/>
        <v>0</v>
      </c>
      <c r="G289" s="1068">
        <f t="shared" si="202"/>
        <v>0</v>
      </c>
      <c r="H289" s="1068">
        <f t="shared" si="202"/>
        <v>0</v>
      </c>
      <c r="I289" s="1068">
        <f t="shared" si="202"/>
        <v>0</v>
      </c>
      <c r="J289" s="1068">
        <f t="shared" si="202"/>
        <v>0</v>
      </c>
      <c r="K289" s="1073">
        <f t="shared" si="202"/>
        <v>0</v>
      </c>
      <c r="L289" s="1068">
        <f t="shared" si="202"/>
        <v>0</v>
      </c>
      <c r="M289" s="1073">
        <f t="shared" si="202"/>
        <v>5</v>
      </c>
      <c r="N289" s="1068">
        <f t="shared" si="202"/>
        <v>14913972.1</v>
      </c>
      <c r="O289" s="1068">
        <f t="shared" si="202"/>
        <v>4062</v>
      </c>
      <c r="P289" s="1068">
        <f t="shared" si="202"/>
        <v>22936602.32</v>
      </c>
      <c r="Q289" s="1068">
        <f t="shared" si="202"/>
        <v>0</v>
      </c>
      <c r="R289" s="1068">
        <f t="shared" si="202"/>
        <v>0</v>
      </c>
      <c r="S289" s="1068">
        <f t="shared" si="202"/>
        <v>2647</v>
      </c>
      <c r="T289" s="1068">
        <f t="shared" si="202"/>
        <v>10982209.24</v>
      </c>
      <c r="U289" s="1076">
        <v>0</v>
      </c>
      <c r="V289" s="1076">
        <v>0</v>
      </c>
      <c r="W289" s="1068">
        <f>SUM(W290:W294)</f>
        <v>0</v>
      </c>
      <c r="X289" s="1068">
        <f>SUM(X290:X294)</f>
        <v>0</v>
      </c>
      <c r="Y289" s="1068">
        <f>SUM(Y290:Y294)</f>
        <v>0</v>
      </c>
      <c r="Z289" s="1068">
        <f>SUM(Z290:Z294)</f>
        <v>3988245.52</v>
      </c>
      <c r="AA289" s="1068">
        <f>SUM(AA290:AA294)</f>
        <v>0</v>
      </c>
    </row>
    <row r="290" spans="1:27" s="1064" customFormat="1" ht="76.5" customHeight="1">
      <c r="A290" s="1121">
        <v>67</v>
      </c>
      <c r="B290" s="1062" t="s">
        <v>1666</v>
      </c>
      <c r="C290" s="1056">
        <f>D290+N290+P290+R290+T290+X290+Z290+L290+V290</f>
        <v>20006298.800000001</v>
      </c>
      <c r="D290" s="1056">
        <f t="shared" ref="D290" si="203">SUM(E290:J290)</f>
        <v>0</v>
      </c>
      <c r="E290" s="1068">
        <v>0</v>
      </c>
      <c r="F290" s="1068">
        <v>0</v>
      </c>
      <c r="G290" s="1068">
        <v>0</v>
      </c>
      <c r="H290" s="1068">
        <v>0</v>
      </c>
      <c r="I290" s="1068">
        <v>0</v>
      </c>
      <c r="J290" s="1068">
        <v>0</v>
      </c>
      <c r="K290" s="1063">
        <v>0</v>
      </c>
      <c r="L290" s="1068">
        <v>0</v>
      </c>
      <c r="M290" s="1063">
        <v>0</v>
      </c>
      <c r="N290" s="1068">
        <v>0</v>
      </c>
      <c r="O290" s="1068">
        <v>1060</v>
      </c>
      <c r="P290" s="1068">
        <v>5483794.46</v>
      </c>
      <c r="Q290" s="1068">
        <v>0</v>
      </c>
      <c r="R290" s="1068">
        <v>0</v>
      </c>
      <c r="S290" s="1068">
        <v>2647</v>
      </c>
      <c r="T290" s="1068">
        <v>10982209.24</v>
      </c>
      <c r="U290" s="1076">
        <v>437</v>
      </c>
      <c r="V290" s="1076">
        <v>2087141.02</v>
      </c>
      <c r="W290" s="1068">
        <v>0</v>
      </c>
      <c r="X290" s="1068">
        <v>0</v>
      </c>
      <c r="Y290" s="1076">
        <v>0</v>
      </c>
      <c r="Z290" s="1068">
        <v>1453154.08</v>
      </c>
      <c r="AA290" s="1068">
        <v>0</v>
      </c>
    </row>
    <row r="291" spans="1:27" s="1064" customFormat="1" ht="87" customHeight="1">
      <c r="A291" s="1121">
        <v>68</v>
      </c>
      <c r="B291" s="1062" t="s">
        <v>1667</v>
      </c>
      <c r="C291" s="1056">
        <f t="shared" ref="C291:C294" si="204">D291+N291+P291+R291+T291+X291+Z291+L291+V291</f>
        <v>4228571.9799999995</v>
      </c>
      <c r="D291" s="1056">
        <f t="shared" ref="D291:D294" si="205">SUM(E291:J291)</f>
        <v>0</v>
      </c>
      <c r="E291" s="1068">
        <v>0</v>
      </c>
      <c r="F291" s="1068">
        <v>0</v>
      </c>
      <c r="G291" s="1068">
        <v>0</v>
      </c>
      <c r="H291" s="1068">
        <v>0</v>
      </c>
      <c r="I291" s="1068">
        <v>0</v>
      </c>
      <c r="J291" s="1068">
        <v>0</v>
      </c>
      <c r="K291" s="1063">
        <v>0</v>
      </c>
      <c r="L291" s="1068">
        <v>0</v>
      </c>
      <c r="M291" s="1063">
        <v>0</v>
      </c>
      <c r="N291" s="1068">
        <v>0</v>
      </c>
      <c r="O291" s="1068">
        <v>758</v>
      </c>
      <c r="P291" s="1068">
        <v>3921430.38</v>
      </c>
      <c r="Q291" s="1068">
        <v>0</v>
      </c>
      <c r="R291" s="1068">
        <v>0</v>
      </c>
      <c r="S291" s="1068">
        <v>0</v>
      </c>
      <c r="T291" s="1068">
        <v>0</v>
      </c>
      <c r="U291" s="1076">
        <v>0</v>
      </c>
      <c r="V291" s="1076">
        <v>0</v>
      </c>
      <c r="W291" s="1068">
        <v>0</v>
      </c>
      <c r="X291" s="1068">
        <v>0</v>
      </c>
      <c r="Y291" s="1056">
        <v>0</v>
      </c>
      <c r="Z291" s="1068">
        <v>307141.59999999998</v>
      </c>
      <c r="AA291" s="1068">
        <v>0</v>
      </c>
    </row>
    <row r="292" spans="1:27" s="1064" customFormat="1" ht="96" customHeight="1">
      <c r="A292" s="1121">
        <v>69</v>
      </c>
      <c r="B292" s="1062" t="s">
        <v>1668</v>
      </c>
      <c r="C292" s="1056">
        <f t="shared" si="204"/>
        <v>4923509.12</v>
      </c>
      <c r="D292" s="1056">
        <f t="shared" si="205"/>
        <v>0</v>
      </c>
      <c r="E292" s="1068">
        <v>0</v>
      </c>
      <c r="F292" s="1068">
        <v>0</v>
      </c>
      <c r="G292" s="1068">
        <v>0</v>
      </c>
      <c r="H292" s="1068">
        <v>0</v>
      </c>
      <c r="I292" s="1068">
        <v>0</v>
      </c>
      <c r="J292" s="1068">
        <v>0</v>
      </c>
      <c r="K292" s="1063">
        <v>0</v>
      </c>
      <c r="L292" s="1068">
        <v>0</v>
      </c>
      <c r="M292" s="1063">
        <v>0</v>
      </c>
      <c r="N292" s="1068">
        <v>0</v>
      </c>
      <c r="O292" s="1068">
        <v>511</v>
      </c>
      <c r="P292" s="1068">
        <v>4565890.88</v>
      </c>
      <c r="Q292" s="1068">
        <v>0</v>
      </c>
      <c r="R292" s="1068">
        <v>0</v>
      </c>
      <c r="S292" s="1068">
        <v>0</v>
      </c>
      <c r="T292" s="1068">
        <v>0</v>
      </c>
      <c r="U292" s="1076">
        <v>0</v>
      </c>
      <c r="V292" s="1076">
        <v>0</v>
      </c>
      <c r="W292" s="1068">
        <v>0</v>
      </c>
      <c r="X292" s="1068">
        <v>0</v>
      </c>
      <c r="Y292" s="1056">
        <v>0</v>
      </c>
      <c r="Z292" s="1068">
        <v>357618.24</v>
      </c>
      <c r="AA292" s="1068">
        <v>0</v>
      </c>
    </row>
    <row r="293" spans="1:27" s="1064" customFormat="1" ht="96" customHeight="1">
      <c r="A293" s="1121">
        <v>70</v>
      </c>
      <c r="B293" s="1062" t="s">
        <v>1669</v>
      </c>
      <c r="C293" s="1056">
        <f t="shared" si="204"/>
        <v>16082092.1</v>
      </c>
      <c r="D293" s="1056">
        <f t="shared" si="205"/>
        <v>0</v>
      </c>
      <c r="E293" s="1068">
        <v>0</v>
      </c>
      <c r="F293" s="1068">
        <v>0</v>
      </c>
      <c r="G293" s="1068">
        <v>0</v>
      </c>
      <c r="H293" s="1068">
        <v>0</v>
      </c>
      <c r="I293" s="1068">
        <v>0</v>
      </c>
      <c r="J293" s="1068">
        <v>0</v>
      </c>
      <c r="K293" s="1063">
        <v>0</v>
      </c>
      <c r="L293" s="1068">
        <v>0</v>
      </c>
      <c r="M293" s="1063">
        <v>5</v>
      </c>
      <c r="N293" s="1068">
        <v>14913972.1</v>
      </c>
      <c r="O293" s="1068">
        <v>0</v>
      </c>
      <c r="P293" s="1068">
        <v>0</v>
      </c>
      <c r="Q293" s="1068">
        <v>0</v>
      </c>
      <c r="R293" s="1068">
        <v>0</v>
      </c>
      <c r="S293" s="1068">
        <v>0</v>
      </c>
      <c r="T293" s="1068">
        <v>0</v>
      </c>
      <c r="U293" s="1076">
        <v>0</v>
      </c>
      <c r="V293" s="1076">
        <v>0</v>
      </c>
      <c r="W293" s="1068">
        <v>0</v>
      </c>
      <c r="X293" s="1068">
        <v>0</v>
      </c>
      <c r="Y293" s="1056">
        <v>0</v>
      </c>
      <c r="Z293" s="1068">
        <v>1168120</v>
      </c>
      <c r="AA293" s="1068">
        <v>0</v>
      </c>
    </row>
    <row r="294" spans="1:27" s="1064" customFormat="1" ht="111" customHeight="1">
      <c r="A294" s="1121">
        <v>71</v>
      </c>
      <c r="B294" s="1062" t="s">
        <v>1670</v>
      </c>
      <c r="C294" s="1056">
        <f t="shared" si="204"/>
        <v>9667698.1999999993</v>
      </c>
      <c r="D294" s="1056">
        <f t="shared" si="205"/>
        <v>0</v>
      </c>
      <c r="E294" s="1068">
        <v>0</v>
      </c>
      <c r="F294" s="1068">
        <v>0</v>
      </c>
      <c r="G294" s="1068">
        <v>0</v>
      </c>
      <c r="H294" s="1068">
        <v>0</v>
      </c>
      <c r="I294" s="1068">
        <v>0</v>
      </c>
      <c r="J294" s="1068">
        <v>0</v>
      </c>
      <c r="K294" s="1063">
        <v>0</v>
      </c>
      <c r="L294" s="1068">
        <v>0</v>
      </c>
      <c r="M294" s="1063">
        <v>0</v>
      </c>
      <c r="N294" s="1068">
        <v>0</v>
      </c>
      <c r="O294" s="1068">
        <v>1733</v>
      </c>
      <c r="P294" s="1068">
        <v>8965486.5999999996</v>
      </c>
      <c r="Q294" s="1068">
        <v>0</v>
      </c>
      <c r="R294" s="1068">
        <v>0</v>
      </c>
      <c r="S294" s="1068">
        <v>0</v>
      </c>
      <c r="T294" s="1068">
        <v>0</v>
      </c>
      <c r="U294" s="1076">
        <v>0</v>
      </c>
      <c r="V294" s="1076">
        <v>0</v>
      </c>
      <c r="W294" s="1068">
        <v>0</v>
      </c>
      <c r="X294" s="1068">
        <v>0</v>
      </c>
      <c r="Y294" s="1056">
        <v>0</v>
      </c>
      <c r="Z294" s="1068">
        <v>702211.6</v>
      </c>
      <c r="AA294" s="1068">
        <v>0</v>
      </c>
    </row>
    <row r="295" spans="1:27" s="1064" customFormat="1" ht="94.9" customHeight="1">
      <c r="A295" s="1121"/>
      <c r="B295" s="1062" t="s">
        <v>1030</v>
      </c>
      <c r="C295" s="1068">
        <f>C296</f>
        <v>5414896.5300000003</v>
      </c>
      <c r="D295" s="1068">
        <f t="shared" ref="D295:AA295" si="206">D296</f>
        <v>0</v>
      </c>
      <c r="E295" s="1068">
        <f t="shared" si="206"/>
        <v>0</v>
      </c>
      <c r="F295" s="1068">
        <f t="shared" si="206"/>
        <v>0</v>
      </c>
      <c r="G295" s="1068">
        <f t="shared" si="206"/>
        <v>0</v>
      </c>
      <c r="H295" s="1068">
        <f t="shared" si="206"/>
        <v>0</v>
      </c>
      <c r="I295" s="1068">
        <f t="shared" si="206"/>
        <v>0</v>
      </c>
      <c r="J295" s="1068">
        <f t="shared" si="206"/>
        <v>0</v>
      </c>
      <c r="K295" s="1073">
        <f t="shared" si="206"/>
        <v>0</v>
      </c>
      <c r="L295" s="1068">
        <f t="shared" si="206"/>
        <v>0</v>
      </c>
      <c r="M295" s="1073">
        <f t="shared" si="206"/>
        <v>0</v>
      </c>
      <c r="N295" s="1068">
        <f t="shared" si="206"/>
        <v>0</v>
      </c>
      <c r="O295" s="1068">
        <f t="shared" si="206"/>
        <v>562</v>
      </c>
      <c r="P295" s="1068">
        <f t="shared" si="206"/>
        <v>5021586.45</v>
      </c>
      <c r="Q295" s="1068">
        <f t="shared" si="206"/>
        <v>0</v>
      </c>
      <c r="R295" s="1068">
        <f t="shared" si="206"/>
        <v>0</v>
      </c>
      <c r="S295" s="1068">
        <f t="shared" si="206"/>
        <v>0</v>
      </c>
      <c r="T295" s="1068">
        <f t="shared" si="206"/>
        <v>0</v>
      </c>
      <c r="U295" s="1076">
        <v>0</v>
      </c>
      <c r="V295" s="1076">
        <v>0</v>
      </c>
      <c r="W295" s="1068">
        <f t="shared" si="206"/>
        <v>0</v>
      </c>
      <c r="X295" s="1068">
        <f t="shared" si="206"/>
        <v>0</v>
      </c>
      <c r="Y295" s="1068">
        <f t="shared" si="206"/>
        <v>0</v>
      </c>
      <c r="Z295" s="1068">
        <f t="shared" si="206"/>
        <v>393310.08</v>
      </c>
      <c r="AA295" s="1068">
        <f t="shared" si="206"/>
        <v>0</v>
      </c>
    </row>
    <row r="296" spans="1:27" s="1064" customFormat="1" ht="88.15" customHeight="1">
      <c r="A296" s="1121">
        <v>72</v>
      </c>
      <c r="B296" s="1062" t="s">
        <v>1444</v>
      </c>
      <c r="C296" s="1068">
        <f t="shared" ref="C296" si="207">D296+N296+P296+R296+T296+X296+Z296</f>
        <v>5414896.5300000003</v>
      </c>
      <c r="D296" s="1068">
        <f t="shared" ref="D296" si="208">SUM(E296:J296)</f>
        <v>0</v>
      </c>
      <c r="E296" s="1068">
        <v>0</v>
      </c>
      <c r="F296" s="1068">
        <v>0</v>
      </c>
      <c r="G296" s="1068">
        <v>0</v>
      </c>
      <c r="H296" s="1068">
        <v>0</v>
      </c>
      <c r="I296" s="1068">
        <v>0</v>
      </c>
      <c r="J296" s="1068">
        <v>0</v>
      </c>
      <c r="K296" s="1063">
        <v>0</v>
      </c>
      <c r="L296" s="1068">
        <v>0</v>
      </c>
      <c r="M296" s="1063">
        <v>0</v>
      </c>
      <c r="N296" s="1068">
        <v>0</v>
      </c>
      <c r="O296" s="1068">
        <v>562</v>
      </c>
      <c r="P296" s="1068">
        <v>5021586.45</v>
      </c>
      <c r="Q296" s="1068">
        <v>0</v>
      </c>
      <c r="R296" s="1068">
        <v>0</v>
      </c>
      <c r="S296" s="1068">
        <v>0</v>
      </c>
      <c r="T296" s="1068">
        <v>0</v>
      </c>
      <c r="U296" s="1076">
        <v>0</v>
      </c>
      <c r="V296" s="1076">
        <v>0</v>
      </c>
      <c r="W296" s="1068">
        <v>0</v>
      </c>
      <c r="X296" s="1068">
        <v>0</v>
      </c>
      <c r="Y296" s="1076">
        <v>0</v>
      </c>
      <c r="Z296" s="1068">
        <v>393310.08</v>
      </c>
      <c r="AA296" s="1068">
        <v>0</v>
      </c>
    </row>
    <row r="297" spans="1:27" s="1064" customFormat="1" ht="96" customHeight="1">
      <c r="A297" s="1121"/>
      <c r="B297" s="1062" t="s">
        <v>1031</v>
      </c>
      <c r="C297" s="1068">
        <f>C298</f>
        <v>7862198.5199999996</v>
      </c>
      <c r="D297" s="1068">
        <f t="shared" ref="D297:AA297" si="209">D298</f>
        <v>0</v>
      </c>
      <c r="E297" s="1068">
        <f t="shared" si="209"/>
        <v>0</v>
      </c>
      <c r="F297" s="1068">
        <f t="shared" si="209"/>
        <v>0</v>
      </c>
      <c r="G297" s="1068">
        <f t="shared" si="209"/>
        <v>0</v>
      </c>
      <c r="H297" s="1068">
        <f t="shared" si="209"/>
        <v>0</v>
      </c>
      <c r="I297" s="1068">
        <f t="shared" si="209"/>
        <v>0</v>
      </c>
      <c r="J297" s="1068">
        <f t="shared" si="209"/>
        <v>0</v>
      </c>
      <c r="K297" s="1068">
        <f t="shared" si="209"/>
        <v>0</v>
      </c>
      <c r="L297" s="1068">
        <f t="shared" si="209"/>
        <v>0</v>
      </c>
      <c r="M297" s="1068">
        <f t="shared" si="209"/>
        <v>0</v>
      </c>
      <c r="N297" s="1068">
        <f t="shared" si="209"/>
        <v>0</v>
      </c>
      <c r="O297" s="1068">
        <f t="shared" si="209"/>
        <v>816</v>
      </c>
      <c r="P297" s="1068">
        <f t="shared" si="209"/>
        <v>7291129.0800000001</v>
      </c>
      <c r="Q297" s="1068">
        <f t="shared" si="209"/>
        <v>0</v>
      </c>
      <c r="R297" s="1068">
        <f t="shared" si="209"/>
        <v>0</v>
      </c>
      <c r="S297" s="1068">
        <f t="shared" si="209"/>
        <v>0</v>
      </c>
      <c r="T297" s="1068">
        <f t="shared" si="209"/>
        <v>0</v>
      </c>
      <c r="U297" s="1068">
        <f t="shared" si="209"/>
        <v>0</v>
      </c>
      <c r="V297" s="1068">
        <f t="shared" si="209"/>
        <v>0</v>
      </c>
      <c r="W297" s="1068">
        <f t="shared" si="209"/>
        <v>0</v>
      </c>
      <c r="X297" s="1068">
        <f t="shared" si="209"/>
        <v>0</v>
      </c>
      <c r="Y297" s="1068">
        <f t="shared" si="209"/>
        <v>0</v>
      </c>
      <c r="Z297" s="1068">
        <f t="shared" si="209"/>
        <v>571069.43999999994</v>
      </c>
      <c r="AA297" s="1068">
        <f t="shared" si="209"/>
        <v>0</v>
      </c>
    </row>
    <row r="298" spans="1:27" s="1064" customFormat="1" ht="102" customHeight="1">
      <c r="A298" s="1121">
        <v>73</v>
      </c>
      <c r="B298" s="1062" t="s">
        <v>1708</v>
      </c>
      <c r="C298" s="1068">
        <f t="shared" ref="C298" si="210">D298+N298+P298+R298+T298+X298+Z298</f>
        <v>7862198.5199999996</v>
      </c>
      <c r="D298" s="1068">
        <f t="shared" ref="D298" si="211">SUM(E298:J298)</f>
        <v>0</v>
      </c>
      <c r="E298" s="1068">
        <v>0</v>
      </c>
      <c r="F298" s="1068">
        <v>0</v>
      </c>
      <c r="G298" s="1068">
        <v>0</v>
      </c>
      <c r="H298" s="1068">
        <v>0</v>
      </c>
      <c r="I298" s="1068">
        <v>0</v>
      </c>
      <c r="J298" s="1068">
        <v>0</v>
      </c>
      <c r="K298" s="1063">
        <v>0</v>
      </c>
      <c r="L298" s="1068">
        <v>0</v>
      </c>
      <c r="M298" s="1063">
        <v>0</v>
      </c>
      <c r="N298" s="1068">
        <v>0</v>
      </c>
      <c r="O298" s="1068">
        <v>816</v>
      </c>
      <c r="P298" s="1068">
        <v>7291129.0800000001</v>
      </c>
      <c r="Q298" s="1068">
        <v>0</v>
      </c>
      <c r="R298" s="1068">
        <v>0</v>
      </c>
      <c r="S298" s="1068">
        <v>0</v>
      </c>
      <c r="T298" s="1068">
        <v>0</v>
      </c>
      <c r="U298" s="1076">
        <v>0</v>
      </c>
      <c r="V298" s="1076">
        <v>0</v>
      </c>
      <c r="W298" s="1068">
        <v>0</v>
      </c>
      <c r="X298" s="1068">
        <v>0</v>
      </c>
      <c r="Y298" s="1076">
        <v>0</v>
      </c>
      <c r="Z298" s="1068">
        <v>571069.43999999994</v>
      </c>
      <c r="AA298" s="1068">
        <v>0</v>
      </c>
    </row>
    <row r="299" spans="1:27" s="1064" customFormat="1" ht="90" customHeight="1">
      <c r="A299" s="1121"/>
      <c r="B299" s="1055" t="s">
        <v>1121</v>
      </c>
      <c r="C299" s="1056">
        <f>C300+C301+C302+C303+C304</f>
        <v>20358302.16</v>
      </c>
      <c r="D299" s="1056">
        <f t="shared" ref="D299:AA299" si="212">D300+D301+D302+D303+D304</f>
        <v>868492.6399999999</v>
      </c>
      <c r="E299" s="1056">
        <f t="shared" si="212"/>
        <v>262892.21999999997</v>
      </c>
      <c r="F299" s="1056">
        <f t="shared" si="212"/>
        <v>0</v>
      </c>
      <c r="G299" s="1056">
        <f t="shared" si="212"/>
        <v>0</v>
      </c>
      <c r="H299" s="1056">
        <f t="shared" si="212"/>
        <v>421733.92</v>
      </c>
      <c r="I299" s="1056">
        <f t="shared" si="212"/>
        <v>0</v>
      </c>
      <c r="J299" s="1056">
        <f t="shared" si="212"/>
        <v>183866.5</v>
      </c>
      <c r="K299" s="1056">
        <f t="shared" si="212"/>
        <v>0</v>
      </c>
      <c r="L299" s="1056">
        <f t="shared" si="212"/>
        <v>0</v>
      </c>
      <c r="M299" s="1056">
        <f t="shared" si="212"/>
        <v>0</v>
      </c>
      <c r="N299" s="1056">
        <f t="shared" si="212"/>
        <v>0</v>
      </c>
      <c r="O299" s="1056">
        <f t="shared" si="212"/>
        <v>2981.1</v>
      </c>
      <c r="P299" s="1056">
        <f t="shared" si="212"/>
        <v>18011087.73</v>
      </c>
      <c r="Q299" s="1056">
        <f t="shared" si="212"/>
        <v>0</v>
      </c>
      <c r="R299" s="1056">
        <f t="shared" si="212"/>
        <v>0</v>
      </c>
      <c r="S299" s="1056">
        <f t="shared" si="212"/>
        <v>0</v>
      </c>
      <c r="T299" s="1056">
        <f t="shared" si="212"/>
        <v>0</v>
      </c>
      <c r="U299" s="1076">
        <v>0</v>
      </c>
      <c r="V299" s="1076">
        <v>0</v>
      </c>
      <c r="W299" s="1056">
        <f t="shared" si="212"/>
        <v>0</v>
      </c>
      <c r="X299" s="1056">
        <f t="shared" si="212"/>
        <v>0</v>
      </c>
      <c r="Y299" s="1056">
        <f t="shared" si="212"/>
        <v>0</v>
      </c>
      <c r="Z299" s="1056">
        <f t="shared" si="212"/>
        <v>1478721.79</v>
      </c>
      <c r="AA299" s="1056">
        <f t="shared" si="212"/>
        <v>0</v>
      </c>
    </row>
    <row r="300" spans="1:27" s="1064" customFormat="1" ht="94.9" customHeight="1">
      <c r="A300" s="1121">
        <v>74</v>
      </c>
      <c r="B300" s="1062" t="s">
        <v>1489</v>
      </c>
      <c r="C300" s="1056">
        <f t="shared" ref="C300:C301" si="213">D300+P300+T300+Z300</f>
        <v>6158764.46</v>
      </c>
      <c r="D300" s="1056">
        <f t="shared" ref="D300:D301" si="214">E300+F300+G300+H300+I300+J300</f>
        <v>0</v>
      </c>
      <c r="E300" s="1056">
        <v>0</v>
      </c>
      <c r="F300" s="1056">
        <v>0</v>
      </c>
      <c r="G300" s="1056">
        <v>0</v>
      </c>
      <c r="H300" s="1056">
        <v>0</v>
      </c>
      <c r="I300" s="1056">
        <v>0</v>
      </c>
      <c r="J300" s="1056">
        <v>0</v>
      </c>
      <c r="K300" s="1063">
        <v>0</v>
      </c>
      <c r="L300" s="1056">
        <v>0</v>
      </c>
      <c r="M300" s="1063">
        <v>0</v>
      </c>
      <c r="N300" s="1056">
        <v>0</v>
      </c>
      <c r="O300" s="1056">
        <v>1001</v>
      </c>
      <c r="P300" s="1056">
        <v>5711423.6600000001</v>
      </c>
      <c r="Q300" s="1056">
        <v>0</v>
      </c>
      <c r="R300" s="1056">
        <v>0</v>
      </c>
      <c r="S300" s="1056">
        <v>0</v>
      </c>
      <c r="T300" s="1056">
        <v>0</v>
      </c>
      <c r="U300" s="1076">
        <v>0</v>
      </c>
      <c r="V300" s="1076">
        <v>0</v>
      </c>
      <c r="W300" s="1056">
        <v>0</v>
      </c>
      <c r="X300" s="1056">
        <v>0</v>
      </c>
      <c r="Y300" s="1076">
        <v>0</v>
      </c>
      <c r="Z300" s="1056">
        <v>447340.79999999999</v>
      </c>
      <c r="AA300" s="1251">
        <v>0</v>
      </c>
    </row>
    <row r="301" spans="1:27" s="1069" customFormat="1" ht="96.6" customHeight="1">
      <c r="A301" s="1121">
        <v>75</v>
      </c>
      <c r="B301" s="1062" t="s">
        <v>1491</v>
      </c>
      <c r="C301" s="1056">
        <f t="shared" si="213"/>
        <v>936516.34999999986</v>
      </c>
      <c r="D301" s="1056">
        <f t="shared" si="214"/>
        <v>868492.6399999999</v>
      </c>
      <c r="E301" s="1056">
        <v>262892.21999999997</v>
      </c>
      <c r="F301" s="1056">
        <v>0</v>
      </c>
      <c r="G301" s="1056">
        <v>0</v>
      </c>
      <c r="H301" s="1056">
        <v>421733.92</v>
      </c>
      <c r="I301" s="1056">
        <v>0</v>
      </c>
      <c r="J301" s="1056">
        <v>183866.5</v>
      </c>
      <c r="K301" s="1063">
        <v>0</v>
      </c>
      <c r="L301" s="1056">
        <v>0</v>
      </c>
      <c r="M301" s="1063">
        <v>0</v>
      </c>
      <c r="N301" s="1056">
        <v>0</v>
      </c>
      <c r="O301" s="1056">
        <v>0</v>
      </c>
      <c r="P301" s="1056">
        <v>0</v>
      </c>
      <c r="Q301" s="1056">
        <v>0</v>
      </c>
      <c r="R301" s="1056">
        <v>0</v>
      </c>
      <c r="S301" s="1056">
        <v>0</v>
      </c>
      <c r="T301" s="1056">
        <v>0</v>
      </c>
      <c r="U301" s="1076">
        <v>0</v>
      </c>
      <c r="V301" s="1076">
        <v>0</v>
      </c>
      <c r="W301" s="1056">
        <v>0</v>
      </c>
      <c r="X301" s="1056">
        <v>0</v>
      </c>
      <c r="Y301" s="1076">
        <v>0</v>
      </c>
      <c r="Z301" s="1056">
        <v>68023.710000000006</v>
      </c>
      <c r="AA301" s="1056">
        <v>0</v>
      </c>
    </row>
    <row r="302" spans="1:27" s="1069" customFormat="1" ht="93.6" customHeight="1">
      <c r="A302" s="1121">
        <v>76</v>
      </c>
      <c r="B302" s="1062" t="s">
        <v>1492</v>
      </c>
      <c r="C302" s="1056">
        <f>D302+N302+P302+R302+T302+X302+Z302</f>
        <v>4599548.28</v>
      </c>
      <c r="D302" s="1056">
        <f>SUM(E302:J302)</f>
        <v>0</v>
      </c>
      <c r="E302" s="1056">
        <v>0</v>
      </c>
      <c r="F302" s="1056">
        <v>0</v>
      </c>
      <c r="G302" s="1056">
        <v>0</v>
      </c>
      <c r="H302" s="1056">
        <v>0</v>
      </c>
      <c r="I302" s="1056">
        <v>0</v>
      </c>
      <c r="J302" s="1056">
        <v>0</v>
      </c>
      <c r="K302" s="1063">
        <v>0</v>
      </c>
      <c r="L302" s="1056">
        <v>0</v>
      </c>
      <c r="M302" s="1063">
        <v>0</v>
      </c>
      <c r="N302" s="1056">
        <v>0</v>
      </c>
      <c r="O302" s="1056">
        <v>824.5</v>
      </c>
      <c r="P302" s="1056">
        <v>4265460.88</v>
      </c>
      <c r="Q302" s="1056">
        <v>0</v>
      </c>
      <c r="R302" s="1056">
        <v>0</v>
      </c>
      <c r="S302" s="1056">
        <v>0</v>
      </c>
      <c r="T302" s="1056">
        <v>0</v>
      </c>
      <c r="U302" s="1076">
        <v>0</v>
      </c>
      <c r="V302" s="1076">
        <v>0</v>
      </c>
      <c r="W302" s="1056">
        <v>0</v>
      </c>
      <c r="X302" s="1056">
        <v>0</v>
      </c>
      <c r="Y302" s="1076">
        <v>0</v>
      </c>
      <c r="Z302" s="1056">
        <v>334087.40000000002</v>
      </c>
      <c r="AA302" s="1056">
        <v>0</v>
      </c>
    </row>
    <row r="303" spans="1:27" s="1069" customFormat="1" ht="91.15" customHeight="1">
      <c r="A303" s="1121">
        <v>77</v>
      </c>
      <c r="B303" s="1062" t="s">
        <v>1493</v>
      </c>
      <c r="C303" s="1056">
        <f>D303+N303+P303+R303+T303+X303+Z303</f>
        <v>3397919.78</v>
      </c>
      <c r="D303" s="1056">
        <f>SUM(E303:J303)</f>
        <v>0</v>
      </c>
      <c r="E303" s="1056">
        <v>0</v>
      </c>
      <c r="F303" s="1056">
        <v>0</v>
      </c>
      <c r="G303" s="1056">
        <v>0</v>
      </c>
      <c r="H303" s="1056">
        <v>0</v>
      </c>
      <c r="I303" s="1056">
        <v>0</v>
      </c>
      <c r="J303" s="1056">
        <v>0</v>
      </c>
      <c r="K303" s="1063">
        <v>0</v>
      </c>
      <c r="L303" s="1056">
        <v>0</v>
      </c>
      <c r="M303" s="1063">
        <v>0</v>
      </c>
      <c r="N303" s="1056">
        <v>0</v>
      </c>
      <c r="O303" s="1056">
        <v>609.1</v>
      </c>
      <c r="P303" s="1056">
        <v>3151112.46</v>
      </c>
      <c r="Q303" s="1056">
        <v>0</v>
      </c>
      <c r="R303" s="1056">
        <v>0</v>
      </c>
      <c r="S303" s="1056">
        <v>0</v>
      </c>
      <c r="T303" s="1056">
        <v>0</v>
      </c>
      <c r="U303" s="1076">
        <v>0</v>
      </c>
      <c r="V303" s="1076">
        <v>0</v>
      </c>
      <c r="W303" s="1056">
        <v>0</v>
      </c>
      <c r="X303" s="1056">
        <v>0</v>
      </c>
      <c r="Y303" s="1056">
        <v>0</v>
      </c>
      <c r="Z303" s="1056">
        <v>246807.32</v>
      </c>
      <c r="AA303" s="1056">
        <v>0</v>
      </c>
    </row>
    <row r="304" spans="1:27" s="1069" customFormat="1" ht="91.15" customHeight="1">
      <c r="A304" s="1121">
        <v>78</v>
      </c>
      <c r="B304" s="1062" t="s">
        <v>1494</v>
      </c>
      <c r="C304" s="1056">
        <f>D304+N304+P304+R304+T304+X304+Z304</f>
        <v>5265553.29</v>
      </c>
      <c r="D304" s="1056">
        <f>SUM(E304:J304)</f>
        <v>0</v>
      </c>
      <c r="E304" s="1056">
        <v>0</v>
      </c>
      <c r="F304" s="1056">
        <v>0</v>
      </c>
      <c r="G304" s="1056">
        <v>0</v>
      </c>
      <c r="H304" s="1056">
        <v>0</v>
      </c>
      <c r="I304" s="1056">
        <v>0</v>
      </c>
      <c r="J304" s="1056">
        <v>0</v>
      </c>
      <c r="K304" s="1063">
        <v>0</v>
      </c>
      <c r="L304" s="1056">
        <v>0</v>
      </c>
      <c r="M304" s="1063">
        <v>0</v>
      </c>
      <c r="N304" s="1056">
        <v>0</v>
      </c>
      <c r="O304" s="1056">
        <v>546.5</v>
      </c>
      <c r="P304" s="1056">
        <v>4883090.7300000004</v>
      </c>
      <c r="Q304" s="1056">
        <v>0</v>
      </c>
      <c r="R304" s="1056">
        <v>0</v>
      </c>
      <c r="S304" s="1056">
        <v>0</v>
      </c>
      <c r="T304" s="1056">
        <v>0</v>
      </c>
      <c r="U304" s="1076">
        <v>0</v>
      </c>
      <c r="V304" s="1076">
        <v>0</v>
      </c>
      <c r="W304" s="1056">
        <v>0</v>
      </c>
      <c r="X304" s="1056">
        <v>0</v>
      </c>
      <c r="Y304" s="1056">
        <v>0</v>
      </c>
      <c r="Z304" s="1056">
        <v>382462.56</v>
      </c>
      <c r="AA304" s="1056">
        <v>0</v>
      </c>
    </row>
    <row r="305" spans="1:27" s="1064" customFormat="1" ht="105" customHeight="1">
      <c r="A305" s="1121"/>
      <c r="B305" s="1062" t="s">
        <v>1120</v>
      </c>
      <c r="C305" s="1056">
        <f>C306</f>
        <v>3062646.46</v>
      </c>
      <c r="D305" s="1056">
        <f t="shared" ref="D305:AA305" si="215">D306</f>
        <v>0</v>
      </c>
      <c r="E305" s="1056">
        <f t="shared" si="215"/>
        <v>0</v>
      </c>
      <c r="F305" s="1056">
        <f t="shared" si="215"/>
        <v>0</v>
      </c>
      <c r="G305" s="1056">
        <f t="shared" si="215"/>
        <v>0</v>
      </c>
      <c r="H305" s="1056">
        <f t="shared" si="215"/>
        <v>0</v>
      </c>
      <c r="I305" s="1056">
        <f t="shared" si="215"/>
        <v>0</v>
      </c>
      <c r="J305" s="1056">
        <f t="shared" si="215"/>
        <v>0</v>
      </c>
      <c r="K305" s="1056">
        <f t="shared" si="215"/>
        <v>0</v>
      </c>
      <c r="L305" s="1056">
        <f t="shared" si="215"/>
        <v>0</v>
      </c>
      <c r="M305" s="1056">
        <f t="shared" si="215"/>
        <v>0</v>
      </c>
      <c r="N305" s="1056">
        <f t="shared" si="215"/>
        <v>0</v>
      </c>
      <c r="O305" s="1056">
        <f t="shared" si="215"/>
        <v>549</v>
      </c>
      <c r="P305" s="1056">
        <f t="shared" si="215"/>
        <v>2840191.66</v>
      </c>
      <c r="Q305" s="1056">
        <f t="shared" si="215"/>
        <v>0</v>
      </c>
      <c r="R305" s="1056">
        <f t="shared" si="215"/>
        <v>0</v>
      </c>
      <c r="S305" s="1056">
        <f t="shared" si="215"/>
        <v>0</v>
      </c>
      <c r="T305" s="1056">
        <f t="shared" si="215"/>
        <v>0</v>
      </c>
      <c r="U305" s="1056">
        <f t="shared" si="215"/>
        <v>0</v>
      </c>
      <c r="V305" s="1056">
        <f t="shared" si="215"/>
        <v>0</v>
      </c>
      <c r="W305" s="1056">
        <f t="shared" si="215"/>
        <v>0</v>
      </c>
      <c r="X305" s="1056">
        <f t="shared" si="215"/>
        <v>0</v>
      </c>
      <c r="Y305" s="1056">
        <f t="shared" si="215"/>
        <v>0</v>
      </c>
      <c r="Z305" s="1056">
        <f t="shared" si="215"/>
        <v>222454.8</v>
      </c>
      <c r="AA305" s="1056">
        <f t="shared" si="215"/>
        <v>0</v>
      </c>
    </row>
    <row r="306" spans="1:27" s="1064" customFormat="1" ht="105" customHeight="1">
      <c r="A306" s="1121">
        <v>79</v>
      </c>
      <c r="B306" s="1062" t="s">
        <v>1590</v>
      </c>
      <c r="C306" s="1056">
        <f t="shared" ref="C306" si="216">D306+N306+P306+R306+T306+X306+Z306</f>
        <v>3062646.46</v>
      </c>
      <c r="D306" s="1056">
        <f t="shared" ref="D306" si="217">SUM(E306:J306)</f>
        <v>0</v>
      </c>
      <c r="E306" s="1056">
        <v>0</v>
      </c>
      <c r="F306" s="1056">
        <v>0</v>
      </c>
      <c r="G306" s="1056">
        <v>0</v>
      </c>
      <c r="H306" s="1056">
        <v>0</v>
      </c>
      <c r="I306" s="1056">
        <v>0</v>
      </c>
      <c r="J306" s="1056">
        <v>0</v>
      </c>
      <c r="K306" s="1063">
        <v>0</v>
      </c>
      <c r="L306" s="1056">
        <v>0</v>
      </c>
      <c r="M306" s="1063">
        <v>0</v>
      </c>
      <c r="N306" s="1056">
        <v>0</v>
      </c>
      <c r="O306" s="1056">
        <v>549</v>
      </c>
      <c r="P306" s="1056">
        <v>2840191.66</v>
      </c>
      <c r="Q306" s="1056">
        <v>0</v>
      </c>
      <c r="R306" s="1056">
        <v>0</v>
      </c>
      <c r="S306" s="1056">
        <v>0</v>
      </c>
      <c r="T306" s="1056">
        <v>0</v>
      </c>
      <c r="U306" s="1076">
        <v>0</v>
      </c>
      <c r="V306" s="1076">
        <v>0</v>
      </c>
      <c r="W306" s="1056">
        <v>0</v>
      </c>
      <c r="X306" s="1056">
        <v>0</v>
      </c>
      <c r="Y306" s="1056">
        <v>0</v>
      </c>
      <c r="Z306" s="1056">
        <v>222454.8</v>
      </c>
      <c r="AA306" s="1056">
        <v>0</v>
      </c>
    </row>
    <row r="307" spans="1:27" s="1071" customFormat="1" ht="125.45" customHeight="1">
      <c r="A307" s="1121"/>
      <c r="B307" s="1062" t="s">
        <v>1066</v>
      </c>
      <c r="C307" s="1056">
        <f>C308</f>
        <v>4385584.43</v>
      </c>
      <c r="D307" s="1056">
        <f t="shared" ref="D307:AA307" si="218">D308</f>
        <v>0</v>
      </c>
      <c r="E307" s="1056">
        <f t="shared" si="218"/>
        <v>0</v>
      </c>
      <c r="F307" s="1056">
        <f t="shared" si="218"/>
        <v>0</v>
      </c>
      <c r="G307" s="1056">
        <f t="shared" si="218"/>
        <v>0</v>
      </c>
      <c r="H307" s="1056">
        <f t="shared" si="218"/>
        <v>0</v>
      </c>
      <c r="I307" s="1056">
        <f t="shared" si="218"/>
        <v>0</v>
      </c>
      <c r="J307" s="1056">
        <f t="shared" si="218"/>
        <v>0</v>
      </c>
      <c r="K307" s="1056">
        <f t="shared" si="218"/>
        <v>0</v>
      </c>
      <c r="L307" s="1056">
        <f t="shared" si="218"/>
        <v>0</v>
      </c>
      <c r="M307" s="1056">
        <f t="shared" si="218"/>
        <v>0</v>
      </c>
      <c r="N307" s="1056">
        <f t="shared" si="218"/>
        <v>0</v>
      </c>
      <c r="O307" s="1056">
        <f t="shared" si="218"/>
        <v>455.17</v>
      </c>
      <c r="P307" s="1056">
        <f t="shared" si="218"/>
        <v>4067038.26</v>
      </c>
      <c r="Q307" s="1056">
        <f t="shared" si="218"/>
        <v>0</v>
      </c>
      <c r="R307" s="1056">
        <f t="shared" si="218"/>
        <v>0</v>
      </c>
      <c r="S307" s="1056">
        <f t="shared" si="218"/>
        <v>0</v>
      </c>
      <c r="T307" s="1056">
        <f t="shared" si="218"/>
        <v>0</v>
      </c>
      <c r="U307" s="1056">
        <f t="shared" si="218"/>
        <v>0</v>
      </c>
      <c r="V307" s="1056">
        <f t="shared" si="218"/>
        <v>0</v>
      </c>
      <c r="W307" s="1056">
        <f t="shared" si="218"/>
        <v>0</v>
      </c>
      <c r="X307" s="1056">
        <f t="shared" si="218"/>
        <v>0</v>
      </c>
      <c r="Y307" s="1056">
        <f t="shared" si="218"/>
        <v>0</v>
      </c>
      <c r="Z307" s="1056">
        <f t="shared" si="218"/>
        <v>318546.17</v>
      </c>
      <c r="AA307" s="1056">
        <f t="shared" si="218"/>
        <v>0</v>
      </c>
    </row>
    <row r="308" spans="1:27" s="1071" customFormat="1" ht="96" customHeight="1">
      <c r="A308" s="1121">
        <v>80</v>
      </c>
      <c r="B308" s="1062" t="s">
        <v>1993</v>
      </c>
      <c r="C308" s="1056">
        <f t="shared" ref="C308" si="219">D308+N308+P308+R308+T308+X308+Z308</f>
        <v>4385584.43</v>
      </c>
      <c r="D308" s="1056">
        <f t="shared" ref="D308:D311" si="220">SUM(E308:J308)</f>
        <v>0</v>
      </c>
      <c r="E308" s="1056">
        <v>0</v>
      </c>
      <c r="F308" s="1056">
        <v>0</v>
      </c>
      <c r="G308" s="1056">
        <v>0</v>
      </c>
      <c r="H308" s="1056">
        <v>0</v>
      </c>
      <c r="I308" s="1056">
        <v>0</v>
      </c>
      <c r="J308" s="1056">
        <v>0</v>
      </c>
      <c r="K308" s="1063">
        <v>0</v>
      </c>
      <c r="L308" s="1056">
        <v>0</v>
      </c>
      <c r="M308" s="1063">
        <v>0</v>
      </c>
      <c r="N308" s="1056">
        <v>0</v>
      </c>
      <c r="O308" s="1056">
        <v>455.17</v>
      </c>
      <c r="P308" s="1056">
        <v>4067038.26</v>
      </c>
      <c r="Q308" s="1056">
        <v>0</v>
      </c>
      <c r="R308" s="1056">
        <v>0</v>
      </c>
      <c r="S308" s="1056">
        <v>0</v>
      </c>
      <c r="T308" s="1056">
        <v>0</v>
      </c>
      <c r="U308" s="1076">
        <v>0</v>
      </c>
      <c r="V308" s="1076">
        <v>0</v>
      </c>
      <c r="W308" s="1056">
        <v>0</v>
      </c>
      <c r="X308" s="1056">
        <v>0</v>
      </c>
      <c r="Y308" s="1056">
        <v>0</v>
      </c>
      <c r="Z308" s="1056">
        <v>318546.17</v>
      </c>
      <c r="AA308" s="1056">
        <v>0</v>
      </c>
    </row>
    <row r="309" spans="1:27" s="1071" customFormat="1" ht="76.5">
      <c r="A309" s="1121"/>
      <c r="B309" s="1062" t="s">
        <v>1115</v>
      </c>
      <c r="C309" s="1068">
        <f t="shared" ref="C309:T309" si="221">SUM(C310:C311)</f>
        <v>832000</v>
      </c>
      <c r="D309" s="1068">
        <f t="shared" si="221"/>
        <v>0</v>
      </c>
      <c r="E309" s="1068">
        <f t="shared" si="221"/>
        <v>0</v>
      </c>
      <c r="F309" s="1068">
        <f t="shared" si="221"/>
        <v>0</v>
      </c>
      <c r="G309" s="1068">
        <f t="shared" si="221"/>
        <v>0</v>
      </c>
      <c r="H309" s="1068">
        <f t="shared" si="221"/>
        <v>0</v>
      </c>
      <c r="I309" s="1068">
        <f t="shared" si="221"/>
        <v>0</v>
      </c>
      <c r="J309" s="1068">
        <f t="shared" si="221"/>
        <v>0</v>
      </c>
      <c r="K309" s="1073">
        <f t="shared" si="221"/>
        <v>0</v>
      </c>
      <c r="L309" s="1068">
        <f t="shared" si="221"/>
        <v>0</v>
      </c>
      <c r="M309" s="1073">
        <f t="shared" si="221"/>
        <v>0</v>
      </c>
      <c r="N309" s="1068">
        <f t="shared" si="221"/>
        <v>0</v>
      </c>
      <c r="O309" s="1068">
        <f t="shared" si="221"/>
        <v>0</v>
      </c>
      <c r="P309" s="1068">
        <f t="shared" si="221"/>
        <v>0</v>
      </c>
      <c r="Q309" s="1068">
        <f t="shared" si="221"/>
        <v>0</v>
      </c>
      <c r="R309" s="1068">
        <f t="shared" si="221"/>
        <v>0</v>
      </c>
      <c r="S309" s="1068">
        <f t="shared" si="221"/>
        <v>43</v>
      </c>
      <c r="T309" s="1068">
        <f t="shared" si="221"/>
        <v>700000</v>
      </c>
      <c r="U309" s="1076">
        <v>0</v>
      </c>
      <c r="V309" s="1076">
        <v>0</v>
      </c>
      <c r="W309" s="1093">
        <f>SUM(W310:W311)</f>
        <v>15.5</v>
      </c>
      <c r="X309" s="1093">
        <f>SUM(X310:X311)</f>
        <v>132000</v>
      </c>
      <c r="Y309" s="1068">
        <f>SUM(Y310:Y311)</f>
        <v>0</v>
      </c>
      <c r="Z309" s="1068">
        <f>SUM(Z310:Z311)</f>
        <v>0</v>
      </c>
      <c r="AA309" s="1068">
        <f>SUM(AA310:AA311)</f>
        <v>0</v>
      </c>
    </row>
    <row r="310" spans="1:27" s="1064" customFormat="1" ht="93.6" customHeight="1">
      <c r="A310" s="1121">
        <v>81</v>
      </c>
      <c r="B310" s="1055" t="s">
        <v>1402</v>
      </c>
      <c r="C310" s="1056">
        <f t="shared" ref="C310:C311" si="222">D310+N310+P310+R310+T310+X310+Z310</f>
        <v>700000</v>
      </c>
      <c r="D310" s="1056">
        <f t="shared" si="220"/>
        <v>0</v>
      </c>
      <c r="E310" s="1068">
        <v>0</v>
      </c>
      <c r="F310" s="1068">
        <v>0</v>
      </c>
      <c r="G310" s="1068">
        <v>0</v>
      </c>
      <c r="H310" s="1068">
        <v>0</v>
      </c>
      <c r="I310" s="1068">
        <v>0</v>
      </c>
      <c r="J310" s="1068">
        <v>0</v>
      </c>
      <c r="K310" s="1073">
        <v>0</v>
      </c>
      <c r="L310" s="1068">
        <v>0</v>
      </c>
      <c r="M310" s="1073">
        <v>0</v>
      </c>
      <c r="N310" s="1269">
        <v>0</v>
      </c>
      <c r="O310" s="1269">
        <v>0</v>
      </c>
      <c r="P310" s="1068">
        <v>0</v>
      </c>
      <c r="Q310" s="1271">
        <v>0</v>
      </c>
      <c r="R310" s="1272">
        <v>0</v>
      </c>
      <c r="S310" s="1272">
        <v>43</v>
      </c>
      <c r="T310" s="1272">
        <v>700000</v>
      </c>
      <c r="U310" s="1076">
        <v>0</v>
      </c>
      <c r="V310" s="1076">
        <v>0</v>
      </c>
      <c r="W310" s="1272">
        <v>0</v>
      </c>
      <c r="X310" s="1272">
        <v>0</v>
      </c>
      <c r="Y310" s="1271">
        <v>0</v>
      </c>
      <c r="Z310" s="1272">
        <v>0</v>
      </c>
      <c r="AA310" s="1271">
        <v>0</v>
      </c>
    </row>
    <row r="311" spans="1:27" s="1064" customFormat="1" ht="87.6" customHeight="1">
      <c r="A311" s="1121">
        <v>82</v>
      </c>
      <c r="B311" s="1055" t="s">
        <v>1203</v>
      </c>
      <c r="C311" s="1056">
        <f t="shared" si="222"/>
        <v>132000</v>
      </c>
      <c r="D311" s="1056">
        <f t="shared" si="220"/>
        <v>0</v>
      </c>
      <c r="E311" s="1068">
        <v>0</v>
      </c>
      <c r="F311" s="1068">
        <v>0</v>
      </c>
      <c r="G311" s="1068">
        <v>0</v>
      </c>
      <c r="H311" s="1068">
        <v>0</v>
      </c>
      <c r="I311" s="1068">
        <v>0</v>
      </c>
      <c r="J311" s="1068">
        <v>0</v>
      </c>
      <c r="K311" s="1073">
        <v>0</v>
      </c>
      <c r="L311" s="1068">
        <v>0</v>
      </c>
      <c r="M311" s="1073">
        <v>0</v>
      </c>
      <c r="N311" s="1269">
        <v>0</v>
      </c>
      <c r="O311" s="1269">
        <v>0</v>
      </c>
      <c r="P311" s="1068">
        <v>0</v>
      </c>
      <c r="Q311" s="1271">
        <v>0</v>
      </c>
      <c r="R311" s="1272">
        <v>0</v>
      </c>
      <c r="S311" s="1272">
        <v>0</v>
      </c>
      <c r="T311" s="1272">
        <v>0</v>
      </c>
      <c r="U311" s="1076">
        <v>0</v>
      </c>
      <c r="V311" s="1076">
        <v>0</v>
      </c>
      <c r="W311" s="1272">
        <v>15.5</v>
      </c>
      <c r="X311" s="1272">
        <v>132000</v>
      </c>
      <c r="Y311" s="1271">
        <v>0</v>
      </c>
      <c r="Z311" s="1272">
        <v>0</v>
      </c>
      <c r="AA311" s="1271">
        <v>0</v>
      </c>
    </row>
    <row r="312" spans="1:27" s="1064" customFormat="1" ht="127.9" customHeight="1">
      <c r="A312" s="1121"/>
      <c r="B312" s="1062" t="s">
        <v>1050</v>
      </c>
      <c r="C312" s="1068">
        <f t="shared" ref="C312:T312" si="223">SUM(C313:C316)</f>
        <v>32177893.100000001</v>
      </c>
      <c r="D312" s="1068">
        <f t="shared" si="223"/>
        <v>4054901.62</v>
      </c>
      <c r="E312" s="1068">
        <f t="shared" si="223"/>
        <v>0</v>
      </c>
      <c r="F312" s="1068">
        <f t="shared" si="223"/>
        <v>0</v>
      </c>
      <c r="G312" s="1068">
        <f t="shared" si="223"/>
        <v>0</v>
      </c>
      <c r="H312" s="1068">
        <f t="shared" si="223"/>
        <v>0</v>
      </c>
      <c r="I312" s="1068">
        <f t="shared" si="223"/>
        <v>0</v>
      </c>
      <c r="J312" s="1068">
        <f t="shared" si="223"/>
        <v>4054901.62</v>
      </c>
      <c r="K312" s="1063">
        <f t="shared" si="223"/>
        <v>0</v>
      </c>
      <c r="L312" s="1068">
        <f t="shared" si="223"/>
        <v>0</v>
      </c>
      <c r="M312" s="1063">
        <f t="shared" si="223"/>
        <v>0</v>
      </c>
      <c r="N312" s="1068">
        <f t="shared" si="223"/>
        <v>0</v>
      </c>
      <c r="O312" s="1068">
        <f t="shared" si="223"/>
        <v>4220.8</v>
      </c>
      <c r="P312" s="1068">
        <f t="shared" si="223"/>
        <v>25785755.740000002</v>
      </c>
      <c r="Q312" s="1068">
        <f t="shared" si="223"/>
        <v>0</v>
      </c>
      <c r="R312" s="1068">
        <f t="shared" si="223"/>
        <v>0</v>
      </c>
      <c r="S312" s="1068">
        <f t="shared" si="223"/>
        <v>0</v>
      </c>
      <c r="T312" s="1068">
        <f t="shared" si="223"/>
        <v>0</v>
      </c>
      <c r="U312" s="1076">
        <v>0</v>
      </c>
      <c r="V312" s="1076">
        <v>0</v>
      </c>
      <c r="W312" s="1068">
        <f>SUM(W313:W316)</f>
        <v>0</v>
      </c>
      <c r="X312" s="1068">
        <f>SUM(X313:X316)</f>
        <v>0</v>
      </c>
      <c r="Y312" s="1076">
        <v>0</v>
      </c>
      <c r="Z312" s="1068">
        <f>SUM(Z313:Z316)</f>
        <v>2337235.7400000002</v>
      </c>
      <c r="AA312" s="1068">
        <f>SUM(AA313:AA316)</f>
        <v>0</v>
      </c>
    </row>
    <row r="313" spans="1:27" s="1064" customFormat="1" ht="100.9" customHeight="1">
      <c r="A313" s="1121">
        <v>83</v>
      </c>
      <c r="B313" s="1055" t="s">
        <v>1370</v>
      </c>
      <c r="C313" s="1068">
        <f t="shared" ref="C313" si="224">D313+N313+P313+R313+T313+X313+Z313+L313</f>
        <v>10116799.560000001</v>
      </c>
      <c r="D313" s="1068">
        <f t="shared" ref="D313" si="225">SUM(E313:J313)</f>
        <v>0</v>
      </c>
      <c r="E313" s="1068">
        <v>0</v>
      </c>
      <c r="F313" s="1068">
        <v>0</v>
      </c>
      <c r="G313" s="1068">
        <v>0</v>
      </c>
      <c r="H313" s="1068">
        <v>0</v>
      </c>
      <c r="I313" s="1068">
        <v>0</v>
      </c>
      <c r="J313" s="1068">
        <v>0</v>
      </c>
      <c r="K313" s="1063">
        <v>0</v>
      </c>
      <c r="L313" s="1068">
        <v>0</v>
      </c>
      <c r="M313" s="1063">
        <v>0</v>
      </c>
      <c r="N313" s="1068">
        <v>0</v>
      </c>
      <c r="O313" s="1068">
        <v>1050</v>
      </c>
      <c r="P313" s="1068">
        <v>9381967.5600000005</v>
      </c>
      <c r="Q313" s="1068">
        <v>0</v>
      </c>
      <c r="R313" s="1068">
        <v>0</v>
      </c>
      <c r="S313" s="1068">
        <v>0</v>
      </c>
      <c r="T313" s="1068">
        <v>0</v>
      </c>
      <c r="U313" s="1076">
        <v>0</v>
      </c>
      <c r="V313" s="1076">
        <v>0</v>
      </c>
      <c r="W313" s="1068">
        <v>0</v>
      </c>
      <c r="X313" s="1068">
        <v>0</v>
      </c>
      <c r="Y313" s="1056">
        <v>0</v>
      </c>
      <c r="Z313" s="1068">
        <v>734832</v>
      </c>
      <c r="AA313" s="1068">
        <v>0</v>
      </c>
    </row>
    <row r="314" spans="1:27" s="1064" customFormat="1" ht="86.45" customHeight="1">
      <c r="A314" s="1121">
        <v>84</v>
      </c>
      <c r="B314" s="1055" t="s">
        <v>1371</v>
      </c>
      <c r="C314" s="1068">
        <f t="shared" ref="C314:C316" si="226">D314+N314+P314+R314+T314+X314+Z314+L314</f>
        <v>10157498.49</v>
      </c>
      <c r="D314" s="1068">
        <f t="shared" ref="D314:D316" si="227">SUM(E314:J314)</f>
        <v>0</v>
      </c>
      <c r="E314" s="1068">
        <v>0</v>
      </c>
      <c r="F314" s="1068">
        <v>0</v>
      </c>
      <c r="G314" s="1068">
        <v>0</v>
      </c>
      <c r="H314" s="1068">
        <v>0</v>
      </c>
      <c r="I314" s="1068">
        <v>0</v>
      </c>
      <c r="J314" s="1068">
        <v>0</v>
      </c>
      <c r="K314" s="1063">
        <v>0</v>
      </c>
      <c r="L314" s="1068">
        <v>0</v>
      </c>
      <c r="M314" s="1063">
        <v>0</v>
      </c>
      <c r="N314" s="1068">
        <v>0</v>
      </c>
      <c r="O314" s="1068">
        <v>1820.8</v>
      </c>
      <c r="P314" s="1068">
        <v>9419710.3300000001</v>
      </c>
      <c r="Q314" s="1068">
        <v>0</v>
      </c>
      <c r="R314" s="1068">
        <v>0</v>
      </c>
      <c r="S314" s="1068">
        <v>0</v>
      </c>
      <c r="T314" s="1068">
        <v>0</v>
      </c>
      <c r="U314" s="1076">
        <v>0</v>
      </c>
      <c r="V314" s="1076">
        <v>0</v>
      </c>
      <c r="W314" s="1068">
        <v>0</v>
      </c>
      <c r="X314" s="1068">
        <v>0</v>
      </c>
      <c r="Y314" s="1076">
        <v>0</v>
      </c>
      <c r="Z314" s="1068">
        <v>737788.16</v>
      </c>
      <c r="AA314" s="1068">
        <v>0</v>
      </c>
    </row>
    <row r="315" spans="1:27" s="1064" customFormat="1" ht="91.15" customHeight="1">
      <c r="A315" s="1121">
        <v>85</v>
      </c>
      <c r="B315" s="1055" t="s">
        <v>1372</v>
      </c>
      <c r="C315" s="1068">
        <f t="shared" si="226"/>
        <v>4372497.2</v>
      </c>
      <c r="D315" s="1068">
        <f t="shared" si="227"/>
        <v>4054901.62</v>
      </c>
      <c r="E315" s="1068">
        <v>0</v>
      </c>
      <c r="F315" s="1068">
        <v>0</v>
      </c>
      <c r="G315" s="1068">
        <v>0</v>
      </c>
      <c r="H315" s="1068">
        <v>0</v>
      </c>
      <c r="I315" s="1068">
        <v>0</v>
      </c>
      <c r="J315" s="1068">
        <v>4054901.62</v>
      </c>
      <c r="K315" s="1063">
        <v>0</v>
      </c>
      <c r="L315" s="1068">
        <v>0</v>
      </c>
      <c r="M315" s="1063">
        <v>0</v>
      </c>
      <c r="N315" s="1068">
        <v>0</v>
      </c>
      <c r="O315" s="1068">
        <v>0</v>
      </c>
      <c r="P315" s="1068">
        <v>0</v>
      </c>
      <c r="Q315" s="1068">
        <v>0</v>
      </c>
      <c r="R315" s="1068">
        <v>0</v>
      </c>
      <c r="S315" s="1068">
        <v>0</v>
      </c>
      <c r="T315" s="1068">
        <v>0</v>
      </c>
      <c r="U315" s="1076">
        <v>0</v>
      </c>
      <c r="V315" s="1076">
        <v>0</v>
      </c>
      <c r="W315" s="1068">
        <v>0</v>
      </c>
      <c r="X315" s="1068">
        <v>0</v>
      </c>
      <c r="Y315" s="1056">
        <v>0</v>
      </c>
      <c r="Z315" s="1068">
        <v>317595.58</v>
      </c>
      <c r="AA315" s="1068">
        <v>0</v>
      </c>
    </row>
    <row r="316" spans="1:27" s="1064" customFormat="1" ht="90" customHeight="1">
      <c r="A316" s="1121">
        <v>86</v>
      </c>
      <c r="B316" s="1055" t="s">
        <v>1373</v>
      </c>
      <c r="C316" s="1068">
        <f t="shared" si="226"/>
        <v>7531097.8499999996</v>
      </c>
      <c r="D316" s="1068">
        <f t="shared" si="227"/>
        <v>0</v>
      </c>
      <c r="E316" s="1068">
        <v>0</v>
      </c>
      <c r="F316" s="1068">
        <v>0</v>
      </c>
      <c r="G316" s="1068">
        <v>0</v>
      </c>
      <c r="H316" s="1068">
        <v>0</v>
      </c>
      <c r="I316" s="1068">
        <v>0</v>
      </c>
      <c r="J316" s="1068">
        <v>0</v>
      </c>
      <c r="K316" s="1063">
        <v>0</v>
      </c>
      <c r="L316" s="1068">
        <v>0</v>
      </c>
      <c r="M316" s="1063">
        <v>0</v>
      </c>
      <c r="N316" s="1068">
        <v>0</v>
      </c>
      <c r="O316" s="1068">
        <v>1350</v>
      </c>
      <c r="P316" s="1068">
        <v>6984077.8499999996</v>
      </c>
      <c r="Q316" s="1068">
        <v>0</v>
      </c>
      <c r="R316" s="1068">
        <v>0</v>
      </c>
      <c r="S316" s="1068">
        <v>0</v>
      </c>
      <c r="T316" s="1068">
        <v>0</v>
      </c>
      <c r="U316" s="1076">
        <v>0</v>
      </c>
      <c r="V316" s="1076">
        <v>0</v>
      </c>
      <c r="W316" s="1068">
        <v>0</v>
      </c>
      <c r="X316" s="1068">
        <v>0</v>
      </c>
      <c r="Y316" s="1076">
        <v>0</v>
      </c>
      <c r="Z316" s="1068">
        <v>547020</v>
      </c>
      <c r="AA316" s="1068">
        <v>0</v>
      </c>
    </row>
    <row r="317" spans="1:27" s="1078" customFormat="1" ht="123" customHeight="1">
      <c r="A317" s="1121"/>
      <c r="B317" s="1062" t="s">
        <v>1100</v>
      </c>
      <c r="C317" s="1056">
        <f>C318</f>
        <v>4982764.66</v>
      </c>
      <c r="D317" s="1056">
        <f t="shared" ref="D317:AA317" si="228">D318</f>
        <v>0</v>
      </c>
      <c r="E317" s="1056">
        <f t="shared" si="228"/>
        <v>0</v>
      </c>
      <c r="F317" s="1056">
        <f t="shared" si="228"/>
        <v>0</v>
      </c>
      <c r="G317" s="1056">
        <f t="shared" si="228"/>
        <v>0</v>
      </c>
      <c r="H317" s="1056">
        <f t="shared" si="228"/>
        <v>0</v>
      </c>
      <c r="I317" s="1056">
        <f t="shared" si="228"/>
        <v>0</v>
      </c>
      <c r="J317" s="1056">
        <f t="shared" si="228"/>
        <v>0</v>
      </c>
      <c r="K317" s="1056">
        <f t="shared" si="228"/>
        <v>0</v>
      </c>
      <c r="L317" s="1056">
        <f t="shared" si="228"/>
        <v>0</v>
      </c>
      <c r="M317" s="1056">
        <f t="shared" si="228"/>
        <v>0</v>
      </c>
      <c r="N317" s="1056">
        <f t="shared" si="228"/>
        <v>0</v>
      </c>
      <c r="O317" s="1056">
        <f t="shared" si="228"/>
        <v>517.15</v>
      </c>
      <c r="P317" s="1056">
        <f t="shared" si="228"/>
        <v>4620842.4000000004</v>
      </c>
      <c r="Q317" s="1056">
        <f t="shared" si="228"/>
        <v>0</v>
      </c>
      <c r="R317" s="1056">
        <f t="shared" si="228"/>
        <v>0</v>
      </c>
      <c r="S317" s="1056">
        <f t="shared" si="228"/>
        <v>0</v>
      </c>
      <c r="T317" s="1056">
        <f t="shared" si="228"/>
        <v>0</v>
      </c>
      <c r="U317" s="1056">
        <f t="shared" si="228"/>
        <v>0</v>
      </c>
      <c r="V317" s="1056">
        <f t="shared" si="228"/>
        <v>0</v>
      </c>
      <c r="W317" s="1056">
        <f t="shared" si="228"/>
        <v>0</v>
      </c>
      <c r="X317" s="1056">
        <f t="shared" si="228"/>
        <v>0</v>
      </c>
      <c r="Y317" s="1056">
        <f t="shared" si="228"/>
        <v>0</v>
      </c>
      <c r="Z317" s="1056">
        <f t="shared" si="228"/>
        <v>361922.26</v>
      </c>
      <c r="AA317" s="1056">
        <f t="shared" si="228"/>
        <v>0</v>
      </c>
    </row>
    <row r="318" spans="1:27" s="1078" customFormat="1" ht="121.15" customHeight="1">
      <c r="A318" s="1121">
        <v>87</v>
      </c>
      <c r="B318" s="1062" t="s">
        <v>1699</v>
      </c>
      <c r="C318" s="1056">
        <f>P318+Z318</f>
        <v>4982764.66</v>
      </c>
      <c r="D318" s="1056">
        <v>0</v>
      </c>
      <c r="E318" s="1056">
        <v>0</v>
      </c>
      <c r="F318" s="1056">
        <v>0</v>
      </c>
      <c r="G318" s="1056">
        <v>0</v>
      </c>
      <c r="H318" s="1056">
        <v>0</v>
      </c>
      <c r="I318" s="1056">
        <v>0</v>
      </c>
      <c r="J318" s="1056">
        <v>0</v>
      </c>
      <c r="K318" s="1063">
        <v>0</v>
      </c>
      <c r="L318" s="1056">
        <v>0</v>
      </c>
      <c r="M318" s="1063">
        <v>0</v>
      </c>
      <c r="N318" s="1056">
        <v>0</v>
      </c>
      <c r="O318" s="1056">
        <v>517.15</v>
      </c>
      <c r="P318" s="1056">
        <v>4620842.4000000004</v>
      </c>
      <c r="Q318" s="1056">
        <v>0</v>
      </c>
      <c r="R318" s="1056">
        <v>0</v>
      </c>
      <c r="S318" s="1056">
        <v>0</v>
      </c>
      <c r="T318" s="1056">
        <v>0</v>
      </c>
      <c r="U318" s="1076">
        <v>0</v>
      </c>
      <c r="V318" s="1076">
        <v>0</v>
      </c>
      <c r="W318" s="1056">
        <v>0</v>
      </c>
      <c r="X318" s="1056">
        <v>0</v>
      </c>
      <c r="Y318" s="1076">
        <v>0</v>
      </c>
      <c r="Z318" s="1056">
        <v>361922.26</v>
      </c>
      <c r="AA318" s="1056">
        <v>0</v>
      </c>
    </row>
    <row r="319" spans="1:27" s="1078" customFormat="1" ht="100.15" customHeight="1">
      <c r="A319" s="1121"/>
      <c r="B319" s="1062" t="s">
        <v>1117</v>
      </c>
      <c r="C319" s="1056">
        <f>C320</f>
        <v>2967810.4099999997</v>
      </c>
      <c r="D319" s="1056">
        <f t="shared" ref="D319:AA319" si="229">D320</f>
        <v>0</v>
      </c>
      <c r="E319" s="1056">
        <f t="shared" si="229"/>
        <v>0</v>
      </c>
      <c r="F319" s="1056">
        <f t="shared" si="229"/>
        <v>0</v>
      </c>
      <c r="G319" s="1056">
        <f t="shared" si="229"/>
        <v>0</v>
      </c>
      <c r="H319" s="1056">
        <f t="shared" si="229"/>
        <v>0</v>
      </c>
      <c r="I319" s="1056">
        <f t="shared" si="229"/>
        <v>0</v>
      </c>
      <c r="J319" s="1056">
        <f t="shared" si="229"/>
        <v>0</v>
      </c>
      <c r="K319" s="1056">
        <f t="shared" si="229"/>
        <v>0</v>
      </c>
      <c r="L319" s="1056">
        <f t="shared" si="229"/>
        <v>0</v>
      </c>
      <c r="M319" s="1056">
        <f t="shared" si="229"/>
        <v>0</v>
      </c>
      <c r="N319" s="1056">
        <f t="shared" si="229"/>
        <v>0</v>
      </c>
      <c r="O319" s="1056">
        <f t="shared" si="229"/>
        <v>532</v>
      </c>
      <c r="P319" s="1056">
        <f t="shared" si="229"/>
        <v>2752244.01</v>
      </c>
      <c r="Q319" s="1056">
        <f t="shared" si="229"/>
        <v>0</v>
      </c>
      <c r="R319" s="1056">
        <f t="shared" si="229"/>
        <v>0</v>
      </c>
      <c r="S319" s="1056">
        <f t="shared" si="229"/>
        <v>0</v>
      </c>
      <c r="T319" s="1056">
        <f t="shared" si="229"/>
        <v>0</v>
      </c>
      <c r="U319" s="1056">
        <f t="shared" si="229"/>
        <v>0</v>
      </c>
      <c r="V319" s="1056">
        <f t="shared" si="229"/>
        <v>0</v>
      </c>
      <c r="W319" s="1056">
        <f t="shared" si="229"/>
        <v>0</v>
      </c>
      <c r="X319" s="1056">
        <f t="shared" si="229"/>
        <v>0</v>
      </c>
      <c r="Y319" s="1056">
        <f t="shared" si="229"/>
        <v>0</v>
      </c>
      <c r="Z319" s="1056">
        <f t="shared" si="229"/>
        <v>215566.4</v>
      </c>
      <c r="AA319" s="1056">
        <f t="shared" si="229"/>
        <v>0</v>
      </c>
    </row>
    <row r="320" spans="1:27" s="1067" customFormat="1" ht="94.9" customHeight="1">
      <c r="A320" s="1121">
        <v>88</v>
      </c>
      <c r="B320" s="1073" t="s">
        <v>1360</v>
      </c>
      <c r="C320" s="1056">
        <f>D320+N320+P320+R320+T320+X320+Z320</f>
        <v>2967810.4099999997</v>
      </c>
      <c r="D320" s="1056">
        <f>SUM(E320:J320)</f>
        <v>0</v>
      </c>
      <c r="E320" s="1056">
        <v>0</v>
      </c>
      <c r="F320" s="1056">
        <v>0</v>
      </c>
      <c r="G320" s="1056">
        <v>0</v>
      </c>
      <c r="H320" s="1056">
        <v>0</v>
      </c>
      <c r="I320" s="1056">
        <v>0</v>
      </c>
      <c r="J320" s="1056">
        <v>0</v>
      </c>
      <c r="K320" s="1063">
        <v>0</v>
      </c>
      <c r="L320" s="1056">
        <v>0</v>
      </c>
      <c r="M320" s="1063">
        <v>0</v>
      </c>
      <c r="N320" s="1056">
        <v>0</v>
      </c>
      <c r="O320" s="1056">
        <v>532</v>
      </c>
      <c r="P320" s="1056">
        <v>2752244.01</v>
      </c>
      <c r="Q320" s="1056">
        <v>0</v>
      </c>
      <c r="R320" s="1056">
        <v>0</v>
      </c>
      <c r="S320" s="1056">
        <v>0</v>
      </c>
      <c r="T320" s="1056">
        <v>0</v>
      </c>
      <c r="U320" s="1076">
        <v>0</v>
      </c>
      <c r="V320" s="1076">
        <v>0</v>
      </c>
      <c r="W320" s="1056">
        <v>0</v>
      </c>
      <c r="X320" s="1056">
        <v>0</v>
      </c>
      <c r="Y320" s="1076">
        <v>0</v>
      </c>
      <c r="Z320" s="1056">
        <v>215566.4</v>
      </c>
      <c r="AA320" s="1056">
        <v>0</v>
      </c>
    </row>
    <row r="321" spans="1:27" s="1067" customFormat="1" ht="111" customHeight="1">
      <c r="A321" s="1121"/>
      <c r="B321" s="1073" t="s">
        <v>1245</v>
      </c>
      <c r="C321" s="1056">
        <f>C322+C323+C324</f>
        <v>9225287.8499999996</v>
      </c>
      <c r="D321" s="1056">
        <f t="shared" ref="D321:AA321" si="230">D322+D323+D324</f>
        <v>0</v>
      </c>
      <c r="E321" s="1056">
        <f t="shared" si="230"/>
        <v>0</v>
      </c>
      <c r="F321" s="1056">
        <f t="shared" si="230"/>
        <v>0</v>
      </c>
      <c r="G321" s="1056">
        <f t="shared" si="230"/>
        <v>0</v>
      </c>
      <c r="H321" s="1056">
        <f t="shared" si="230"/>
        <v>0</v>
      </c>
      <c r="I321" s="1056">
        <f t="shared" si="230"/>
        <v>0</v>
      </c>
      <c r="J321" s="1056">
        <f t="shared" si="230"/>
        <v>0</v>
      </c>
      <c r="K321" s="1056">
        <f t="shared" si="230"/>
        <v>0</v>
      </c>
      <c r="L321" s="1056">
        <f t="shared" si="230"/>
        <v>0</v>
      </c>
      <c r="M321" s="1056">
        <f t="shared" si="230"/>
        <v>0</v>
      </c>
      <c r="N321" s="1056">
        <f t="shared" si="230"/>
        <v>0</v>
      </c>
      <c r="O321" s="1056">
        <f t="shared" si="230"/>
        <v>955</v>
      </c>
      <c r="P321" s="1056">
        <f t="shared" si="230"/>
        <v>4940588.41</v>
      </c>
      <c r="Q321" s="1056">
        <f t="shared" si="230"/>
        <v>0</v>
      </c>
      <c r="R321" s="1056">
        <f t="shared" si="230"/>
        <v>0</v>
      </c>
      <c r="S321" s="1056">
        <f t="shared" si="230"/>
        <v>405</v>
      </c>
      <c r="T321" s="1056">
        <f t="shared" si="230"/>
        <v>1680315.35</v>
      </c>
      <c r="U321" s="1056">
        <f t="shared" si="230"/>
        <v>405</v>
      </c>
      <c r="V321" s="1056">
        <f t="shared" si="230"/>
        <v>1934306.89</v>
      </c>
      <c r="W321" s="1056">
        <f t="shared" si="230"/>
        <v>0</v>
      </c>
      <c r="X321" s="1056">
        <f t="shared" si="230"/>
        <v>0</v>
      </c>
      <c r="Y321" s="1056">
        <f t="shared" si="230"/>
        <v>0</v>
      </c>
      <c r="Z321" s="1056">
        <f t="shared" si="230"/>
        <v>670077.19999999995</v>
      </c>
      <c r="AA321" s="1056">
        <f t="shared" si="230"/>
        <v>0</v>
      </c>
    </row>
    <row r="322" spans="1:27" s="1064" customFormat="1" ht="78" customHeight="1">
      <c r="A322" s="1121">
        <v>89</v>
      </c>
      <c r="B322" s="1273" t="s">
        <v>1509</v>
      </c>
      <c r="C322" s="1056">
        <f>D322+N322+P322+R322+T322+X322+Z322+V322</f>
        <v>2900867.32</v>
      </c>
      <c r="D322" s="1056">
        <f t="shared" ref="D322:D323" si="231">SUM(E322:J322)</f>
        <v>0</v>
      </c>
      <c r="E322" s="1056">
        <v>0</v>
      </c>
      <c r="F322" s="1056">
        <v>0</v>
      </c>
      <c r="G322" s="1056">
        <v>0</v>
      </c>
      <c r="H322" s="1056">
        <v>0</v>
      </c>
      <c r="I322" s="1056">
        <v>0</v>
      </c>
      <c r="J322" s="1056">
        <v>0</v>
      </c>
      <c r="K322" s="1063">
        <v>0</v>
      </c>
      <c r="L322" s="1056">
        <v>0</v>
      </c>
      <c r="M322" s="1063">
        <v>0</v>
      </c>
      <c r="N322" s="1056">
        <v>0</v>
      </c>
      <c r="O322" s="1056">
        <v>520</v>
      </c>
      <c r="P322" s="1056">
        <v>2690163.32</v>
      </c>
      <c r="Q322" s="1056">
        <v>0</v>
      </c>
      <c r="R322" s="1056">
        <v>0</v>
      </c>
      <c r="S322" s="1056">
        <v>0</v>
      </c>
      <c r="T322" s="1056">
        <v>0</v>
      </c>
      <c r="U322" s="1076">
        <v>0</v>
      </c>
      <c r="V322" s="1076">
        <v>0</v>
      </c>
      <c r="W322" s="1056">
        <v>0</v>
      </c>
      <c r="X322" s="1056">
        <v>0</v>
      </c>
      <c r="Y322" s="1076">
        <v>0</v>
      </c>
      <c r="Z322" s="1056">
        <v>210704</v>
      </c>
      <c r="AA322" s="1056">
        <v>0</v>
      </c>
    </row>
    <row r="323" spans="1:27" s="1064" customFormat="1" ht="91.5" customHeight="1">
      <c r="A323" s="1121">
        <v>90</v>
      </c>
      <c r="B323" s="1273" t="s">
        <v>1317</v>
      </c>
      <c r="C323" s="1056">
        <f t="shared" ref="C323:C324" si="232">D323+N323+P323+R323+T323+X323+Z323+V323</f>
        <v>3897733.44</v>
      </c>
      <c r="D323" s="1056">
        <f t="shared" si="231"/>
        <v>0</v>
      </c>
      <c r="E323" s="1056">
        <v>0</v>
      </c>
      <c r="F323" s="1056">
        <v>0</v>
      </c>
      <c r="G323" s="1056">
        <v>0</v>
      </c>
      <c r="H323" s="1056">
        <v>0</v>
      </c>
      <c r="I323" s="1056">
        <v>0</v>
      </c>
      <c r="J323" s="1056">
        <v>0</v>
      </c>
      <c r="K323" s="1063">
        <v>0</v>
      </c>
      <c r="L323" s="1056">
        <v>0</v>
      </c>
      <c r="M323" s="1063">
        <v>0</v>
      </c>
      <c r="N323" s="1056">
        <v>0</v>
      </c>
      <c r="O323" s="1056">
        <v>0</v>
      </c>
      <c r="P323" s="1056">
        <v>0</v>
      </c>
      <c r="Q323" s="1056">
        <v>0</v>
      </c>
      <c r="R323" s="1056">
        <v>0</v>
      </c>
      <c r="S323" s="1056">
        <v>405</v>
      </c>
      <c r="T323" s="1056">
        <v>1680315.35</v>
      </c>
      <c r="U323" s="1076">
        <v>405</v>
      </c>
      <c r="V323" s="1076">
        <v>1934306.89</v>
      </c>
      <c r="W323" s="1056">
        <v>0</v>
      </c>
      <c r="X323" s="1056">
        <v>0</v>
      </c>
      <c r="Y323" s="1076">
        <v>0</v>
      </c>
      <c r="Z323" s="1056">
        <v>283111.2</v>
      </c>
      <c r="AA323" s="1056">
        <v>0</v>
      </c>
    </row>
    <row r="324" spans="1:27" s="1064" customFormat="1" ht="99.75" customHeight="1">
      <c r="A324" s="1121">
        <v>91</v>
      </c>
      <c r="B324" s="1273" t="s">
        <v>1515</v>
      </c>
      <c r="C324" s="1056">
        <f t="shared" si="232"/>
        <v>2426687.09</v>
      </c>
      <c r="D324" s="1056">
        <f t="shared" ref="D324" si="233">SUM(E324:J324)</f>
        <v>0</v>
      </c>
      <c r="E324" s="1056">
        <v>0</v>
      </c>
      <c r="F324" s="1056">
        <v>0</v>
      </c>
      <c r="G324" s="1056">
        <v>0</v>
      </c>
      <c r="H324" s="1056">
        <v>0</v>
      </c>
      <c r="I324" s="1056">
        <v>0</v>
      </c>
      <c r="J324" s="1056">
        <v>0</v>
      </c>
      <c r="K324" s="1063">
        <v>0</v>
      </c>
      <c r="L324" s="1056">
        <v>0</v>
      </c>
      <c r="M324" s="1063">
        <v>0</v>
      </c>
      <c r="N324" s="1056">
        <v>0</v>
      </c>
      <c r="O324" s="1056">
        <v>435</v>
      </c>
      <c r="P324" s="1056">
        <v>2250425.09</v>
      </c>
      <c r="Q324" s="1056">
        <v>0</v>
      </c>
      <c r="R324" s="1056">
        <v>0</v>
      </c>
      <c r="S324" s="1056">
        <v>0</v>
      </c>
      <c r="T324" s="1056">
        <v>0</v>
      </c>
      <c r="U324" s="1076">
        <v>0</v>
      </c>
      <c r="V324" s="1076">
        <v>0</v>
      </c>
      <c r="W324" s="1056">
        <v>0</v>
      </c>
      <c r="X324" s="1056">
        <v>0</v>
      </c>
      <c r="Y324" s="1056">
        <v>0</v>
      </c>
      <c r="Z324" s="1056">
        <v>176262</v>
      </c>
      <c r="AA324" s="1056">
        <v>0</v>
      </c>
    </row>
    <row r="325" spans="1:27" s="1064" customFormat="1" ht="128.44999999999999" customHeight="1">
      <c r="A325" s="1121"/>
      <c r="B325" s="1062" t="s">
        <v>1053</v>
      </c>
      <c r="C325" s="1056">
        <f>C326+C327+C328+C329+C330</f>
        <v>26488505.43</v>
      </c>
      <c r="D325" s="1056">
        <f t="shared" ref="D325:AA325" si="234">D326+D327+D328+D329+D330</f>
        <v>0</v>
      </c>
      <c r="E325" s="1056">
        <f t="shared" si="234"/>
        <v>0</v>
      </c>
      <c r="F325" s="1056">
        <f t="shared" si="234"/>
        <v>0</v>
      </c>
      <c r="G325" s="1056">
        <f t="shared" si="234"/>
        <v>0</v>
      </c>
      <c r="H325" s="1056">
        <f t="shared" si="234"/>
        <v>0</v>
      </c>
      <c r="I325" s="1056">
        <f t="shared" si="234"/>
        <v>0</v>
      </c>
      <c r="J325" s="1056">
        <f t="shared" si="234"/>
        <v>0</v>
      </c>
      <c r="K325" s="1056">
        <f t="shared" si="234"/>
        <v>0</v>
      </c>
      <c r="L325" s="1056">
        <f t="shared" si="234"/>
        <v>0</v>
      </c>
      <c r="M325" s="1056">
        <f t="shared" si="234"/>
        <v>3</v>
      </c>
      <c r="N325" s="1056">
        <f t="shared" si="234"/>
        <v>8948383.2599999998</v>
      </c>
      <c r="O325" s="1056">
        <f t="shared" si="234"/>
        <v>2860.06</v>
      </c>
      <c r="P325" s="1056">
        <f t="shared" si="234"/>
        <v>15616134.120000001</v>
      </c>
      <c r="Q325" s="1056">
        <f t="shared" si="234"/>
        <v>0</v>
      </c>
      <c r="R325" s="1056">
        <f t="shared" si="234"/>
        <v>0</v>
      </c>
      <c r="S325" s="1056">
        <f t="shared" si="234"/>
        <v>0</v>
      </c>
      <c r="T325" s="1056">
        <f t="shared" si="234"/>
        <v>0</v>
      </c>
      <c r="U325" s="1056">
        <f t="shared" si="234"/>
        <v>0</v>
      </c>
      <c r="V325" s="1056">
        <f t="shared" si="234"/>
        <v>0</v>
      </c>
      <c r="W325" s="1056">
        <f t="shared" si="234"/>
        <v>0</v>
      </c>
      <c r="X325" s="1056">
        <f t="shared" si="234"/>
        <v>0</v>
      </c>
      <c r="Y325" s="1056">
        <f t="shared" si="234"/>
        <v>0</v>
      </c>
      <c r="Z325" s="1056">
        <f t="shared" si="234"/>
        <v>1923988.05</v>
      </c>
      <c r="AA325" s="1056">
        <f t="shared" si="234"/>
        <v>0</v>
      </c>
    </row>
    <row r="326" spans="1:27" s="1064" customFormat="1" ht="93.6" customHeight="1">
      <c r="A326" s="1121">
        <v>92</v>
      </c>
      <c r="B326" s="1245" t="s">
        <v>1685</v>
      </c>
      <c r="C326" s="1056">
        <f>D326+N326+P326+R326+T326+X326+Z326</f>
        <v>5645534.0900000008</v>
      </c>
      <c r="D326" s="1056">
        <f>SUM(E326:J326)</f>
        <v>0</v>
      </c>
      <c r="E326" s="1068">
        <v>0</v>
      </c>
      <c r="F326" s="1068">
        <v>0</v>
      </c>
      <c r="G326" s="1068">
        <v>0</v>
      </c>
      <c r="H326" s="1068">
        <v>0</v>
      </c>
      <c r="I326" s="1068">
        <v>0</v>
      </c>
      <c r="J326" s="1068">
        <v>0</v>
      </c>
      <c r="K326" s="1063">
        <v>0</v>
      </c>
      <c r="L326" s="1068">
        <v>0</v>
      </c>
      <c r="M326" s="1063">
        <v>0</v>
      </c>
      <c r="N326" s="1068">
        <v>0</v>
      </c>
      <c r="O326" s="1068">
        <v>1012</v>
      </c>
      <c r="P326" s="1068">
        <v>5235471.6900000004</v>
      </c>
      <c r="Q326" s="1068">
        <v>0</v>
      </c>
      <c r="R326" s="1068">
        <v>0</v>
      </c>
      <c r="S326" s="1068">
        <v>0</v>
      </c>
      <c r="T326" s="1068">
        <v>0</v>
      </c>
      <c r="U326" s="1076">
        <v>0</v>
      </c>
      <c r="V326" s="1076">
        <v>0</v>
      </c>
      <c r="W326" s="1068">
        <v>0</v>
      </c>
      <c r="X326" s="1068">
        <v>0</v>
      </c>
      <c r="Y326" s="1076">
        <v>0</v>
      </c>
      <c r="Z326" s="1068">
        <v>410062.4</v>
      </c>
      <c r="AA326" s="1068">
        <v>0</v>
      </c>
    </row>
    <row r="327" spans="1:27" s="1064" customFormat="1" ht="99.6" customHeight="1">
      <c r="A327" s="1121">
        <v>93</v>
      </c>
      <c r="B327" s="1245" t="s">
        <v>1686</v>
      </c>
      <c r="C327" s="1056">
        <f t="shared" ref="C327:C330" si="235">D327+N327+P327+R327+T327+X327+Z327</f>
        <v>5645534.0900000008</v>
      </c>
      <c r="D327" s="1056">
        <f t="shared" ref="D327:D330" si="236">SUM(E327:J327)</f>
        <v>0</v>
      </c>
      <c r="E327" s="1068">
        <v>0</v>
      </c>
      <c r="F327" s="1068">
        <v>0</v>
      </c>
      <c r="G327" s="1068">
        <v>0</v>
      </c>
      <c r="H327" s="1068">
        <v>0</v>
      </c>
      <c r="I327" s="1068">
        <v>0</v>
      </c>
      <c r="J327" s="1068">
        <v>0</v>
      </c>
      <c r="K327" s="1063">
        <v>0</v>
      </c>
      <c r="L327" s="1068">
        <v>0</v>
      </c>
      <c r="M327" s="1063">
        <v>0</v>
      </c>
      <c r="N327" s="1068">
        <v>0</v>
      </c>
      <c r="O327" s="1068">
        <v>1012</v>
      </c>
      <c r="P327" s="1068">
        <v>5235471.6900000004</v>
      </c>
      <c r="Q327" s="1068">
        <v>0</v>
      </c>
      <c r="R327" s="1068">
        <v>0</v>
      </c>
      <c r="S327" s="1068">
        <v>0</v>
      </c>
      <c r="T327" s="1068">
        <v>0</v>
      </c>
      <c r="U327" s="1076">
        <v>0</v>
      </c>
      <c r="V327" s="1076">
        <v>0</v>
      </c>
      <c r="W327" s="1068">
        <v>0</v>
      </c>
      <c r="X327" s="1068">
        <v>0</v>
      </c>
      <c r="Y327" s="1056">
        <v>0</v>
      </c>
      <c r="Z327" s="1068">
        <v>410062.4</v>
      </c>
      <c r="AA327" s="1068">
        <v>0</v>
      </c>
    </row>
    <row r="328" spans="1:27" s="1064" customFormat="1" ht="102" customHeight="1">
      <c r="A328" s="1121">
        <v>94</v>
      </c>
      <c r="B328" s="1245" t="s">
        <v>1687</v>
      </c>
      <c r="C328" s="1056">
        <f t="shared" si="235"/>
        <v>2100054.89</v>
      </c>
      <c r="D328" s="1056">
        <f t="shared" si="236"/>
        <v>0</v>
      </c>
      <c r="E328" s="1068">
        <v>0</v>
      </c>
      <c r="F328" s="1068">
        <v>0</v>
      </c>
      <c r="G328" s="1068">
        <v>0</v>
      </c>
      <c r="H328" s="1068">
        <v>0</v>
      </c>
      <c r="I328" s="1068">
        <v>0</v>
      </c>
      <c r="J328" s="1068">
        <v>0</v>
      </c>
      <c r="K328" s="1063">
        <v>0</v>
      </c>
      <c r="L328" s="1068">
        <v>0</v>
      </c>
      <c r="M328" s="1063">
        <v>0</v>
      </c>
      <c r="N328" s="1068">
        <v>0</v>
      </c>
      <c r="O328" s="1068">
        <v>217.96</v>
      </c>
      <c r="P328" s="1068">
        <v>1947517.76</v>
      </c>
      <c r="Q328" s="1068">
        <v>0</v>
      </c>
      <c r="R328" s="1068">
        <v>0</v>
      </c>
      <c r="S328" s="1068">
        <v>0</v>
      </c>
      <c r="T328" s="1068">
        <v>0</v>
      </c>
      <c r="U328" s="1076">
        <v>0</v>
      </c>
      <c r="V328" s="1076">
        <v>0</v>
      </c>
      <c r="W328" s="1068">
        <v>0</v>
      </c>
      <c r="X328" s="1068">
        <v>0</v>
      </c>
      <c r="Y328" s="1076">
        <v>0</v>
      </c>
      <c r="Z328" s="1068">
        <v>152537.13</v>
      </c>
      <c r="AA328" s="1068">
        <v>0</v>
      </c>
    </row>
    <row r="329" spans="1:27" s="1064" customFormat="1" ht="102" customHeight="1">
      <c r="A329" s="1121">
        <v>95</v>
      </c>
      <c r="B329" s="1245" t="s">
        <v>1694</v>
      </c>
      <c r="C329" s="1056">
        <f t="shared" ref="C329" si="237">D329+N329+P329+R329+T329+X329+Z329</f>
        <v>9880963.9399999995</v>
      </c>
      <c r="D329" s="1056">
        <f t="shared" ref="D329" si="238">SUM(E329:J329)</f>
        <v>0</v>
      </c>
      <c r="E329" s="1068"/>
      <c r="F329" s="1068"/>
      <c r="G329" s="1068"/>
      <c r="H329" s="1068"/>
      <c r="I329" s="1068"/>
      <c r="J329" s="1068"/>
      <c r="K329" s="1063"/>
      <c r="L329" s="1068"/>
      <c r="M329" s="1063">
        <v>2</v>
      </c>
      <c r="N329" s="1068">
        <v>5965588.8399999999</v>
      </c>
      <c r="O329" s="1068">
        <v>618.1</v>
      </c>
      <c r="P329" s="1068">
        <v>3197672.98</v>
      </c>
      <c r="Q329" s="1068"/>
      <c r="R329" s="1068"/>
      <c r="S329" s="1068"/>
      <c r="T329" s="1068"/>
      <c r="U329" s="1076"/>
      <c r="V329" s="1076"/>
      <c r="W329" s="1068"/>
      <c r="X329" s="1068"/>
      <c r="Y329" s="1076"/>
      <c r="Z329" s="1068">
        <v>717702.12</v>
      </c>
      <c r="AA329" s="1068"/>
    </row>
    <row r="330" spans="1:27" s="1064" customFormat="1" ht="86.45" customHeight="1">
      <c r="A330" s="1121">
        <v>96</v>
      </c>
      <c r="B330" s="1245" t="s">
        <v>508</v>
      </c>
      <c r="C330" s="1056">
        <f t="shared" si="235"/>
        <v>3216418.42</v>
      </c>
      <c r="D330" s="1056">
        <f t="shared" si="236"/>
        <v>0</v>
      </c>
      <c r="E330" s="1068">
        <v>0</v>
      </c>
      <c r="F330" s="1068">
        <v>0</v>
      </c>
      <c r="G330" s="1068">
        <v>0</v>
      </c>
      <c r="H330" s="1068">
        <v>0</v>
      </c>
      <c r="I330" s="1068">
        <v>0</v>
      </c>
      <c r="J330" s="1068">
        <v>0</v>
      </c>
      <c r="K330" s="1063">
        <v>0</v>
      </c>
      <c r="L330" s="1068">
        <v>0</v>
      </c>
      <c r="M330" s="1063">
        <v>1</v>
      </c>
      <c r="N330" s="1068">
        <v>2982794.42</v>
      </c>
      <c r="O330" s="1068">
        <v>0</v>
      </c>
      <c r="P330" s="1068">
        <v>0</v>
      </c>
      <c r="Q330" s="1068">
        <v>0</v>
      </c>
      <c r="R330" s="1068">
        <v>0</v>
      </c>
      <c r="S330" s="1068">
        <v>0</v>
      </c>
      <c r="T330" s="1068">
        <v>0</v>
      </c>
      <c r="U330" s="1076">
        <v>0</v>
      </c>
      <c r="V330" s="1076">
        <v>0</v>
      </c>
      <c r="W330" s="1068">
        <v>0</v>
      </c>
      <c r="X330" s="1068">
        <v>0</v>
      </c>
      <c r="Y330" s="1076">
        <v>0</v>
      </c>
      <c r="Z330" s="1068">
        <v>233624</v>
      </c>
      <c r="AA330" s="1068">
        <v>0</v>
      </c>
    </row>
    <row r="331" spans="1:27" s="1064" customFormat="1" ht="73.900000000000006" customHeight="1">
      <c r="A331" s="1449" t="s">
        <v>1340</v>
      </c>
      <c r="B331" s="1449"/>
      <c r="C331" s="1449"/>
      <c r="D331" s="1449"/>
      <c r="E331" s="1449"/>
      <c r="F331" s="1449"/>
      <c r="G331" s="1449"/>
      <c r="H331" s="1449"/>
      <c r="I331" s="1449"/>
      <c r="J331" s="1449"/>
      <c r="K331" s="1449"/>
      <c r="L331" s="1449"/>
      <c r="M331" s="1449"/>
      <c r="N331" s="1449"/>
      <c r="O331" s="1449"/>
      <c r="P331" s="1449"/>
      <c r="Q331" s="1449"/>
      <c r="R331" s="1449"/>
      <c r="S331" s="1449"/>
      <c r="T331" s="1449"/>
      <c r="U331" s="1449"/>
      <c r="V331" s="1449"/>
      <c r="W331" s="1449"/>
      <c r="X331" s="1449"/>
      <c r="Y331" s="1449"/>
      <c r="Z331" s="1449"/>
      <c r="AA331" s="1449"/>
    </row>
    <row r="332" spans="1:27" s="1064" customFormat="1" ht="88.9" customHeight="1">
      <c r="A332" s="1121"/>
      <c r="B332" s="1062" t="s">
        <v>1261</v>
      </c>
      <c r="C332" s="1056">
        <f>C333+C351+C364+C369+C371+C373+C376+C380+C382+C387+C389+C391+C393+C404+C408+C413+C418+C436+C439+C443+C446+C448+C454+C458+C460+C463+C465+C471+C357+C434+C456</f>
        <v>672511329.8900001</v>
      </c>
      <c r="D332" s="1056">
        <f t="shared" ref="D332:AA332" si="239">D333+D351+D364+D369+D371+D373+D376+D380+D382+D387+D389+D391+D393+D404+D408+D413+D418+D436+D439+D443+D446+D448+D454+D458+D460+D463+D465+D471+D357+D434+D456</f>
        <v>108784310.06</v>
      </c>
      <c r="E332" s="1056">
        <f t="shared" si="239"/>
        <v>19790008.949999996</v>
      </c>
      <c r="F332" s="1056">
        <f t="shared" si="239"/>
        <v>46303476.849999994</v>
      </c>
      <c r="G332" s="1056">
        <f t="shared" si="239"/>
        <v>3212358.67</v>
      </c>
      <c r="H332" s="1056">
        <f t="shared" si="239"/>
        <v>14465576.879999999</v>
      </c>
      <c r="I332" s="1056">
        <f t="shared" si="239"/>
        <v>15342438.359999999</v>
      </c>
      <c r="J332" s="1056">
        <f t="shared" si="239"/>
        <v>9670450.3499999996</v>
      </c>
      <c r="K332" s="1056">
        <f t="shared" si="239"/>
        <v>3</v>
      </c>
      <c r="L332" s="1056">
        <f t="shared" si="239"/>
        <v>673929</v>
      </c>
      <c r="M332" s="1056">
        <f t="shared" si="239"/>
        <v>4</v>
      </c>
      <c r="N332" s="1056">
        <f t="shared" si="239"/>
        <v>12420354.74</v>
      </c>
      <c r="O332" s="1056">
        <f t="shared" si="239"/>
        <v>52735.520000000004</v>
      </c>
      <c r="P332" s="1056">
        <f t="shared" si="239"/>
        <v>405338776.28000003</v>
      </c>
      <c r="Q332" s="1056">
        <f t="shared" si="239"/>
        <v>0</v>
      </c>
      <c r="R332" s="1056">
        <f t="shared" si="239"/>
        <v>0</v>
      </c>
      <c r="S332" s="1056">
        <f t="shared" si="239"/>
        <v>18394.93</v>
      </c>
      <c r="T332" s="1056">
        <f t="shared" si="239"/>
        <v>78014309.300000012</v>
      </c>
      <c r="U332" s="1056">
        <f t="shared" si="239"/>
        <v>454</v>
      </c>
      <c r="V332" s="1056">
        <f t="shared" si="239"/>
        <v>2256903.83</v>
      </c>
      <c r="W332" s="1056">
        <f t="shared" si="239"/>
        <v>0</v>
      </c>
      <c r="X332" s="1056">
        <f t="shared" si="239"/>
        <v>0</v>
      </c>
      <c r="Y332" s="1056">
        <f t="shared" si="239"/>
        <v>0</v>
      </c>
      <c r="Z332" s="1056">
        <f t="shared" si="239"/>
        <v>48796900.670000002</v>
      </c>
      <c r="AA332" s="1056">
        <f t="shared" si="239"/>
        <v>0</v>
      </c>
    </row>
    <row r="333" spans="1:27" s="1064" customFormat="1" ht="85.9" customHeight="1">
      <c r="A333" s="1121"/>
      <c r="B333" s="1055" t="s">
        <v>1217</v>
      </c>
      <c r="C333" s="1056">
        <f t="shared" ref="C333:T333" si="240">SUM(C334:C350)</f>
        <v>166554860.20000002</v>
      </c>
      <c r="D333" s="1056">
        <f t="shared" si="240"/>
        <v>105302611.59</v>
      </c>
      <c r="E333" s="1056">
        <f t="shared" si="240"/>
        <v>16308310.479999999</v>
      </c>
      <c r="F333" s="1056">
        <f t="shared" si="240"/>
        <v>46303476.849999994</v>
      </c>
      <c r="G333" s="1056">
        <f t="shared" si="240"/>
        <v>3212358.67</v>
      </c>
      <c r="H333" s="1056">
        <f t="shared" si="240"/>
        <v>14465576.879999999</v>
      </c>
      <c r="I333" s="1056">
        <f t="shared" si="240"/>
        <v>15342438.359999999</v>
      </c>
      <c r="J333" s="1056">
        <f t="shared" si="240"/>
        <v>9670450.3499999996</v>
      </c>
      <c r="K333" s="1056">
        <f t="shared" si="240"/>
        <v>3</v>
      </c>
      <c r="L333" s="1056">
        <f t="shared" si="240"/>
        <v>673929</v>
      </c>
      <c r="M333" s="1056">
        <f t="shared" si="240"/>
        <v>0</v>
      </c>
      <c r="N333" s="1056">
        <f t="shared" si="240"/>
        <v>0</v>
      </c>
      <c r="O333" s="1056">
        <f t="shared" si="240"/>
        <v>495.6</v>
      </c>
      <c r="P333" s="1056">
        <f t="shared" si="240"/>
        <v>4610016.58</v>
      </c>
      <c r="Q333" s="1056">
        <f t="shared" si="240"/>
        <v>0</v>
      </c>
      <c r="R333" s="1056">
        <f t="shared" si="240"/>
        <v>0</v>
      </c>
      <c r="S333" s="1056">
        <f t="shared" si="240"/>
        <v>8542.8999999999978</v>
      </c>
      <c r="T333" s="1056">
        <f t="shared" si="240"/>
        <v>36901061.68</v>
      </c>
      <c r="U333" s="1056">
        <v>0</v>
      </c>
      <c r="V333" s="1056">
        <v>0</v>
      </c>
      <c r="W333" s="1056">
        <f>SUM(W334:W350)</f>
        <v>0</v>
      </c>
      <c r="X333" s="1056">
        <f>SUM(X334:X350)</f>
        <v>0</v>
      </c>
      <c r="Y333" s="1056">
        <f>SUM(Y334:Y350)</f>
        <v>0</v>
      </c>
      <c r="Z333" s="1056">
        <f>SUM(Z334:Z350)</f>
        <v>12097683.720000001</v>
      </c>
      <c r="AA333" s="1056">
        <f>SUM(AA334:AA350)</f>
        <v>0</v>
      </c>
    </row>
    <row r="334" spans="1:27" s="1106" customFormat="1" ht="127.5" customHeight="1">
      <c r="A334" s="1055">
        <v>1</v>
      </c>
      <c r="B334" s="1233" t="s">
        <v>1797</v>
      </c>
      <c r="C334" s="1105">
        <f>D334+L334+N334+P334+R334+T334+V334+X334+Z334</f>
        <v>14045704.829999998</v>
      </c>
      <c r="D334" s="1105">
        <f>SUM(E334:J334)</f>
        <v>0</v>
      </c>
      <c r="E334" s="1274">
        <v>0</v>
      </c>
      <c r="F334" s="1274">
        <v>0</v>
      </c>
      <c r="G334" s="1274">
        <v>0</v>
      </c>
      <c r="H334" s="1274">
        <v>0</v>
      </c>
      <c r="I334" s="1274">
        <v>0</v>
      </c>
      <c r="J334" s="1274">
        <v>0</v>
      </c>
      <c r="K334" s="1275">
        <v>0</v>
      </c>
      <c r="L334" s="1274">
        <v>0</v>
      </c>
      <c r="M334" s="1275">
        <v>0</v>
      </c>
      <c r="N334" s="1274">
        <v>0</v>
      </c>
      <c r="O334" s="1274">
        <v>0</v>
      </c>
      <c r="P334" s="1274">
        <v>0</v>
      </c>
      <c r="Q334" s="1274">
        <v>0</v>
      </c>
      <c r="R334" s="1274">
        <v>0</v>
      </c>
      <c r="S334" s="1276">
        <v>1402</v>
      </c>
      <c r="T334" s="1276">
        <v>6055939.8399999999</v>
      </c>
      <c r="U334" s="1276">
        <v>1402</v>
      </c>
      <c r="V334" s="1277">
        <v>6969557.6299999999</v>
      </c>
      <c r="W334" s="1274">
        <v>0</v>
      </c>
      <c r="X334" s="1274">
        <v>0</v>
      </c>
      <c r="Y334" s="1274">
        <v>0</v>
      </c>
      <c r="Z334" s="1274">
        <v>1020207.36</v>
      </c>
      <c r="AA334" s="1056">
        <v>0</v>
      </c>
    </row>
    <row r="335" spans="1:27" s="1106" customFormat="1" ht="127.5" customHeight="1">
      <c r="A335" s="1055">
        <v>2</v>
      </c>
      <c r="B335" s="1233" t="s">
        <v>1798</v>
      </c>
      <c r="C335" s="1105">
        <f t="shared" ref="C335:C350" si="241">D335+N335+P335+R335+T335+X335+Z335+L335</f>
        <v>16559001.150000002</v>
      </c>
      <c r="D335" s="1105">
        <f t="shared" ref="D335:D350" si="242">SUM(E335:J335)</f>
        <v>15356240.950000001</v>
      </c>
      <c r="E335" s="1274">
        <v>2029398.93</v>
      </c>
      <c r="F335" s="1274">
        <v>5400662.2000000002</v>
      </c>
      <c r="G335" s="1274">
        <v>0</v>
      </c>
      <c r="H335" s="1274">
        <v>3254069.88</v>
      </c>
      <c r="I335" s="1274">
        <v>3254069.88</v>
      </c>
      <c r="J335" s="1274">
        <v>1418040.06</v>
      </c>
      <c r="K335" s="1275">
        <v>0</v>
      </c>
      <c r="L335" s="1274">
        <v>0</v>
      </c>
      <c r="M335" s="1274">
        <v>0</v>
      </c>
      <c r="N335" s="1274">
        <v>0</v>
      </c>
      <c r="O335" s="1274">
        <v>0</v>
      </c>
      <c r="P335" s="1274">
        <v>0</v>
      </c>
      <c r="Q335" s="1274">
        <v>0</v>
      </c>
      <c r="R335" s="1274">
        <v>0</v>
      </c>
      <c r="S335" s="1274">
        <v>0</v>
      </c>
      <c r="T335" s="1274">
        <v>0</v>
      </c>
      <c r="U335" s="1274">
        <v>0</v>
      </c>
      <c r="V335" s="1274">
        <v>0</v>
      </c>
      <c r="W335" s="1274">
        <v>0</v>
      </c>
      <c r="X335" s="1274">
        <v>0</v>
      </c>
      <c r="Y335" s="1274">
        <v>0</v>
      </c>
      <c r="Z335" s="1274">
        <v>1202760.2000000002</v>
      </c>
      <c r="AA335" s="1056">
        <v>0</v>
      </c>
    </row>
    <row r="336" spans="1:27" s="1106" customFormat="1" ht="127.5" customHeight="1">
      <c r="A336" s="1055">
        <v>3</v>
      </c>
      <c r="B336" s="1233" t="s">
        <v>1799</v>
      </c>
      <c r="C336" s="1105">
        <f t="shared" si="241"/>
        <v>27373618.790000003</v>
      </c>
      <c r="D336" s="1105">
        <f t="shared" si="242"/>
        <v>25385340.690000001</v>
      </c>
      <c r="E336" s="1274">
        <v>0</v>
      </c>
      <c r="F336" s="1274">
        <v>20106120.600000001</v>
      </c>
      <c r="G336" s="1274">
        <v>0</v>
      </c>
      <c r="H336" s="1274">
        <v>0</v>
      </c>
      <c r="I336" s="1274">
        <v>0</v>
      </c>
      <c r="J336" s="1274">
        <v>5279220.09</v>
      </c>
      <c r="K336" s="1275">
        <v>0</v>
      </c>
      <c r="L336" s="1274">
        <v>0</v>
      </c>
      <c r="M336" s="1274">
        <v>0</v>
      </c>
      <c r="N336" s="1274">
        <v>0</v>
      </c>
      <c r="O336" s="1274">
        <v>0</v>
      </c>
      <c r="P336" s="1274">
        <v>0</v>
      </c>
      <c r="Q336" s="1274">
        <v>0</v>
      </c>
      <c r="R336" s="1274">
        <v>0</v>
      </c>
      <c r="S336" s="1274">
        <v>0</v>
      </c>
      <c r="T336" s="1274">
        <v>0</v>
      </c>
      <c r="U336" s="1274">
        <v>0</v>
      </c>
      <c r="V336" s="1274">
        <v>0</v>
      </c>
      <c r="W336" s="1274">
        <v>0</v>
      </c>
      <c r="X336" s="1274">
        <v>0</v>
      </c>
      <c r="Y336" s="1274">
        <v>0</v>
      </c>
      <c r="Z336" s="1274">
        <v>1988278.0999999999</v>
      </c>
      <c r="AA336" s="1056">
        <v>0</v>
      </c>
    </row>
    <row r="337" spans="1:27" s="1106" customFormat="1" ht="127.5" customHeight="1">
      <c r="A337" s="1055">
        <v>4</v>
      </c>
      <c r="B337" s="1233" t="s">
        <v>1800</v>
      </c>
      <c r="C337" s="1105">
        <f t="shared" si="241"/>
        <v>4706272.7299999995</v>
      </c>
      <c r="D337" s="1105">
        <f t="shared" si="242"/>
        <v>4364433.42</v>
      </c>
      <c r="E337" s="1274">
        <v>4364433.42</v>
      </c>
      <c r="F337" s="1274">
        <v>0</v>
      </c>
      <c r="G337" s="1274">
        <v>0</v>
      </c>
      <c r="H337" s="1274">
        <v>0</v>
      </c>
      <c r="I337" s="1274">
        <v>0</v>
      </c>
      <c r="J337" s="1274">
        <v>0</v>
      </c>
      <c r="K337" s="1275">
        <v>0</v>
      </c>
      <c r="L337" s="1274">
        <v>0</v>
      </c>
      <c r="M337" s="1274">
        <v>0</v>
      </c>
      <c r="N337" s="1274">
        <v>0</v>
      </c>
      <c r="O337" s="1274">
        <v>0</v>
      </c>
      <c r="P337" s="1274">
        <v>0</v>
      </c>
      <c r="Q337" s="1274">
        <v>0</v>
      </c>
      <c r="R337" s="1274">
        <v>0</v>
      </c>
      <c r="S337" s="1274">
        <v>0</v>
      </c>
      <c r="T337" s="1274">
        <v>0</v>
      </c>
      <c r="U337" s="1274">
        <v>0</v>
      </c>
      <c r="V337" s="1274">
        <v>0</v>
      </c>
      <c r="W337" s="1274">
        <v>0</v>
      </c>
      <c r="X337" s="1274">
        <v>0</v>
      </c>
      <c r="Y337" s="1274">
        <v>0</v>
      </c>
      <c r="Z337" s="1274">
        <v>341839.31</v>
      </c>
      <c r="AA337" s="1056">
        <v>0</v>
      </c>
    </row>
    <row r="338" spans="1:27" s="1106" customFormat="1" ht="127.5" customHeight="1">
      <c r="A338" s="1055">
        <v>5</v>
      </c>
      <c r="B338" s="1233" t="s">
        <v>1801</v>
      </c>
      <c r="C338" s="1105">
        <f t="shared" si="241"/>
        <v>6506317.5099999998</v>
      </c>
      <c r="D338" s="1105">
        <f t="shared" si="242"/>
        <v>1423715.67</v>
      </c>
      <c r="E338" s="1274">
        <v>546854.18999999994</v>
      </c>
      <c r="F338" s="1274">
        <v>0</v>
      </c>
      <c r="G338" s="1274">
        <v>0</v>
      </c>
      <c r="H338" s="1274">
        <v>0</v>
      </c>
      <c r="I338" s="1274">
        <v>876861.48</v>
      </c>
      <c r="J338" s="1274">
        <v>0</v>
      </c>
      <c r="K338" s="1275">
        <v>0</v>
      </c>
      <c r="L338" s="1274">
        <v>0</v>
      </c>
      <c r="M338" s="1274">
        <v>0</v>
      </c>
      <c r="N338" s="1274">
        <v>0</v>
      </c>
      <c r="O338" s="1274">
        <v>495.6</v>
      </c>
      <c r="P338" s="1274">
        <v>4610016.58</v>
      </c>
      <c r="Q338" s="1274">
        <v>0</v>
      </c>
      <c r="R338" s="1274">
        <v>0</v>
      </c>
      <c r="S338" s="1274">
        <v>0</v>
      </c>
      <c r="T338" s="1274">
        <v>0</v>
      </c>
      <c r="U338" s="1274">
        <v>0</v>
      </c>
      <c r="V338" s="1274">
        <v>0</v>
      </c>
      <c r="W338" s="1274">
        <v>0</v>
      </c>
      <c r="X338" s="1274">
        <v>0</v>
      </c>
      <c r="Y338" s="1274">
        <v>0</v>
      </c>
      <c r="Z338" s="1274">
        <v>472585.26</v>
      </c>
      <c r="AA338" s="1056">
        <v>0</v>
      </c>
    </row>
    <row r="339" spans="1:27" s="1106" customFormat="1" ht="127.5" customHeight="1">
      <c r="A339" s="1055">
        <v>6</v>
      </c>
      <c r="B339" s="1233" t="s">
        <v>1802</v>
      </c>
      <c r="C339" s="1105">
        <f t="shared" si="241"/>
        <v>14877184.949999999</v>
      </c>
      <c r="D339" s="1105">
        <f t="shared" si="242"/>
        <v>3431077.59</v>
      </c>
      <c r="E339" s="1274">
        <v>3431077.59</v>
      </c>
      <c r="F339" s="1274">
        <v>0</v>
      </c>
      <c r="G339" s="1274">
        <v>0</v>
      </c>
      <c r="H339" s="1274">
        <v>0</v>
      </c>
      <c r="I339" s="1274">
        <v>0</v>
      </c>
      <c r="J339" s="1274">
        <v>0</v>
      </c>
      <c r="K339" s="1275">
        <v>0</v>
      </c>
      <c r="L339" s="1274">
        <v>0</v>
      </c>
      <c r="M339" s="1274">
        <v>0</v>
      </c>
      <c r="N339" s="1274">
        <v>0</v>
      </c>
      <c r="O339" s="1274">
        <v>0</v>
      </c>
      <c r="P339" s="1274">
        <v>0</v>
      </c>
      <c r="Q339" s="1274">
        <v>0</v>
      </c>
      <c r="R339" s="1274">
        <v>0</v>
      </c>
      <c r="S339" s="1274">
        <v>2399.6999999999998</v>
      </c>
      <c r="T339" s="1274">
        <v>10365505.59</v>
      </c>
      <c r="U339" s="1274">
        <v>0</v>
      </c>
      <c r="V339" s="1274">
        <v>0</v>
      </c>
      <c r="W339" s="1274">
        <v>0</v>
      </c>
      <c r="X339" s="1274">
        <v>0</v>
      </c>
      <c r="Y339" s="1274">
        <v>0</v>
      </c>
      <c r="Z339" s="1274">
        <v>1080601.77</v>
      </c>
      <c r="AA339" s="1056">
        <v>0</v>
      </c>
    </row>
    <row r="340" spans="1:27" s="1106" customFormat="1" ht="127.5" customHeight="1">
      <c r="A340" s="1055">
        <v>7</v>
      </c>
      <c r="B340" s="1055" t="s">
        <v>1803</v>
      </c>
      <c r="C340" s="1105">
        <f t="shared" si="241"/>
        <v>424555.56</v>
      </c>
      <c r="D340" s="1105">
        <f t="shared" si="242"/>
        <v>393718.04</v>
      </c>
      <c r="E340" s="1274">
        <v>393718.04</v>
      </c>
      <c r="F340" s="1274">
        <v>0</v>
      </c>
      <c r="G340" s="1274">
        <v>0</v>
      </c>
      <c r="H340" s="1274">
        <v>0</v>
      </c>
      <c r="I340" s="1274">
        <v>0</v>
      </c>
      <c r="J340" s="1274">
        <v>0</v>
      </c>
      <c r="K340" s="1275">
        <v>0</v>
      </c>
      <c r="L340" s="1274">
        <v>0</v>
      </c>
      <c r="M340" s="1274">
        <v>0</v>
      </c>
      <c r="N340" s="1274">
        <v>0</v>
      </c>
      <c r="O340" s="1274">
        <v>0</v>
      </c>
      <c r="P340" s="1274">
        <v>0</v>
      </c>
      <c r="Q340" s="1274">
        <v>0</v>
      </c>
      <c r="R340" s="1274">
        <v>0</v>
      </c>
      <c r="S340" s="1274">
        <v>0</v>
      </c>
      <c r="T340" s="1274">
        <v>0</v>
      </c>
      <c r="U340" s="1274">
        <v>0</v>
      </c>
      <c r="V340" s="1274">
        <v>0</v>
      </c>
      <c r="W340" s="1274">
        <v>0</v>
      </c>
      <c r="X340" s="1274">
        <v>0</v>
      </c>
      <c r="Y340" s="1274">
        <v>0</v>
      </c>
      <c r="Z340" s="1274">
        <v>30837.52</v>
      </c>
      <c r="AA340" s="1056">
        <v>0</v>
      </c>
    </row>
    <row r="341" spans="1:27" s="1106" customFormat="1" ht="127.5" customHeight="1">
      <c r="A341" s="1055">
        <v>8</v>
      </c>
      <c r="B341" s="1233" t="s">
        <v>1804</v>
      </c>
      <c r="C341" s="1105">
        <f t="shared" si="241"/>
        <v>8740866.1400000006</v>
      </c>
      <c r="D341" s="1105">
        <f t="shared" si="242"/>
        <v>0</v>
      </c>
      <c r="E341" s="1274">
        <v>0</v>
      </c>
      <c r="F341" s="1274">
        <v>0</v>
      </c>
      <c r="G341" s="1274">
        <v>0</v>
      </c>
      <c r="H341" s="1274">
        <v>0</v>
      </c>
      <c r="I341" s="1274">
        <v>0</v>
      </c>
      <c r="J341" s="1274">
        <v>0</v>
      </c>
      <c r="K341" s="1275">
        <v>0</v>
      </c>
      <c r="L341" s="1274">
        <v>0</v>
      </c>
      <c r="M341" s="1274">
        <v>0</v>
      </c>
      <c r="N341" s="1274">
        <v>0</v>
      </c>
      <c r="O341" s="1274">
        <v>0</v>
      </c>
      <c r="P341" s="1274">
        <v>0</v>
      </c>
      <c r="Q341" s="1274">
        <v>0</v>
      </c>
      <c r="R341" s="1274">
        <v>0</v>
      </c>
      <c r="S341" s="1274">
        <v>1876.6</v>
      </c>
      <c r="T341" s="1274">
        <v>8105974.8300000001</v>
      </c>
      <c r="U341" s="1274">
        <v>0</v>
      </c>
      <c r="V341" s="1274">
        <v>0</v>
      </c>
      <c r="W341" s="1274">
        <v>0</v>
      </c>
      <c r="X341" s="1274">
        <v>0</v>
      </c>
      <c r="Y341" s="1274">
        <v>0</v>
      </c>
      <c r="Z341" s="1274">
        <v>634891.31000000006</v>
      </c>
      <c r="AA341" s="1056">
        <v>0</v>
      </c>
    </row>
    <row r="342" spans="1:27" s="1106" customFormat="1" ht="127.5" customHeight="1">
      <c r="A342" s="1055">
        <v>9</v>
      </c>
      <c r="B342" s="1233" t="s">
        <v>1790</v>
      </c>
      <c r="C342" s="1105">
        <f t="shared" si="241"/>
        <v>2066589.97</v>
      </c>
      <c r="D342" s="1105">
        <f t="shared" si="242"/>
        <v>1916483.56</v>
      </c>
      <c r="E342" s="1274">
        <v>1916483.56</v>
      </c>
      <c r="F342" s="1274">
        <v>0</v>
      </c>
      <c r="G342" s="1274">
        <v>0</v>
      </c>
      <c r="H342" s="1274">
        <v>0</v>
      </c>
      <c r="I342" s="1274">
        <v>0</v>
      </c>
      <c r="J342" s="1274">
        <v>0</v>
      </c>
      <c r="K342" s="1275">
        <v>0</v>
      </c>
      <c r="L342" s="1274">
        <v>0</v>
      </c>
      <c r="M342" s="1274">
        <v>0</v>
      </c>
      <c r="N342" s="1274">
        <v>0</v>
      </c>
      <c r="O342" s="1274">
        <v>0</v>
      </c>
      <c r="P342" s="1274">
        <v>0</v>
      </c>
      <c r="Q342" s="1274">
        <v>0</v>
      </c>
      <c r="R342" s="1274">
        <v>0</v>
      </c>
      <c r="S342" s="1274">
        <v>0</v>
      </c>
      <c r="T342" s="1274">
        <v>0</v>
      </c>
      <c r="U342" s="1274">
        <v>0</v>
      </c>
      <c r="V342" s="1274">
        <v>0</v>
      </c>
      <c r="W342" s="1274">
        <v>0</v>
      </c>
      <c r="X342" s="1274">
        <v>0</v>
      </c>
      <c r="Y342" s="1274">
        <v>0</v>
      </c>
      <c r="Z342" s="1274">
        <v>150106.41</v>
      </c>
      <c r="AA342" s="1056">
        <v>0</v>
      </c>
    </row>
    <row r="343" spans="1:27" s="1106" customFormat="1" ht="127.5" customHeight="1">
      <c r="A343" s="1055">
        <v>10</v>
      </c>
      <c r="B343" s="1233" t="s">
        <v>1805</v>
      </c>
      <c r="C343" s="1105">
        <f t="shared" si="241"/>
        <v>1371051.24</v>
      </c>
      <c r="D343" s="1105">
        <f t="shared" si="242"/>
        <v>1271465.17</v>
      </c>
      <c r="E343" s="1274">
        <v>1271465.17</v>
      </c>
      <c r="F343" s="1274">
        <v>0</v>
      </c>
      <c r="G343" s="1274">
        <v>0</v>
      </c>
      <c r="H343" s="1274">
        <v>0</v>
      </c>
      <c r="I343" s="1274">
        <v>0</v>
      </c>
      <c r="J343" s="1274">
        <v>0</v>
      </c>
      <c r="K343" s="1275">
        <v>0</v>
      </c>
      <c r="L343" s="1274">
        <v>0</v>
      </c>
      <c r="M343" s="1274">
        <v>0</v>
      </c>
      <c r="N343" s="1274">
        <v>0</v>
      </c>
      <c r="O343" s="1274">
        <v>0</v>
      </c>
      <c r="P343" s="1274">
        <v>0</v>
      </c>
      <c r="Q343" s="1274">
        <v>0</v>
      </c>
      <c r="R343" s="1274">
        <v>0</v>
      </c>
      <c r="S343" s="1274">
        <v>0</v>
      </c>
      <c r="T343" s="1274">
        <v>0</v>
      </c>
      <c r="U343" s="1274">
        <v>0</v>
      </c>
      <c r="V343" s="1274">
        <v>0</v>
      </c>
      <c r="W343" s="1274">
        <v>0</v>
      </c>
      <c r="X343" s="1274">
        <v>0</v>
      </c>
      <c r="Y343" s="1274">
        <v>0</v>
      </c>
      <c r="Z343" s="1274">
        <v>99586.07</v>
      </c>
      <c r="AA343" s="1056">
        <v>0</v>
      </c>
    </row>
    <row r="344" spans="1:27" s="1106" customFormat="1" ht="127.5" customHeight="1">
      <c r="A344" s="1055">
        <v>11</v>
      </c>
      <c r="B344" s="1233" t="s">
        <v>1806</v>
      </c>
      <c r="C344" s="1105">
        <f t="shared" si="241"/>
        <v>2978210.49</v>
      </c>
      <c r="D344" s="1105">
        <f t="shared" si="242"/>
        <v>0</v>
      </c>
      <c r="E344" s="1274">
        <v>0</v>
      </c>
      <c r="F344" s="1274">
        <v>0</v>
      </c>
      <c r="G344" s="1274">
        <v>0</v>
      </c>
      <c r="H344" s="1274">
        <v>0</v>
      </c>
      <c r="I344" s="1274">
        <v>0</v>
      </c>
      <c r="J344" s="1274">
        <v>0</v>
      </c>
      <c r="K344" s="1275">
        <v>0</v>
      </c>
      <c r="L344" s="1274">
        <v>0</v>
      </c>
      <c r="M344" s="1274">
        <v>0</v>
      </c>
      <c r="N344" s="1274">
        <v>0</v>
      </c>
      <c r="O344" s="1274">
        <v>0</v>
      </c>
      <c r="P344" s="1274">
        <v>0</v>
      </c>
      <c r="Q344" s="1274">
        <v>0</v>
      </c>
      <c r="R344" s="1274">
        <v>0</v>
      </c>
      <c r="S344" s="1274">
        <v>639.4</v>
      </c>
      <c r="T344" s="1274">
        <v>2761888.68</v>
      </c>
      <c r="U344" s="1274">
        <v>0</v>
      </c>
      <c r="V344" s="1274">
        <v>0</v>
      </c>
      <c r="W344" s="1274">
        <v>0</v>
      </c>
      <c r="X344" s="1274">
        <v>0</v>
      </c>
      <c r="Y344" s="1274">
        <v>0</v>
      </c>
      <c r="Z344" s="1274">
        <v>216321.81</v>
      </c>
      <c r="AA344" s="1056">
        <v>0</v>
      </c>
    </row>
    <row r="345" spans="1:27" s="1106" customFormat="1" ht="127.5" customHeight="1">
      <c r="A345" s="1055">
        <v>12</v>
      </c>
      <c r="B345" s="1233" t="s">
        <v>1807</v>
      </c>
      <c r="C345" s="1105">
        <f t="shared" si="241"/>
        <v>3139828.39</v>
      </c>
      <c r="D345" s="1105">
        <f t="shared" si="242"/>
        <v>2911767.49</v>
      </c>
      <c r="E345" s="1274">
        <v>384803.67</v>
      </c>
      <c r="F345" s="1274">
        <v>1024044.4</v>
      </c>
      <c r="G345" s="1274">
        <v>0</v>
      </c>
      <c r="H345" s="1274">
        <v>617019.16</v>
      </c>
      <c r="I345" s="1274">
        <v>617019.16</v>
      </c>
      <c r="J345" s="1274">
        <v>268881.09999999998</v>
      </c>
      <c r="K345" s="1275">
        <v>0</v>
      </c>
      <c r="L345" s="1274">
        <v>0</v>
      </c>
      <c r="M345" s="1274">
        <v>0</v>
      </c>
      <c r="N345" s="1274">
        <v>0</v>
      </c>
      <c r="O345" s="1274">
        <v>0</v>
      </c>
      <c r="P345" s="1274">
        <v>0</v>
      </c>
      <c r="Q345" s="1274">
        <v>0</v>
      </c>
      <c r="R345" s="1274">
        <v>0</v>
      </c>
      <c r="S345" s="1274">
        <v>0</v>
      </c>
      <c r="T345" s="1274">
        <v>0</v>
      </c>
      <c r="U345" s="1274">
        <v>0</v>
      </c>
      <c r="V345" s="1274">
        <v>0</v>
      </c>
      <c r="W345" s="1274">
        <v>0</v>
      </c>
      <c r="X345" s="1274">
        <v>0</v>
      </c>
      <c r="Y345" s="1274">
        <v>0</v>
      </c>
      <c r="Z345" s="1274">
        <v>228060.90000000002</v>
      </c>
      <c r="AA345" s="1056">
        <v>0</v>
      </c>
    </row>
    <row r="346" spans="1:27" s="1106" customFormat="1" ht="127.5" customHeight="1">
      <c r="A346" s="1055">
        <v>13</v>
      </c>
      <c r="B346" s="1233" t="s">
        <v>1793</v>
      </c>
      <c r="C346" s="1105">
        <f t="shared" si="241"/>
        <v>2124379.88</v>
      </c>
      <c r="D346" s="1105">
        <f t="shared" si="242"/>
        <v>1970075.91</v>
      </c>
      <c r="E346" s="1274">
        <v>1970075.91</v>
      </c>
      <c r="F346" s="1274">
        <v>0</v>
      </c>
      <c r="G346" s="1274">
        <v>0</v>
      </c>
      <c r="H346" s="1274">
        <v>0</v>
      </c>
      <c r="I346" s="1274">
        <v>0</v>
      </c>
      <c r="J346" s="1274">
        <v>0</v>
      </c>
      <c r="K346" s="1275">
        <v>0</v>
      </c>
      <c r="L346" s="1274">
        <v>0</v>
      </c>
      <c r="M346" s="1274">
        <v>0</v>
      </c>
      <c r="N346" s="1274">
        <v>0</v>
      </c>
      <c r="O346" s="1274">
        <v>0</v>
      </c>
      <c r="P346" s="1274">
        <v>0</v>
      </c>
      <c r="Q346" s="1274">
        <v>0</v>
      </c>
      <c r="R346" s="1274">
        <v>0</v>
      </c>
      <c r="S346" s="1274">
        <v>0</v>
      </c>
      <c r="T346" s="1274">
        <v>0</v>
      </c>
      <c r="U346" s="1274">
        <v>0</v>
      </c>
      <c r="V346" s="1274">
        <v>0</v>
      </c>
      <c r="W346" s="1274">
        <v>0</v>
      </c>
      <c r="X346" s="1274">
        <v>0</v>
      </c>
      <c r="Y346" s="1274">
        <v>0</v>
      </c>
      <c r="Z346" s="1274">
        <v>154303.97</v>
      </c>
      <c r="AA346" s="1056">
        <v>0</v>
      </c>
    </row>
    <row r="347" spans="1:27" s="1106" customFormat="1" ht="127.5" customHeight="1">
      <c r="A347" s="1055">
        <v>14</v>
      </c>
      <c r="B347" s="1233" t="s">
        <v>1808</v>
      </c>
      <c r="C347" s="1105">
        <f t="shared" si="241"/>
        <v>17319264.649999999</v>
      </c>
      <c r="D347" s="1105">
        <f t="shared" si="242"/>
        <v>16061282.829999998</v>
      </c>
      <c r="E347" s="1274">
        <v>0</v>
      </c>
      <c r="F347" s="1274">
        <v>7283819.4299999997</v>
      </c>
      <c r="G347" s="1274">
        <v>0</v>
      </c>
      <c r="H347" s="1274">
        <v>4388731.7</v>
      </c>
      <c r="I347" s="1274">
        <v>4388731.7</v>
      </c>
      <c r="J347" s="1274">
        <v>0</v>
      </c>
      <c r="K347" s="1275">
        <v>0</v>
      </c>
      <c r="L347" s="1274">
        <v>0</v>
      </c>
      <c r="M347" s="1274">
        <v>0</v>
      </c>
      <c r="N347" s="1274">
        <v>0</v>
      </c>
      <c r="O347" s="1274">
        <v>0</v>
      </c>
      <c r="P347" s="1274">
        <v>0</v>
      </c>
      <c r="Q347" s="1274">
        <v>0</v>
      </c>
      <c r="R347" s="1274">
        <v>0</v>
      </c>
      <c r="S347" s="1274">
        <v>0</v>
      </c>
      <c r="T347" s="1274">
        <v>0</v>
      </c>
      <c r="U347" s="1274">
        <v>0</v>
      </c>
      <c r="V347" s="1274">
        <v>0</v>
      </c>
      <c r="W347" s="1274">
        <v>0</v>
      </c>
      <c r="X347" s="1274">
        <v>0</v>
      </c>
      <c r="Y347" s="1274">
        <v>0</v>
      </c>
      <c r="Z347" s="1274">
        <v>1257981.82</v>
      </c>
      <c r="AA347" s="1056">
        <v>0</v>
      </c>
    </row>
    <row r="348" spans="1:27" s="1106" customFormat="1" ht="127.5" customHeight="1">
      <c r="A348" s="1055">
        <v>15</v>
      </c>
      <c r="B348" s="1233" t="s">
        <v>1809</v>
      </c>
      <c r="C348" s="1105">
        <f t="shared" si="241"/>
        <v>10364582.4</v>
      </c>
      <c r="D348" s="1105">
        <f t="shared" si="242"/>
        <v>0</v>
      </c>
      <c r="E348" s="1274">
        <v>0</v>
      </c>
      <c r="F348" s="1274">
        <v>0</v>
      </c>
      <c r="G348" s="1274">
        <v>0</v>
      </c>
      <c r="H348" s="1274">
        <v>0</v>
      </c>
      <c r="I348" s="1274">
        <v>0</v>
      </c>
      <c r="J348" s="1274">
        <v>0</v>
      </c>
      <c r="K348" s="1275">
        <v>0</v>
      </c>
      <c r="L348" s="1274">
        <v>0</v>
      </c>
      <c r="M348" s="1274">
        <v>0</v>
      </c>
      <c r="N348" s="1274">
        <v>0</v>
      </c>
      <c r="O348" s="1274">
        <v>0</v>
      </c>
      <c r="P348" s="1274">
        <v>0</v>
      </c>
      <c r="Q348" s="1274">
        <v>0</v>
      </c>
      <c r="R348" s="1274">
        <v>0</v>
      </c>
      <c r="S348" s="1274">
        <v>2225.1999999999998</v>
      </c>
      <c r="T348" s="1274">
        <v>9611752.7400000002</v>
      </c>
      <c r="U348" s="1274">
        <v>0</v>
      </c>
      <c r="V348" s="1274">
        <v>0</v>
      </c>
      <c r="W348" s="1274">
        <v>0</v>
      </c>
      <c r="X348" s="1274">
        <v>0</v>
      </c>
      <c r="Y348" s="1274">
        <v>0</v>
      </c>
      <c r="Z348" s="1274">
        <v>752829.66</v>
      </c>
      <c r="AA348" s="1056">
        <v>0</v>
      </c>
    </row>
    <row r="349" spans="1:27" s="1106" customFormat="1" ht="127.5" customHeight="1">
      <c r="A349" s="1055">
        <v>16</v>
      </c>
      <c r="B349" s="1233" t="s">
        <v>1810</v>
      </c>
      <c r="C349" s="1105">
        <f t="shared" si="241"/>
        <v>3463963.03</v>
      </c>
      <c r="D349" s="1105">
        <f t="shared" si="242"/>
        <v>3212358.67</v>
      </c>
      <c r="E349" s="1274">
        <v>0</v>
      </c>
      <c r="F349" s="1274">
        <v>0</v>
      </c>
      <c r="G349" s="1274">
        <v>3212358.67</v>
      </c>
      <c r="H349" s="1274">
        <v>0</v>
      </c>
      <c r="I349" s="1274">
        <v>0</v>
      </c>
      <c r="J349" s="1274">
        <v>0</v>
      </c>
      <c r="K349" s="1275">
        <v>0</v>
      </c>
      <c r="L349" s="1274">
        <v>0</v>
      </c>
      <c r="M349" s="1274">
        <v>0</v>
      </c>
      <c r="N349" s="1274">
        <v>0</v>
      </c>
      <c r="O349" s="1274">
        <v>0</v>
      </c>
      <c r="P349" s="1274">
        <v>0</v>
      </c>
      <c r="Q349" s="1274">
        <v>0</v>
      </c>
      <c r="R349" s="1274">
        <v>0</v>
      </c>
      <c r="S349" s="1274">
        <v>0</v>
      </c>
      <c r="T349" s="1274">
        <v>0</v>
      </c>
      <c r="U349" s="1274">
        <v>0</v>
      </c>
      <c r="V349" s="1274">
        <v>0</v>
      </c>
      <c r="W349" s="1274">
        <v>0</v>
      </c>
      <c r="X349" s="1274">
        <v>0</v>
      </c>
      <c r="Y349" s="1274">
        <v>0</v>
      </c>
      <c r="Z349" s="1274">
        <v>251604.36</v>
      </c>
      <c r="AA349" s="1056">
        <v>0</v>
      </c>
    </row>
    <row r="350" spans="1:27" s="1107" customFormat="1" ht="127.5" customHeight="1">
      <c r="A350" s="1055">
        <v>17</v>
      </c>
      <c r="B350" s="1055" t="s">
        <v>1811</v>
      </c>
      <c r="C350" s="1105">
        <f t="shared" si="241"/>
        <v>30493468.490000002</v>
      </c>
      <c r="D350" s="1105">
        <f t="shared" si="242"/>
        <v>27604651.600000001</v>
      </c>
      <c r="E350" s="1274">
        <v>0</v>
      </c>
      <c r="F350" s="1274">
        <f>10299469.22+2189361</f>
        <v>12488830.220000001</v>
      </c>
      <c r="G350" s="1274">
        <v>0</v>
      </c>
      <c r="H350" s="1274">
        <v>6205756.1399999997</v>
      </c>
      <c r="I350" s="1274">
        <v>6205756.1399999997</v>
      </c>
      <c r="J350" s="1274">
        <v>2704309.1</v>
      </c>
      <c r="K350" s="1275">
        <v>3</v>
      </c>
      <c r="L350" s="1274">
        <f>380940+89847+203142</f>
        <v>673929</v>
      </c>
      <c r="M350" s="1274">
        <v>0</v>
      </c>
      <c r="N350" s="1274">
        <v>0</v>
      </c>
      <c r="O350" s="1274">
        <v>0</v>
      </c>
      <c r="P350" s="1274">
        <v>0</v>
      </c>
      <c r="Q350" s="1274">
        <v>0</v>
      </c>
      <c r="R350" s="1274">
        <v>0</v>
      </c>
      <c r="S350" s="1274">
        <v>0</v>
      </c>
      <c r="T350" s="1274">
        <v>0</v>
      </c>
      <c r="U350" s="1274">
        <v>0</v>
      </c>
      <c r="V350" s="1274">
        <v>0</v>
      </c>
      <c r="W350" s="1274">
        <v>0</v>
      </c>
      <c r="X350" s="1274">
        <v>0</v>
      </c>
      <c r="Y350" s="1274">
        <v>0</v>
      </c>
      <c r="Z350" s="1274">
        <v>2214887.89</v>
      </c>
      <c r="AA350" s="1056">
        <v>0</v>
      </c>
    </row>
    <row r="351" spans="1:27" s="1071" customFormat="1" ht="148.9" customHeight="1">
      <c r="A351" s="1121"/>
      <c r="B351" s="1055" t="s">
        <v>1093</v>
      </c>
      <c r="C351" s="1056">
        <f>C352+C353+C354+C355+C356</f>
        <v>38996940.149999999</v>
      </c>
      <c r="D351" s="1056">
        <f t="shared" ref="D351:AA351" si="243">D352+D353+D354+D355+D356</f>
        <v>0</v>
      </c>
      <c r="E351" s="1056">
        <f t="shared" si="243"/>
        <v>0</v>
      </c>
      <c r="F351" s="1056">
        <f t="shared" si="243"/>
        <v>0</v>
      </c>
      <c r="G351" s="1056">
        <f t="shared" si="243"/>
        <v>0</v>
      </c>
      <c r="H351" s="1056">
        <f t="shared" si="243"/>
        <v>0</v>
      </c>
      <c r="I351" s="1056">
        <f t="shared" si="243"/>
        <v>0</v>
      </c>
      <c r="J351" s="1056">
        <f t="shared" si="243"/>
        <v>0</v>
      </c>
      <c r="K351" s="1056">
        <f t="shared" si="243"/>
        <v>0</v>
      </c>
      <c r="L351" s="1056">
        <f t="shared" si="243"/>
        <v>0</v>
      </c>
      <c r="M351" s="1056">
        <f t="shared" si="243"/>
        <v>0</v>
      </c>
      <c r="N351" s="1056">
        <f t="shared" si="243"/>
        <v>0</v>
      </c>
      <c r="O351" s="1056">
        <f t="shared" si="243"/>
        <v>3951.58</v>
      </c>
      <c r="P351" s="1056">
        <f t="shared" si="243"/>
        <v>36164404.089999996</v>
      </c>
      <c r="Q351" s="1056">
        <f t="shared" si="243"/>
        <v>0</v>
      </c>
      <c r="R351" s="1056">
        <f t="shared" si="243"/>
        <v>0</v>
      </c>
      <c r="S351" s="1056">
        <f t="shared" si="243"/>
        <v>0</v>
      </c>
      <c r="T351" s="1056">
        <f t="shared" si="243"/>
        <v>0</v>
      </c>
      <c r="U351" s="1056">
        <f t="shared" si="243"/>
        <v>0</v>
      </c>
      <c r="V351" s="1056">
        <f t="shared" si="243"/>
        <v>0</v>
      </c>
      <c r="W351" s="1056">
        <f t="shared" si="243"/>
        <v>0</v>
      </c>
      <c r="X351" s="1056">
        <f t="shared" si="243"/>
        <v>0</v>
      </c>
      <c r="Y351" s="1056">
        <f t="shared" si="243"/>
        <v>0</v>
      </c>
      <c r="Z351" s="1056">
        <f t="shared" si="243"/>
        <v>2832536.06</v>
      </c>
      <c r="AA351" s="1056">
        <f t="shared" si="243"/>
        <v>0</v>
      </c>
    </row>
    <row r="352" spans="1:27" s="1071" customFormat="1" ht="96" customHeight="1">
      <c r="A352" s="1121">
        <v>18</v>
      </c>
      <c r="B352" s="1233" t="s">
        <v>1734</v>
      </c>
      <c r="C352" s="1056">
        <f t="shared" ref="C352" si="244">D352+N352+P352+R352+T352+X352+Z352</f>
        <v>8192871.4000000004</v>
      </c>
      <c r="D352" s="1056">
        <f t="shared" ref="D352" si="245">SUM(E352:J352)</f>
        <v>0</v>
      </c>
      <c r="E352" s="1068">
        <v>0</v>
      </c>
      <c r="F352" s="1068">
        <v>0</v>
      </c>
      <c r="G352" s="1068">
        <v>0</v>
      </c>
      <c r="H352" s="1068">
        <v>0</v>
      </c>
      <c r="I352" s="1068">
        <v>0</v>
      </c>
      <c r="J352" s="1068">
        <v>0</v>
      </c>
      <c r="K352" s="1063">
        <v>0</v>
      </c>
      <c r="L352" s="1068">
        <v>0</v>
      </c>
      <c r="M352" s="1063">
        <v>0</v>
      </c>
      <c r="N352" s="1068">
        <v>0</v>
      </c>
      <c r="O352" s="1234">
        <v>816.8</v>
      </c>
      <c r="P352" s="1234">
        <v>7597783.5899999999</v>
      </c>
      <c r="Q352" s="1068">
        <v>0</v>
      </c>
      <c r="R352" s="1068">
        <v>0</v>
      </c>
      <c r="S352" s="1068">
        <v>0</v>
      </c>
      <c r="T352" s="1068">
        <v>0</v>
      </c>
      <c r="U352" s="1056">
        <v>0</v>
      </c>
      <c r="V352" s="1056">
        <v>0</v>
      </c>
      <c r="W352" s="1068">
        <v>0</v>
      </c>
      <c r="X352" s="1068">
        <v>0</v>
      </c>
      <c r="Y352" s="1076">
        <v>0</v>
      </c>
      <c r="Z352" s="1234">
        <v>595087.81000000006</v>
      </c>
      <c r="AA352" s="1068">
        <v>0</v>
      </c>
    </row>
    <row r="353" spans="1:27" s="1071" customFormat="1" ht="99" customHeight="1">
      <c r="A353" s="1121">
        <v>19</v>
      </c>
      <c r="B353" s="1233" t="s">
        <v>1735</v>
      </c>
      <c r="C353" s="1056">
        <f t="shared" ref="C353:C356" si="246">D353+N353+P353+R353+T353+X353+Z353</f>
        <v>4285565.57</v>
      </c>
      <c r="D353" s="1056">
        <f t="shared" ref="D353:D356" si="247">SUM(E353:J353)</f>
        <v>0</v>
      </c>
      <c r="E353" s="1068">
        <v>0</v>
      </c>
      <c r="F353" s="1068">
        <v>0</v>
      </c>
      <c r="G353" s="1068">
        <v>0</v>
      </c>
      <c r="H353" s="1068">
        <v>0</v>
      </c>
      <c r="I353" s="1068">
        <v>0</v>
      </c>
      <c r="J353" s="1068">
        <v>0</v>
      </c>
      <c r="K353" s="1063">
        <v>0</v>
      </c>
      <c r="L353" s="1068">
        <v>0</v>
      </c>
      <c r="M353" s="1063">
        <v>0</v>
      </c>
      <c r="N353" s="1068">
        <v>0</v>
      </c>
      <c r="O353" s="1234">
        <v>490.98</v>
      </c>
      <c r="P353" s="1234">
        <v>3974284.25</v>
      </c>
      <c r="Q353" s="1068">
        <v>0</v>
      </c>
      <c r="R353" s="1068">
        <v>0</v>
      </c>
      <c r="S353" s="1068">
        <v>0</v>
      </c>
      <c r="T353" s="1068">
        <v>0</v>
      </c>
      <c r="U353" s="1056">
        <v>0</v>
      </c>
      <c r="V353" s="1056">
        <v>0</v>
      </c>
      <c r="W353" s="1068">
        <v>0</v>
      </c>
      <c r="X353" s="1068">
        <v>0</v>
      </c>
      <c r="Y353" s="1076">
        <v>0</v>
      </c>
      <c r="Z353" s="1234">
        <v>311281.32</v>
      </c>
      <c r="AA353" s="1068">
        <v>0</v>
      </c>
    </row>
    <row r="354" spans="1:27" s="1071" customFormat="1" ht="101.25" customHeight="1">
      <c r="A354" s="1121">
        <v>20</v>
      </c>
      <c r="B354" s="1233" t="s">
        <v>1736</v>
      </c>
      <c r="C354" s="1056">
        <f t="shared" si="246"/>
        <v>9478775.0599999987</v>
      </c>
      <c r="D354" s="1056">
        <f t="shared" si="247"/>
        <v>0</v>
      </c>
      <c r="E354" s="1068">
        <v>0</v>
      </c>
      <c r="F354" s="1068">
        <v>0</v>
      </c>
      <c r="G354" s="1068">
        <v>0</v>
      </c>
      <c r="H354" s="1068">
        <v>0</v>
      </c>
      <c r="I354" s="1068">
        <v>0</v>
      </c>
      <c r="J354" s="1068">
        <v>0</v>
      </c>
      <c r="K354" s="1063">
        <v>0</v>
      </c>
      <c r="L354" s="1068">
        <v>0</v>
      </c>
      <c r="M354" s="1063">
        <v>0</v>
      </c>
      <c r="N354" s="1068">
        <v>0</v>
      </c>
      <c r="O354" s="1234">
        <v>945</v>
      </c>
      <c r="P354" s="1234">
        <v>8790285.8599999994</v>
      </c>
      <c r="Q354" s="1068">
        <v>0</v>
      </c>
      <c r="R354" s="1068">
        <v>0</v>
      </c>
      <c r="S354" s="1068">
        <v>0</v>
      </c>
      <c r="T354" s="1068">
        <v>0</v>
      </c>
      <c r="U354" s="1056">
        <v>0</v>
      </c>
      <c r="V354" s="1056">
        <v>0</v>
      </c>
      <c r="W354" s="1068">
        <v>0</v>
      </c>
      <c r="X354" s="1068">
        <v>0</v>
      </c>
      <c r="Y354" s="1076">
        <v>0</v>
      </c>
      <c r="Z354" s="1234">
        <v>688489.2</v>
      </c>
      <c r="AA354" s="1068">
        <v>0</v>
      </c>
    </row>
    <row r="355" spans="1:27" s="1064" customFormat="1" ht="106.5" customHeight="1">
      <c r="A355" s="1121">
        <v>21</v>
      </c>
      <c r="B355" s="1233" t="s">
        <v>1737</v>
      </c>
      <c r="C355" s="1056">
        <f t="shared" si="246"/>
        <v>5003188.3599999994</v>
      </c>
      <c r="D355" s="1056">
        <f t="shared" si="247"/>
        <v>0</v>
      </c>
      <c r="E355" s="1068">
        <v>0</v>
      </c>
      <c r="F355" s="1068">
        <v>0</v>
      </c>
      <c r="G355" s="1068">
        <v>0</v>
      </c>
      <c r="H355" s="1068">
        <v>0</v>
      </c>
      <c r="I355" s="1068">
        <v>0</v>
      </c>
      <c r="J355" s="1068">
        <v>0</v>
      </c>
      <c r="K355" s="1063">
        <v>0</v>
      </c>
      <c r="L355" s="1068">
        <v>0</v>
      </c>
      <c r="M355" s="1063">
        <v>0</v>
      </c>
      <c r="N355" s="1068">
        <v>0</v>
      </c>
      <c r="O355" s="1234">
        <v>498.8</v>
      </c>
      <c r="P355" s="1234">
        <v>4639782.63</v>
      </c>
      <c r="Q355" s="1068">
        <v>0</v>
      </c>
      <c r="R355" s="1068">
        <v>0</v>
      </c>
      <c r="S355" s="1068">
        <v>0</v>
      </c>
      <c r="T355" s="1068">
        <v>0</v>
      </c>
      <c r="U355" s="1056">
        <v>0</v>
      </c>
      <c r="V355" s="1056">
        <v>0</v>
      </c>
      <c r="W355" s="1068">
        <v>0</v>
      </c>
      <c r="X355" s="1068">
        <v>0</v>
      </c>
      <c r="Y355" s="1076">
        <v>0</v>
      </c>
      <c r="Z355" s="1234">
        <v>363405.73</v>
      </c>
      <c r="AA355" s="1068">
        <v>0</v>
      </c>
    </row>
    <row r="356" spans="1:27" s="1064" customFormat="1" ht="133.9" customHeight="1">
      <c r="A356" s="1121">
        <v>22</v>
      </c>
      <c r="B356" s="1278" t="s">
        <v>1738</v>
      </c>
      <c r="C356" s="1056">
        <f t="shared" si="246"/>
        <v>12036539.76</v>
      </c>
      <c r="D356" s="1056">
        <f t="shared" si="247"/>
        <v>0</v>
      </c>
      <c r="E356" s="1068">
        <v>0</v>
      </c>
      <c r="F356" s="1068">
        <v>0</v>
      </c>
      <c r="G356" s="1068">
        <v>0</v>
      </c>
      <c r="H356" s="1068">
        <v>0</v>
      </c>
      <c r="I356" s="1068">
        <v>0</v>
      </c>
      <c r="J356" s="1068">
        <v>0</v>
      </c>
      <c r="K356" s="1063">
        <v>0</v>
      </c>
      <c r="L356" s="1068">
        <v>0</v>
      </c>
      <c r="M356" s="1063">
        <v>0</v>
      </c>
      <c r="N356" s="1068">
        <v>0</v>
      </c>
      <c r="O356" s="1234">
        <v>1200</v>
      </c>
      <c r="P356" s="1234">
        <v>11162267.76</v>
      </c>
      <c r="Q356" s="1068">
        <v>0</v>
      </c>
      <c r="R356" s="1068">
        <v>0</v>
      </c>
      <c r="S356" s="1068">
        <v>0</v>
      </c>
      <c r="T356" s="1068">
        <v>0</v>
      </c>
      <c r="U356" s="1056">
        <v>0</v>
      </c>
      <c r="V356" s="1056">
        <v>0</v>
      </c>
      <c r="W356" s="1068">
        <v>0</v>
      </c>
      <c r="X356" s="1068">
        <v>0</v>
      </c>
      <c r="Y356" s="1076">
        <v>0</v>
      </c>
      <c r="Z356" s="1234">
        <v>874272</v>
      </c>
      <c r="AA356" s="1068">
        <v>0</v>
      </c>
    </row>
    <row r="357" spans="1:27" s="1064" customFormat="1" ht="133.9" customHeight="1">
      <c r="A357" s="1121"/>
      <c r="B357" s="1062" t="s">
        <v>1765</v>
      </c>
      <c r="C357" s="1056">
        <f>C358+C359+C360+C361+C362+C363</f>
        <v>50076551.32</v>
      </c>
      <c r="D357" s="1056">
        <f t="shared" ref="D357:AA357" si="248">D358+D359+D360+D361+D362+D363</f>
        <v>0</v>
      </c>
      <c r="E357" s="1056">
        <f t="shared" si="248"/>
        <v>0</v>
      </c>
      <c r="F357" s="1056">
        <f t="shared" si="248"/>
        <v>0</v>
      </c>
      <c r="G357" s="1056">
        <f t="shared" si="248"/>
        <v>0</v>
      </c>
      <c r="H357" s="1056">
        <f t="shared" si="248"/>
        <v>0</v>
      </c>
      <c r="I357" s="1056">
        <f t="shared" si="248"/>
        <v>0</v>
      </c>
      <c r="J357" s="1056">
        <f t="shared" si="248"/>
        <v>0</v>
      </c>
      <c r="K357" s="1056">
        <f t="shared" si="248"/>
        <v>0</v>
      </c>
      <c r="L357" s="1056">
        <f t="shared" si="248"/>
        <v>0</v>
      </c>
      <c r="M357" s="1056">
        <f t="shared" si="248"/>
        <v>0</v>
      </c>
      <c r="N357" s="1056">
        <f t="shared" si="248"/>
        <v>0</v>
      </c>
      <c r="O357" s="1056">
        <f t="shared" si="248"/>
        <v>6070.2</v>
      </c>
      <c r="P357" s="1056">
        <f t="shared" si="248"/>
        <v>46439249.609999999</v>
      </c>
      <c r="Q357" s="1056">
        <f t="shared" si="248"/>
        <v>0</v>
      </c>
      <c r="R357" s="1056">
        <f t="shared" si="248"/>
        <v>0</v>
      </c>
      <c r="S357" s="1056">
        <f t="shared" si="248"/>
        <v>0</v>
      </c>
      <c r="T357" s="1056">
        <f t="shared" si="248"/>
        <v>0</v>
      </c>
      <c r="U357" s="1056">
        <f t="shared" si="248"/>
        <v>0</v>
      </c>
      <c r="V357" s="1056">
        <f t="shared" si="248"/>
        <v>0</v>
      </c>
      <c r="W357" s="1056">
        <f t="shared" si="248"/>
        <v>0</v>
      </c>
      <c r="X357" s="1056">
        <f t="shared" si="248"/>
        <v>0</v>
      </c>
      <c r="Y357" s="1056">
        <f t="shared" si="248"/>
        <v>0</v>
      </c>
      <c r="Z357" s="1056">
        <f t="shared" si="248"/>
        <v>3637301.71</v>
      </c>
      <c r="AA357" s="1056">
        <f t="shared" si="248"/>
        <v>0</v>
      </c>
    </row>
    <row r="358" spans="1:27" s="1064" customFormat="1" ht="108.75" customHeight="1">
      <c r="A358" s="1121">
        <v>23</v>
      </c>
      <c r="B358" s="1233" t="s">
        <v>2147</v>
      </c>
      <c r="C358" s="1056">
        <f t="shared" ref="C358:C359" si="249">D358+N358+P358+R358+T358+X358+Z358</f>
        <v>5687265.0399999991</v>
      </c>
      <c r="D358" s="1056">
        <f t="shared" ref="D358:D359" si="250">SUM(E358:J358)</f>
        <v>0</v>
      </c>
      <c r="E358" s="1068">
        <v>0</v>
      </c>
      <c r="F358" s="1068">
        <v>0</v>
      </c>
      <c r="G358" s="1068">
        <v>0</v>
      </c>
      <c r="H358" s="1068">
        <v>0</v>
      </c>
      <c r="I358" s="1068">
        <v>0</v>
      </c>
      <c r="J358" s="1068">
        <v>0</v>
      </c>
      <c r="K358" s="1063">
        <v>0</v>
      </c>
      <c r="L358" s="1068">
        <v>0</v>
      </c>
      <c r="M358" s="1063">
        <v>0</v>
      </c>
      <c r="N358" s="1068">
        <v>0</v>
      </c>
      <c r="O358" s="1234">
        <v>567</v>
      </c>
      <c r="P358" s="1234">
        <v>5274171.5199999996</v>
      </c>
      <c r="Q358" s="1234">
        <v>0</v>
      </c>
      <c r="R358" s="1279">
        <v>0</v>
      </c>
      <c r="S358" s="1265">
        <v>0</v>
      </c>
      <c r="T358" s="1265">
        <v>0</v>
      </c>
      <c r="U358" s="1265">
        <v>0</v>
      </c>
      <c r="V358" s="1265">
        <v>0</v>
      </c>
      <c r="W358" s="1265">
        <v>0</v>
      </c>
      <c r="X358" s="1265">
        <v>0</v>
      </c>
      <c r="Y358" s="1265">
        <v>0</v>
      </c>
      <c r="Z358" s="1265">
        <v>413093.52</v>
      </c>
      <c r="AA358" s="1068">
        <v>0</v>
      </c>
    </row>
    <row r="359" spans="1:27" s="1064" customFormat="1" ht="108.75" customHeight="1">
      <c r="A359" s="1121">
        <v>24</v>
      </c>
      <c r="B359" s="1233" t="s">
        <v>2148</v>
      </c>
      <c r="C359" s="1056">
        <f t="shared" si="249"/>
        <v>5168837.1599999992</v>
      </c>
      <c r="D359" s="1056">
        <f t="shared" si="250"/>
        <v>0</v>
      </c>
      <c r="E359" s="1068">
        <v>0</v>
      </c>
      <c r="F359" s="1068">
        <v>0</v>
      </c>
      <c r="G359" s="1068">
        <v>0</v>
      </c>
      <c r="H359" s="1068">
        <v>0</v>
      </c>
      <c r="I359" s="1068">
        <v>0</v>
      </c>
      <c r="J359" s="1068">
        <v>0</v>
      </c>
      <c r="K359" s="1063">
        <v>0</v>
      </c>
      <c r="L359" s="1068">
        <v>0</v>
      </c>
      <c r="M359" s="1063">
        <v>0</v>
      </c>
      <c r="N359" s="1068">
        <v>0</v>
      </c>
      <c r="O359" s="1234">
        <v>890</v>
      </c>
      <c r="P359" s="1234">
        <v>4793399.5599999996</v>
      </c>
      <c r="Q359" s="1234">
        <v>0</v>
      </c>
      <c r="R359" s="1279">
        <v>0</v>
      </c>
      <c r="S359" s="1265">
        <v>0</v>
      </c>
      <c r="T359" s="1265">
        <v>0</v>
      </c>
      <c r="U359" s="1265">
        <v>0</v>
      </c>
      <c r="V359" s="1265">
        <v>0</v>
      </c>
      <c r="W359" s="1265">
        <v>0</v>
      </c>
      <c r="X359" s="1265">
        <v>0</v>
      </c>
      <c r="Y359" s="1265">
        <v>0</v>
      </c>
      <c r="Z359" s="1265">
        <v>375437.6</v>
      </c>
      <c r="AA359" s="1068">
        <v>0</v>
      </c>
    </row>
    <row r="360" spans="1:27" s="1064" customFormat="1" ht="108.75" customHeight="1">
      <c r="A360" s="1121">
        <v>25</v>
      </c>
      <c r="B360" s="1233" t="s">
        <v>2149</v>
      </c>
      <c r="C360" s="1056">
        <f t="shared" ref="C360:C363" si="251">D360+N360+P360+R360+T360+X360+Z360</f>
        <v>10983342.529999999</v>
      </c>
      <c r="D360" s="1056">
        <f t="shared" ref="D360:D363" si="252">SUM(E360:J360)</f>
        <v>0</v>
      </c>
      <c r="E360" s="1068">
        <v>0</v>
      </c>
      <c r="F360" s="1068">
        <v>0</v>
      </c>
      <c r="G360" s="1068">
        <v>0</v>
      </c>
      <c r="H360" s="1068">
        <v>0</v>
      </c>
      <c r="I360" s="1068">
        <v>0</v>
      </c>
      <c r="J360" s="1068">
        <v>0</v>
      </c>
      <c r="K360" s="1063">
        <v>0</v>
      </c>
      <c r="L360" s="1068">
        <v>0</v>
      </c>
      <c r="M360" s="1063">
        <v>0</v>
      </c>
      <c r="N360" s="1068">
        <v>0</v>
      </c>
      <c r="O360" s="1234">
        <v>1095</v>
      </c>
      <c r="P360" s="1234">
        <v>10185569.33</v>
      </c>
      <c r="Q360" s="1234">
        <v>0</v>
      </c>
      <c r="R360" s="1279">
        <v>0</v>
      </c>
      <c r="S360" s="1265">
        <v>0</v>
      </c>
      <c r="T360" s="1265">
        <v>0</v>
      </c>
      <c r="U360" s="1265">
        <v>0</v>
      </c>
      <c r="V360" s="1265">
        <v>0</v>
      </c>
      <c r="W360" s="1265">
        <v>0</v>
      </c>
      <c r="X360" s="1265">
        <v>0</v>
      </c>
      <c r="Y360" s="1265">
        <v>0</v>
      </c>
      <c r="Z360" s="1265">
        <v>797773.2</v>
      </c>
      <c r="AA360" s="1068">
        <v>0</v>
      </c>
    </row>
    <row r="361" spans="1:27" s="1064" customFormat="1" ht="108.75" customHeight="1">
      <c r="A361" s="1121">
        <v>26</v>
      </c>
      <c r="B361" s="1233" t="s">
        <v>2150</v>
      </c>
      <c r="C361" s="1056">
        <f t="shared" si="251"/>
        <v>9698829.2700000014</v>
      </c>
      <c r="D361" s="1056">
        <f t="shared" si="252"/>
        <v>0</v>
      </c>
      <c r="E361" s="1068">
        <v>0</v>
      </c>
      <c r="F361" s="1068">
        <v>0</v>
      </c>
      <c r="G361" s="1068">
        <v>0</v>
      </c>
      <c r="H361" s="1068">
        <v>0</v>
      </c>
      <c r="I361" s="1068">
        <v>0</v>
      </c>
      <c r="J361" s="1068">
        <v>0</v>
      </c>
      <c r="K361" s="1063">
        <v>0</v>
      </c>
      <c r="L361" s="1068">
        <v>0</v>
      </c>
      <c r="M361" s="1063">
        <v>0</v>
      </c>
      <c r="N361" s="1068">
        <v>0</v>
      </c>
      <c r="O361" s="1234">
        <v>1670</v>
      </c>
      <c r="P361" s="1234">
        <v>8994356.4700000007</v>
      </c>
      <c r="Q361" s="1234">
        <v>0</v>
      </c>
      <c r="R361" s="1279">
        <v>0</v>
      </c>
      <c r="S361" s="1265">
        <v>0</v>
      </c>
      <c r="T361" s="1265">
        <v>0</v>
      </c>
      <c r="U361" s="1265">
        <v>0</v>
      </c>
      <c r="V361" s="1265">
        <v>0</v>
      </c>
      <c r="W361" s="1265">
        <v>0</v>
      </c>
      <c r="X361" s="1265">
        <v>0</v>
      </c>
      <c r="Y361" s="1265">
        <v>0</v>
      </c>
      <c r="Z361" s="1265">
        <v>704472.8</v>
      </c>
      <c r="AA361" s="1068">
        <v>0</v>
      </c>
    </row>
    <row r="362" spans="1:27" s="1064" customFormat="1" ht="108.75" customHeight="1">
      <c r="A362" s="1121">
        <v>27</v>
      </c>
      <c r="B362" s="1233" t="s">
        <v>2113</v>
      </c>
      <c r="C362" s="1056">
        <f t="shared" si="251"/>
        <v>5598997.0800000001</v>
      </c>
      <c r="D362" s="1056">
        <f t="shared" si="252"/>
        <v>0</v>
      </c>
      <c r="E362" s="1068">
        <v>0</v>
      </c>
      <c r="F362" s="1068">
        <v>0</v>
      </c>
      <c r="G362" s="1068">
        <v>0</v>
      </c>
      <c r="H362" s="1068">
        <v>0</v>
      </c>
      <c r="I362" s="1068">
        <v>0</v>
      </c>
      <c r="J362" s="1068">
        <v>0</v>
      </c>
      <c r="K362" s="1063">
        <v>0</v>
      </c>
      <c r="L362" s="1068">
        <v>0</v>
      </c>
      <c r="M362" s="1063">
        <v>0</v>
      </c>
      <c r="N362" s="1068">
        <v>0</v>
      </c>
      <c r="O362" s="1234">
        <v>558.20000000000005</v>
      </c>
      <c r="P362" s="1234">
        <v>5192314.8899999997</v>
      </c>
      <c r="Q362" s="1234">
        <v>0</v>
      </c>
      <c r="R362" s="1279">
        <v>0</v>
      </c>
      <c r="S362" s="1265">
        <v>0</v>
      </c>
      <c r="T362" s="1265">
        <v>0</v>
      </c>
      <c r="U362" s="1265">
        <v>0</v>
      </c>
      <c r="V362" s="1265">
        <v>0</v>
      </c>
      <c r="W362" s="1265">
        <v>0</v>
      </c>
      <c r="X362" s="1265">
        <v>0</v>
      </c>
      <c r="Y362" s="1265">
        <v>0</v>
      </c>
      <c r="Z362" s="1265">
        <v>406682.19</v>
      </c>
      <c r="AA362" s="1068">
        <v>0</v>
      </c>
    </row>
    <row r="363" spans="1:27" s="1064" customFormat="1" ht="108.75" customHeight="1">
      <c r="A363" s="1121">
        <v>28</v>
      </c>
      <c r="B363" s="1233" t="s">
        <v>1981</v>
      </c>
      <c r="C363" s="1056">
        <f t="shared" si="251"/>
        <v>12939280.24</v>
      </c>
      <c r="D363" s="1056">
        <f t="shared" si="252"/>
        <v>0</v>
      </c>
      <c r="E363" s="1068">
        <v>0</v>
      </c>
      <c r="F363" s="1068">
        <v>0</v>
      </c>
      <c r="G363" s="1068">
        <v>0</v>
      </c>
      <c r="H363" s="1068">
        <v>0</v>
      </c>
      <c r="I363" s="1068">
        <v>0</v>
      </c>
      <c r="J363" s="1068">
        <v>0</v>
      </c>
      <c r="K363" s="1063">
        <v>0</v>
      </c>
      <c r="L363" s="1068">
        <v>0</v>
      </c>
      <c r="M363" s="1063">
        <v>0</v>
      </c>
      <c r="N363" s="1068">
        <v>0</v>
      </c>
      <c r="O363" s="1234">
        <v>1290</v>
      </c>
      <c r="P363" s="1234">
        <v>11999437.84</v>
      </c>
      <c r="Q363" s="1234">
        <v>0</v>
      </c>
      <c r="R363" s="1279">
        <v>0</v>
      </c>
      <c r="S363" s="1265">
        <v>0</v>
      </c>
      <c r="T363" s="1265">
        <v>0</v>
      </c>
      <c r="U363" s="1265">
        <v>0</v>
      </c>
      <c r="V363" s="1265">
        <v>0</v>
      </c>
      <c r="W363" s="1265">
        <v>0</v>
      </c>
      <c r="X363" s="1265">
        <v>0</v>
      </c>
      <c r="Y363" s="1265">
        <v>0</v>
      </c>
      <c r="Z363" s="1265">
        <v>939842.4</v>
      </c>
      <c r="AA363" s="1068">
        <v>0</v>
      </c>
    </row>
    <row r="364" spans="1:27" s="1071" customFormat="1" ht="88.9" customHeight="1">
      <c r="A364" s="1121"/>
      <c r="B364" s="1062" t="s">
        <v>1109</v>
      </c>
      <c r="C364" s="1056">
        <f t="shared" ref="C364:T364" si="253">SUM(C365:C368)</f>
        <v>17209242.719999999</v>
      </c>
      <c r="D364" s="1056">
        <f t="shared" si="253"/>
        <v>0</v>
      </c>
      <c r="E364" s="1056">
        <f t="shared" si="253"/>
        <v>0</v>
      </c>
      <c r="F364" s="1056">
        <f t="shared" si="253"/>
        <v>0</v>
      </c>
      <c r="G364" s="1056">
        <f t="shared" si="253"/>
        <v>0</v>
      </c>
      <c r="H364" s="1056">
        <f t="shared" si="253"/>
        <v>0</v>
      </c>
      <c r="I364" s="1056">
        <f t="shared" si="253"/>
        <v>0</v>
      </c>
      <c r="J364" s="1056">
        <f t="shared" si="253"/>
        <v>0</v>
      </c>
      <c r="K364" s="1056">
        <f t="shared" si="253"/>
        <v>0</v>
      </c>
      <c r="L364" s="1056">
        <f t="shared" si="253"/>
        <v>0</v>
      </c>
      <c r="M364" s="1056">
        <f t="shared" si="253"/>
        <v>0</v>
      </c>
      <c r="N364" s="1056">
        <f t="shared" si="253"/>
        <v>0</v>
      </c>
      <c r="O364" s="1056">
        <f t="shared" si="253"/>
        <v>1715.7</v>
      </c>
      <c r="P364" s="1056">
        <f t="shared" si="253"/>
        <v>15959252.33</v>
      </c>
      <c r="Q364" s="1056">
        <f t="shared" si="253"/>
        <v>0</v>
      </c>
      <c r="R364" s="1056">
        <f t="shared" si="253"/>
        <v>0</v>
      </c>
      <c r="S364" s="1056">
        <f t="shared" si="253"/>
        <v>0</v>
      </c>
      <c r="T364" s="1056">
        <f t="shared" si="253"/>
        <v>0</v>
      </c>
      <c r="U364" s="1056">
        <v>0</v>
      </c>
      <c r="V364" s="1056">
        <v>0</v>
      </c>
      <c r="W364" s="1056">
        <f>SUM(W365:W368)</f>
        <v>0</v>
      </c>
      <c r="X364" s="1056">
        <f>SUM(X365:X368)</f>
        <v>0</v>
      </c>
      <c r="Y364" s="1056">
        <f>SUM(Y365:Y368)</f>
        <v>0</v>
      </c>
      <c r="Z364" s="1056">
        <f>SUM(Z365:Z368)</f>
        <v>1249990.3900000001</v>
      </c>
      <c r="AA364" s="1056">
        <f>SUM(AA365:AA368)</f>
        <v>0</v>
      </c>
    </row>
    <row r="365" spans="1:27" s="1071" customFormat="1" ht="90.75" customHeight="1">
      <c r="A365" s="1121">
        <v>29</v>
      </c>
      <c r="B365" s="1055" t="s">
        <v>2151</v>
      </c>
      <c r="C365" s="1056">
        <f>D365+N365+P365+R365+T365+X365+Z365</f>
        <v>4445495.3499999996</v>
      </c>
      <c r="D365" s="1056">
        <f>SUM(E365:J365)</f>
        <v>0</v>
      </c>
      <c r="E365" s="1056">
        <v>0</v>
      </c>
      <c r="F365" s="1056">
        <v>0</v>
      </c>
      <c r="G365" s="1056">
        <v>0</v>
      </c>
      <c r="H365" s="1056">
        <v>0</v>
      </c>
      <c r="I365" s="1056">
        <v>0</v>
      </c>
      <c r="J365" s="1056">
        <v>0</v>
      </c>
      <c r="K365" s="1063">
        <v>0</v>
      </c>
      <c r="L365" s="1056">
        <v>0</v>
      </c>
      <c r="M365" s="1063">
        <v>0</v>
      </c>
      <c r="N365" s="1056">
        <v>0</v>
      </c>
      <c r="O365" s="1056">
        <v>443.2</v>
      </c>
      <c r="P365" s="1056">
        <v>4122597.56</v>
      </c>
      <c r="Q365" s="1056">
        <v>0</v>
      </c>
      <c r="R365" s="1056">
        <v>0</v>
      </c>
      <c r="S365" s="1056">
        <v>0</v>
      </c>
      <c r="T365" s="1056">
        <v>0</v>
      </c>
      <c r="U365" s="1056">
        <v>0</v>
      </c>
      <c r="V365" s="1056">
        <v>0</v>
      </c>
      <c r="W365" s="1056">
        <v>0</v>
      </c>
      <c r="X365" s="1056">
        <v>0</v>
      </c>
      <c r="Y365" s="1076">
        <v>0</v>
      </c>
      <c r="Z365" s="1056">
        <v>322897.78999999998</v>
      </c>
      <c r="AA365" s="1056">
        <v>0</v>
      </c>
    </row>
    <row r="366" spans="1:27" s="1071" customFormat="1" ht="87.75" customHeight="1">
      <c r="A366" s="1121">
        <v>30</v>
      </c>
      <c r="B366" s="1055" t="s">
        <v>1435</v>
      </c>
      <c r="C366" s="1056">
        <f t="shared" ref="C366:C368" si="254">D366+N366+P366+R366+T366+X366+Z366</f>
        <v>6018269.8799999999</v>
      </c>
      <c r="D366" s="1056">
        <f t="shared" ref="D366:D368" si="255">SUM(E366:J366)</f>
        <v>0</v>
      </c>
      <c r="E366" s="1056">
        <v>0</v>
      </c>
      <c r="F366" s="1056">
        <v>0</v>
      </c>
      <c r="G366" s="1056">
        <v>0</v>
      </c>
      <c r="H366" s="1056">
        <v>0</v>
      </c>
      <c r="I366" s="1056">
        <v>0</v>
      </c>
      <c r="J366" s="1056">
        <v>0</v>
      </c>
      <c r="K366" s="1063">
        <v>0</v>
      </c>
      <c r="L366" s="1056">
        <v>0</v>
      </c>
      <c r="M366" s="1063">
        <v>0</v>
      </c>
      <c r="N366" s="1056">
        <v>0</v>
      </c>
      <c r="O366" s="1056">
        <v>600</v>
      </c>
      <c r="P366" s="1056">
        <v>5581133.8799999999</v>
      </c>
      <c r="Q366" s="1056">
        <v>0</v>
      </c>
      <c r="R366" s="1056">
        <v>0</v>
      </c>
      <c r="S366" s="1056">
        <v>0</v>
      </c>
      <c r="T366" s="1056">
        <v>0</v>
      </c>
      <c r="U366" s="1056">
        <v>0</v>
      </c>
      <c r="V366" s="1056">
        <v>0</v>
      </c>
      <c r="W366" s="1056">
        <v>0</v>
      </c>
      <c r="X366" s="1056">
        <v>0</v>
      </c>
      <c r="Y366" s="1076">
        <v>0</v>
      </c>
      <c r="Z366" s="1056">
        <v>437136</v>
      </c>
      <c r="AA366" s="1056">
        <v>0</v>
      </c>
    </row>
    <row r="367" spans="1:27" s="1071" customFormat="1" ht="110.25" customHeight="1">
      <c r="A367" s="1121">
        <v>31</v>
      </c>
      <c r="B367" s="1055" t="s">
        <v>1408</v>
      </c>
      <c r="C367" s="1056">
        <f t="shared" si="254"/>
        <v>4012179.92</v>
      </c>
      <c r="D367" s="1056">
        <f t="shared" si="255"/>
        <v>0</v>
      </c>
      <c r="E367" s="1056">
        <v>0</v>
      </c>
      <c r="F367" s="1056">
        <v>0</v>
      </c>
      <c r="G367" s="1056">
        <v>0</v>
      </c>
      <c r="H367" s="1056">
        <v>0</v>
      </c>
      <c r="I367" s="1056">
        <v>0</v>
      </c>
      <c r="J367" s="1056">
        <v>0</v>
      </c>
      <c r="K367" s="1063">
        <v>0</v>
      </c>
      <c r="L367" s="1056">
        <v>0</v>
      </c>
      <c r="M367" s="1063">
        <v>0</v>
      </c>
      <c r="N367" s="1056">
        <v>0</v>
      </c>
      <c r="O367" s="1056">
        <v>400</v>
      </c>
      <c r="P367" s="1056">
        <v>3720755.92</v>
      </c>
      <c r="Q367" s="1056">
        <v>0</v>
      </c>
      <c r="R367" s="1056">
        <v>0</v>
      </c>
      <c r="S367" s="1056">
        <v>0</v>
      </c>
      <c r="T367" s="1056">
        <v>0</v>
      </c>
      <c r="U367" s="1056">
        <v>0</v>
      </c>
      <c r="V367" s="1056">
        <v>0</v>
      </c>
      <c r="W367" s="1056">
        <v>0</v>
      </c>
      <c r="X367" s="1056">
        <v>0</v>
      </c>
      <c r="Y367" s="1076">
        <v>0</v>
      </c>
      <c r="Z367" s="1056">
        <v>291424</v>
      </c>
      <c r="AA367" s="1056">
        <v>0</v>
      </c>
    </row>
    <row r="368" spans="1:27" s="1071" customFormat="1" ht="102" customHeight="1">
      <c r="A368" s="1121">
        <v>32</v>
      </c>
      <c r="B368" s="1055" t="s">
        <v>1409</v>
      </c>
      <c r="C368" s="1056">
        <f t="shared" si="254"/>
        <v>2733297.5700000003</v>
      </c>
      <c r="D368" s="1056">
        <f t="shared" si="255"/>
        <v>0</v>
      </c>
      <c r="E368" s="1056">
        <v>0</v>
      </c>
      <c r="F368" s="1056">
        <v>0</v>
      </c>
      <c r="G368" s="1056">
        <v>0</v>
      </c>
      <c r="H368" s="1056">
        <v>0</v>
      </c>
      <c r="I368" s="1056">
        <v>0</v>
      </c>
      <c r="J368" s="1056">
        <v>0</v>
      </c>
      <c r="K368" s="1063">
        <v>0</v>
      </c>
      <c r="L368" s="1056">
        <v>0</v>
      </c>
      <c r="M368" s="1063">
        <v>0</v>
      </c>
      <c r="N368" s="1056">
        <v>0</v>
      </c>
      <c r="O368" s="1056">
        <v>272.5</v>
      </c>
      <c r="P368" s="1056">
        <v>2534764.9700000002</v>
      </c>
      <c r="Q368" s="1056">
        <v>0</v>
      </c>
      <c r="R368" s="1056">
        <v>0</v>
      </c>
      <c r="S368" s="1056">
        <v>0</v>
      </c>
      <c r="T368" s="1056">
        <v>0</v>
      </c>
      <c r="U368" s="1056">
        <v>0</v>
      </c>
      <c r="V368" s="1056">
        <v>0</v>
      </c>
      <c r="W368" s="1056">
        <v>0</v>
      </c>
      <c r="X368" s="1056">
        <v>0</v>
      </c>
      <c r="Y368" s="1076">
        <v>0</v>
      </c>
      <c r="Z368" s="1056">
        <v>198532.6</v>
      </c>
      <c r="AA368" s="1056">
        <v>0</v>
      </c>
    </row>
    <row r="369" spans="1:27" s="1071" customFormat="1" ht="97.15" customHeight="1">
      <c r="A369" s="1121"/>
      <c r="B369" s="1055" t="s">
        <v>1206</v>
      </c>
      <c r="C369" s="1056">
        <f>C370</f>
        <v>14152964.67</v>
      </c>
      <c r="D369" s="1056">
        <f t="shared" ref="D369:AA369" si="256">D370</f>
        <v>0</v>
      </c>
      <c r="E369" s="1056">
        <f t="shared" si="256"/>
        <v>0</v>
      </c>
      <c r="F369" s="1056">
        <f t="shared" si="256"/>
        <v>0</v>
      </c>
      <c r="G369" s="1056">
        <f t="shared" si="256"/>
        <v>0</v>
      </c>
      <c r="H369" s="1056">
        <f t="shared" si="256"/>
        <v>0</v>
      </c>
      <c r="I369" s="1056">
        <f t="shared" si="256"/>
        <v>0</v>
      </c>
      <c r="J369" s="1056">
        <f t="shared" si="256"/>
        <v>0</v>
      </c>
      <c r="K369" s="1056">
        <f t="shared" si="256"/>
        <v>0</v>
      </c>
      <c r="L369" s="1056">
        <f t="shared" si="256"/>
        <v>0</v>
      </c>
      <c r="M369" s="1056">
        <f t="shared" si="256"/>
        <v>0</v>
      </c>
      <c r="N369" s="1056">
        <f t="shared" si="256"/>
        <v>0</v>
      </c>
      <c r="O369" s="1056">
        <f t="shared" si="256"/>
        <v>1411</v>
      </c>
      <c r="P369" s="1056">
        <f t="shared" si="256"/>
        <v>13124966.51</v>
      </c>
      <c r="Q369" s="1056">
        <f t="shared" si="256"/>
        <v>0</v>
      </c>
      <c r="R369" s="1056">
        <f t="shared" si="256"/>
        <v>0</v>
      </c>
      <c r="S369" s="1056">
        <f t="shared" si="256"/>
        <v>0</v>
      </c>
      <c r="T369" s="1056">
        <f t="shared" si="256"/>
        <v>0</v>
      </c>
      <c r="U369" s="1056">
        <f t="shared" si="256"/>
        <v>0</v>
      </c>
      <c r="V369" s="1056">
        <f t="shared" si="256"/>
        <v>0</v>
      </c>
      <c r="W369" s="1056">
        <f t="shared" si="256"/>
        <v>0</v>
      </c>
      <c r="X369" s="1056">
        <f t="shared" si="256"/>
        <v>0</v>
      </c>
      <c r="Y369" s="1056">
        <f t="shared" si="256"/>
        <v>0</v>
      </c>
      <c r="Z369" s="1056">
        <f t="shared" si="256"/>
        <v>1027998.16</v>
      </c>
      <c r="AA369" s="1056">
        <f t="shared" si="256"/>
        <v>0</v>
      </c>
    </row>
    <row r="370" spans="1:27" s="1071" customFormat="1" ht="104.25" customHeight="1">
      <c r="A370" s="1121">
        <v>33</v>
      </c>
      <c r="B370" s="1062" t="s">
        <v>1569</v>
      </c>
      <c r="C370" s="1056">
        <f>D370+N370+P370+R370+T370+X370+Z370+L370</f>
        <v>14152964.67</v>
      </c>
      <c r="D370" s="1056">
        <f>SUM(E370:J370)</f>
        <v>0</v>
      </c>
      <c r="E370" s="1056">
        <v>0</v>
      </c>
      <c r="F370" s="1056">
        <v>0</v>
      </c>
      <c r="G370" s="1056">
        <v>0</v>
      </c>
      <c r="H370" s="1056">
        <v>0</v>
      </c>
      <c r="I370" s="1056">
        <v>0</v>
      </c>
      <c r="J370" s="1056">
        <v>0</v>
      </c>
      <c r="K370" s="1063">
        <v>0</v>
      </c>
      <c r="L370" s="1056">
        <v>0</v>
      </c>
      <c r="M370" s="1063">
        <v>0</v>
      </c>
      <c r="N370" s="1056">
        <v>0</v>
      </c>
      <c r="O370" s="1056">
        <v>1411</v>
      </c>
      <c r="P370" s="1056">
        <v>13124966.51</v>
      </c>
      <c r="Q370" s="1056">
        <v>0</v>
      </c>
      <c r="R370" s="1056">
        <v>0</v>
      </c>
      <c r="S370" s="1056">
        <v>0</v>
      </c>
      <c r="T370" s="1056">
        <v>0</v>
      </c>
      <c r="U370" s="1056">
        <v>0</v>
      </c>
      <c r="V370" s="1056">
        <v>0</v>
      </c>
      <c r="W370" s="1056">
        <v>0</v>
      </c>
      <c r="X370" s="1056">
        <v>0</v>
      </c>
      <c r="Y370" s="1076">
        <v>0</v>
      </c>
      <c r="Z370" s="1056">
        <v>1027998.16</v>
      </c>
      <c r="AA370" s="1056">
        <v>0</v>
      </c>
    </row>
    <row r="371" spans="1:27" s="1067" customFormat="1" ht="126" customHeight="1">
      <c r="A371" s="1121"/>
      <c r="B371" s="1055" t="s">
        <v>1232</v>
      </c>
      <c r="C371" s="1056">
        <f>C372</f>
        <v>2284818.39</v>
      </c>
      <c r="D371" s="1056">
        <f t="shared" ref="D371:AA371" si="257">D372</f>
        <v>2118861</v>
      </c>
      <c r="E371" s="1056">
        <f t="shared" si="257"/>
        <v>2118861</v>
      </c>
      <c r="F371" s="1056">
        <f t="shared" si="257"/>
        <v>0</v>
      </c>
      <c r="G371" s="1056">
        <f t="shared" si="257"/>
        <v>0</v>
      </c>
      <c r="H371" s="1056">
        <f t="shared" si="257"/>
        <v>0</v>
      </c>
      <c r="I371" s="1056">
        <f t="shared" si="257"/>
        <v>0</v>
      </c>
      <c r="J371" s="1056">
        <f t="shared" si="257"/>
        <v>0</v>
      </c>
      <c r="K371" s="1056">
        <f t="shared" si="257"/>
        <v>0</v>
      </c>
      <c r="L371" s="1056">
        <f t="shared" si="257"/>
        <v>0</v>
      </c>
      <c r="M371" s="1056">
        <f t="shared" si="257"/>
        <v>0</v>
      </c>
      <c r="N371" s="1056">
        <f t="shared" si="257"/>
        <v>0</v>
      </c>
      <c r="O371" s="1056">
        <f t="shared" si="257"/>
        <v>0</v>
      </c>
      <c r="P371" s="1056">
        <f t="shared" si="257"/>
        <v>0</v>
      </c>
      <c r="Q371" s="1056">
        <f t="shared" si="257"/>
        <v>0</v>
      </c>
      <c r="R371" s="1056">
        <f t="shared" si="257"/>
        <v>0</v>
      </c>
      <c r="S371" s="1056">
        <f t="shared" si="257"/>
        <v>0</v>
      </c>
      <c r="T371" s="1056">
        <f t="shared" si="257"/>
        <v>0</v>
      </c>
      <c r="U371" s="1056">
        <v>0</v>
      </c>
      <c r="V371" s="1056">
        <v>0</v>
      </c>
      <c r="W371" s="1056">
        <f t="shared" si="257"/>
        <v>0</v>
      </c>
      <c r="X371" s="1056">
        <f t="shared" si="257"/>
        <v>0</v>
      </c>
      <c r="Y371" s="1056">
        <f t="shared" si="257"/>
        <v>0</v>
      </c>
      <c r="Z371" s="1056">
        <f t="shared" si="257"/>
        <v>165957.39000000001</v>
      </c>
      <c r="AA371" s="1056">
        <f t="shared" si="257"/>
        <v>0</v>
      </c>
    </row>
    <row r="372" spans="1:27" s="1067" customFormat="1" ht="103.5" customHeight="1">
      <c r="A372" s="1121">
        <v>34</v>
      </c>
      <c r="B372" s="1062" t="s">
        <v>1484</v>
      </c>
      <c r="C372" s="1056">
        <f>D372+N372+P372+R372+T372+X372+Z372+L372</f>
        <v>2284818.39</v>
      </c>
      <c r="D372" s="1056">
        <f>SUM(E372:J372)</f>
        <v>2118861</v>
      </c>
      <c r="E372" s="1056">
        <v>2118861</v>
      </c>
      <c r="F372" s="1056">
        <v>0</v>
      </c>
      <c r="G372" s="1056">
        <v>0</v>
      </c>
      <c r="H372" s="1056">
        <v>0</v>
      </c>
      <c r="I372" s="1056">
        <v>0</v>
      </c>
      <c r="J372" s="1056">
        <v>0</v>
      </c>
      <c r="K372" s="1063">
        <v>0</v>
      </c>
      <c r="L372" s="1056">
        <v>0</v>
      </c>
      <c r="M372" s="1063">
        <v>0</v>
      </c>
      <c r="N372" s="1056">
        <v>0</v>
      </c>
      <c r="O372" s="1056">
        <v>0</v>
      </c>
      <c r="P372" s="1056">
        <v>0</v>
      </c>
      <c r="Q372" s="1056">
        <v>0</v>
      </c>
      <c r="R372" s="1056">
        <v>0</v>
      </c>
      <c r="S372" s="1056">
        <v>0</v>
      </c>
      <c r="T372" s="1056">
        <v>0</v>
      </c>
      <c r="U372" s="1056">
        <v>0</v>
      </c>
      <c r="V372" s="1056">
        <v>0</v>
      </c>
      <c r="W372" s="1056">
        <v>0</v>
      </c>
      <c r="X372" s="1056">
        <v>0</v>
      </c>
      <c r="Y372" s="1076">
        <v>0</v>
      </c>
      <c r="Z372" s="1056">
        <v>165957.39000000001</v>
      </c>
      <c r="AA372" s="1056">
        <v>0</v>
      </c>
    </row>
    <row r="373" spans="1:27" s="1067" customFormat="1" ht="88.9" customHeight="1">
      <c r="A373" s="1121"/>
      <c r="B373" s="1062" t="s">
        <v>1094</v>
      </c>
      <c r="C373" s="1056">
        <f>C374+C375</f>
        <v>13399978.800000001</v>
      </c>
      <c r="D373" s="1056">
        <f t="shared" ref="D373:AA373" si="258">D374+D375</f>
        <v>0</v>
      </c>
      <c r="E373" s="1056">
        <f t="shared" si="258"/>
        <v>0</v>
      </c>
      <c r="F373" s="1056">
        <f t="shared" si="258"/>
        <v>0</v>
      </c>
      <c r="G373" s="1056">
        <f t="shared" si="258"/>
        <v>0</v>
      </c>
      <c r="H373" s="1056">
        <f t="shared" si="258"/>
        <v>0</v>
      </c>
      <c r="I373" s="1056">
        <f t="shared" si="258"/>
        <v>0</v>
      </c>
      <c r="J373" s="1056">
        <f t="shared" si="258"/>
        <v>0</v>
      </c>
      <c r="K373" s="1063">
        <f t="shared" si="258"/>
        <v>0</v>
      </c>
      <c r="L373" s="1056">
        <f t="shared" si="258"/>
        <v>0</v>
      </c>
      <c r="M373" s="1063">
        <f t="shared" si="258"/>
        <v>0</v>
      </c>
      <c r="N373" s="1056">
        <f t="shared" si="258"/>
        <v>0</v>
      </c>
      <c r="O373" s="1056">
        <f t="shared" si="258"/>
        <v>1335.93</v>
      </c>
      <c r="P373" s="1056">
        <f t="shared" si="258"/>
        <v>12426673.640000001</v>
      </c>
      <c r="Q373" s="1056">
        <f t="shared" si="258"/>
        <v>0</v>
      </c>
      <c r="R373" s="1056">
        <f t="shared" si="258"/>
        <v>0</v>
      </c>
      <c r="S373" s="1056">
        <f t="shared" si="258"/>
        <v>0</v>
      </c>
      <c r="T373" s="1056">
        <f t="shared" si="258"/>
        <v>0</v>
      </c>
      <c r="U373" s="1056">
        <v>0</v>
      </c>
      <c r="V373" s="1056">
        <v>0</v>
      </c>
      <c r="W373" s="1056">
        <f t="shared" si="258"/>
        <v>0</v>
      </c>
      <c r="X373" s="1056">
        <f t="shared" si="258"/>
        <v>0</v>
      </c>
      <c r="Y373" s="1076">
        <v>0</v>
      </c>
      <c r="Z373" s="1056">
        <f t="shared" si="258"/>
        <v>973305.15999999992</v>
      </c>
      <c r="AA373" s="1056">
        <f t="shared" si="258"/>
        <v>0</v>
      </c>
    </row>
    <row r="374" spans="1:27" s="1067" customFormat="1" ht="96" customHeight="1">
      <c r="A374" s="1121">
        <v>35</v>
      </c>
      <c r="B374" s="1062" t="s">
        <v>1541</v>
      </c>
      <c r="C374" s="1056">
        <f>D374+N374+P374+R374+T374+X374+Z374</f>
        <v>6572251.6200000001</v>
      </c>
      <c r="D374" s="1056">
        <f>SUM(E374:J374)</f>
        <v>0</v>
      </c>
      <c r="E374" s="1056">
        <v>0</v>
      </c>
      <c r="F374" s="1056">
        <v>0</v>
      </c>
      <c r="G374" s="1056">
        <v>0</v>
      </c>
      <c r="H374" s="1056">
        <v>0</v>
      </c>
      <c r="I374" s="1056">
        <v>0</v>
      </c>
      <c r="J374" s="1056">
        <v>0</v>
      </c>
      <c r="K374" s="1063">
        <v>0</v>
      </c>
      <c r="L374" s="1056">
        <v>0</v>
      </c>
      <c r="M374" s="1063">
        <v>0</v>
      </c>
      <c r="N374" s="1070">
        <v>0</v>
      </c>
      <c r="O374" s="1056">
        <v>655.23</v>
      </c>
      <c r="P374" s="1056">
        <v>6094877.25</v>
      </c>
      <c r="Q374" s="1056">
        <v>0</v>
      </c>
      <c r="R374" s="1056">
        <v>0</v>
      </c>
      <c r="S374" s="1056">
        <v>0</v>
      </c>
      <c r="T374" s="1056">
        <v>0</v>
      </c>
      <c r="U374" s="1056">
        <v>0</v>
      </c>
      <c r="V374" s="1056">
        <v>0</v>
      </c>
      <c r="W374" s="1056">
        <v>0</v>
      </c>
      <c r="X374" s="1056">
        <v>0</v>
      </c>
      <c r="Y374" s="1076">
        <v>0</v>
      </c>
      <c r="Z374" s="1056">
        <v>477374.37</v>
      </c>
      <c r="AA374" s="1056">
        <v>0</v>
      </c>
    </row>
    <row r="375" spans="1:27" s="1067" customFormat="1" ht="100.9" customHeight="1">
      <c r="A375" s="1121">
        <v>36</v>
      </c>
      <c r="B375" s="1062" t="s">
        <v>1542</v>
      </c>
      <c r="C375" s="1056">
        <f>D375+N375+P375+R375+T375+X375+Z375</f>
        <v>6827727.1799999997</v>
      </c>
      <c r="D375" s="1056">
        <f>SUM(E375:J375)</f>
        <v>0</v>
      </c>
      <c r="E375" s="1056">
        <v>0</v>
      </c>
      <c r="F375" s="1056">
        <v>0</v>
      </c>
      <c r="G375" s="1056">
        <v>0</v>
      </c>
      <c r="H375" s="1056">
        <v>0</v>
      </c>
      <c r="I375" s="1056">
        <v>0</v>
      </c>
      <c r="J375" s="1056">
        <v>0</v>
      </c>
      <c r="K375" s="1063">
        <v>0</v>
      </c>
      <c r="L375" s="1056">
        <v>0</v>
      </c>
      <c r="M375" s="1063">
        <v>0</v>
      </c>
      <c r="N375" s="1070">
        <v>0</v>
      </c>
      <c r="O375" s="1056">
        <v>680.7</v>
      </c>
      <c r="P375" s="1056">
        <v>6331796.3899999997</v>
      </c>
      <c r="Q375" s="1056">
        <v>0</v>
      </c>
      <c r="R375" s="1056">
        <v>0</v>
      </c>
      <c r="S375" s="1056">
        <v>0</v>
      </c>
      <c r="T375" s="1056">
        <v>0</v>
      </c>
      <c r="U375" s="1056">
        <v>0</v>
      </c>
      <c r="V375" s="1056">
        <v>0</v>
      </c>
      <c r="W375" s="1056">
        <v>0</v>
      </c>
      <c r="X375" s="1056">
        <v>0</v>
      </c>
      <c r="Y375" s="1076">
        <v>0</v>
      </c>
      <c r="Z375" s="1056">
        <v>495930.79</v>
      </c>
      <c r="AA375" s="1056">
        <v>0</v>
      </c>
    </row>
    <row r="376" spans="1:27" s="1067" customFormat="1" ht="71.45" customHeight="1">
      <c r="A376" s="1121"/>
      <c r="B376" s="1055" t="s">
        <v>41</v>
      </c>
      <c r="C376" s="1056">
        <f>C377</f>
        <v>26339961.170000002</v>
      </c>
      <c r="D376" s="1056">
        <f t="shared" ref="D376:AA376" si="259">D377</f>
        <v>0</v>
      </c>
      <c r="E376" s="1056">
        <f t="shared" si="259"/>
        <v>0</v>
      </c>
      <c r="F376" s="1056">
        <f t="shared" si="259"/>
        <v>0</v>
      </c>
      <c r="G376" s="1056">
        <f t="shared" si="259"/>
        <v>0</v>
      </c>
      <c r="H376" s="1056">
        <f t="shared" si="259"/>
        <v>0</v>
      </c>
      <c r="I376" s="1056">
        <f t="shared" si="259"/>
        <v>0</v>
      </c>
      <c r="J376" s="1056">
        <f t="shared" si="259"/>
        <v>0</v>
      </c>
      <c r="K376" s="1056">
        <f t="shared" si="259"/>
        <v>0</v>
      </c>
      <c r="L376" s="1056">
        <f t="shared" si="259"/>
        <v>0</v>
      </c>
      <c r="M376" s="1056">
        <f t="shared" si="259"/>
        <v>0</v>
      </c>
      <c r="N376" s="1056">
        <f t="shared" si="259"/>
        <v>0</v>
      </c>
      <c r="O376" s="1056">
        <f t="shared" si="259"/>
        <v>2626</v>
      </c>
      <c r="P376" s="1056">
        <f t="shared" si="259"/>
        <v>24426762.609999999</v>
      </c>
      <c r="Q376" s="1056">
        <f t="shared" si="259"/>
        <v>0</v>
      </c>
      <c r="R376" s="1056">
        <f t="shared" si="259"/>
        <v>0</v>
      </c>
      <c r="S376" s="1056">
        <f t="shared" si="259"/>
        <v>0</v>
      </c>
      <c r="T376" s="1056">
        <f t="shared" si="259"/>
        <v>0</v>
      </c>
      <c r="U376" s="1056">
        <f t="shared" si="259"/>
        <v>0</v>
      </c>
      <c r="V376" s="1056">
        <f t="shared" si="259"/>
        <v>0</v>
      </c>
      <c r="W376" s="1056">
        <f t="shared" si="259"/>
        <v>0</v>
      </c>
      <c r="X376" s="1056">
        <f t="shared" si="259"/>
        <v>0</v>
      </c>
      <c r="Y376" s="1056">
        <f t="shared" si="259"/>
        <v>0</v>
      </c>
      <c r="Z376" s="1056">
        <f t="shared" si="259"/>
        <v>1913198.56</v>
      </c>
      <c r="AA376" s="1056">
        <f t="shared" si="259"/>
        <v>0</v>
      </c>
    </row>
    <row r="377" spans="1:27" s="1067" customFormat="1" ht="100.9" customHeight="1">
      <c r="A377" s="1121"/>
      <c r="B377" s="1055" t="s">
        <v>1025</v>
      </c>
      <c r="C377" s="1068">
        <f t="shared" ref="C377:T377" si="260">SUM(C378:C379)</f>
        <v>26339961.170000002</v>
      </c>
      <c r="D377" s="1068">
        <f t="shared" si="260"/>
        <v>0</v>
      </c>
      <c r="E377" s="1068">
        <f t="shared" si="260"/>
        <v>0</v>
      </c>
      <c r="F377" s="1068">
        <f t="shared" si="260"/>
        <v>0</v>
      </c>
      <c r="G377" s="1068">
        <f t="shared" si="260"/>
        <v>0</v>
      </c>
      <c r="H377" s="1068">
        <f t="shared" si="260"/>
        <v>0</v>
      </c>
      <c r="I377" s="1068">
        <f t="shared" si="260"/>
        <v>0</v>
      </c>
      <c r="J377" s="1068">
        <f t="shared" si="260"/>
        <v>0</v>
      </c>
      <c r="K377" s="1068">
        <f t="shared" si="260"/>
        <v>0</v>
      </c>
      <c r="L377" s="1068">
        <f t="shared" si="260"/>
        <v>0</v>
      </c>
      <c r="M377" s="1068">
        <f t="shared" si="260"/>
        <v>0</v>
      </c>
      <c r="N377" s="1068">
        <f t="shared" si="260"/>
        <v>0</v>
      </c>
      <c r="O377" s="1068">
        <f t="shared" si="260"/>
        <v>2626</v>
      </c>
      <c r="P377" s="1068">
        <f t="shared" si="260"/>
        <v>24426762.609999999</v>
      </c>
      <c r="Q377" s="1068">
        <f t="shared" si="260"/>
        <v>0</v>
      </c>
      <c r="R377" s="1068">
        <f t="shared" si="260"/>
        <v>0</v>
      </c>
      <c r="S377" s="1068">
        <f t="shared" si="260"/>
        <v>0</v>
      </c>
      <c r="T377" s="1068">
        <f t="shared" si="260"/>
        <v>0</v>
      </c>
      <c r="U377" s="1056">
        <v>0</v>
      </c>
      <c r="V377" s="1056">
        <v>0</v>
      </c>
      <c r="W377" s="1068">
        <f>SUM(W378:W379)</f>
        <v>0</v>
      </c>
      <c r="X377" s="1068">
        <f>SUM(X378:X379)</f>
        <v>0</v>
      </c>
      <c r="Y377" s="1068">
        <f>SUM(Y378:Y379)</f>
        <v>0</v>
      </c>
      <c r="Z377" s="1068">
        <f>SUM(Z378:Z379)</f>
        <v>1913198.56</v>
      </c>
      <c r="AA377" s="1068">
        <f>SUM(AA378:AA379)</f>
        <v>0</v>
      </c>
    </row>
    <row r="378" spans="1:27" s="1067" customFormat="1" ht="96" customHeight="1">
      <c r="A378" s="1121">
        <v>37</v>
      </c>
      <c r="B378" s="1062" t="s">
        <v>1456</v>
      </c>
      <c r="C378" s="1056">
        <f>D378+N378+P378+R378+T378+X378+Z378</f>
        <v>12538062.25</v>
      </c>
      <c r="D378" s="1056">
        <f>SUM(E378:J378)</f>
        <v>0</v>
      </c>
      <c r="E378" s="1056">
        <v>0</v>
      </c>
      <c r="F378" s="1056">
        <v>0</v>
      </c>
      <c r="G378" s="1056">
        <v>0</v>
      </c>
      <c r="H378" s="1056">
        <v>0</v>
      </c>
      <c r="I378" s="1056">
        <v>0</v>
      </c>
      <c r="J378" s="1056">
        <v>0</v>
      </c>
      <c r="K378" s="1063">
        <v>0</v>
      </c>
      <c r="L378" s="1056">
        <v>0</v>
      </c>
      <c r="M378" s="1063">
        <v>0</v>
      </c>
      <c r="N378" s="1056">
        <v>0</v>
      </c>
      <c r="O378" s="1056">
        <v>1250</v>
      </c>
      <c r="P378" s="1056">
        <v>11627362.25</v>
      </c>
      <c r="Q378" s="1056">
        <v>0</v>
      </c>
      <c r="R378" s="1056">
        <v>0</v>
      </c>
      <c r="S378" s="1056">
        <v>0</v>
      </c>
      <c r="T378" s="1056">
        <v>0</v>
      </c>
      <c r="U378" s="1056">
        <v>0</v>
      </c>
      <c r="V378" s="1056">
        <v>0</v>
      </c>
      <c r="W378" s="1056">
        <v>0</v>
      </c>
      <c r="X378" s="1056">
        <v>0</v>
      </c>
      <c r="Y378" s="1076">
        <v>0</v>
      </c>
      <c r="Z378" s="1056">
        <v>910700</v>
      </c>
      <c r="AA378" s="1056">
        <v>0</v>
      </c>
    </row>
    <row r="379" spans="1:27" s="1067" customFormat="1" ht="103.5" customHeight="1">
      <c r="A379" s="1121">
        <v>38</v>
      </c>
      <c r="B379" s="1233" t="s">
        <v>1455</v>
      </c>
      <c r="C379" s="1056">
        <f t="shared" ref="C379" si="261">D379+N379+P379+R379+T379+X379+Z379</f>
        <v>13801898.92</v>
      </c>
      <c r="D379" s="1056">
        <f t="shared" ref="D379" si="262">SUM(E379:J379)</f>
        <v>0</v>
      </c>
      <c r="E379" s="1056">
        <v>0</v>
      </c>
      <c r="F379" s="1056">
        <v>0</v>
      </c>
      <c r="G379" s="1056">
        <v>0</v>
      </c>
      <c r="H379" s="1056">
        <v>0</v>
      </c>
      <c r="I379" s="1056">
        <v>0</v>
      </c>
      <c r="J379" s="1056">
        <v>0</v>
      </c>
      <c r="K379" s="1063">
        <v>0</v>
      </c>
      <c r="L379" s="1056">
        <v>0</v>
      </c>
      <c r="M379" s="1063">
        <v>0</v>
      </c>
      <c r="N379" s="1056">
        <v>0</v>
      </c>
      <c r="O379" s="1056">
        <v>1376</v>
      </c>
      <c r="P379" s="1056">
        <v>12799400.359999999</v>
      </c>
      <c r="Q379" s="1056">
        <v>0</v>
      </c>
      <c r="R379" s="1056">
        <v>0</v>
      </c>
      <c r="S379" s="1056">
        <v>0</v>
      </c>
      <c r="T379" s="1056">
        <v>0</v>
      </c>
      <c r="U379" s="1056">
        <v>0</v>
      </c>
      <c r="V379" s="1056">
        <v>0</v>
      </c>
      <c r="W379" s="1056">
        <v>0</v>
      </c>
      <c r="X379" s="1056">
        <v>0</v>
      </c>
      <c r="Y379" s="1076">
        <v>0</v>
      </c>
      <c r="Z379" s="1056">
        <v>1002498.5600000001</v>
      </c>
      <c r="AA379" s="1056">
        <v>0</v>
      </c>
    </row>
    <row r="380" spans="1:27" s="1067" customFormat="1" ht="124.5" customHeight="1">
      <c r="A380" s="1121"/>
      <c r="B380" s="1062" t="s">
        <v>1237</v>
      </c>
      <c r="C380" s="1056">
        <f>C381</f>
        <v>1469580.17</v>
      </c>
      <c r="D380" s="1056">
        <f t="shared" ref="D380:AA380" si="263">D381</f>
        <v>1362837.47</v>
      </c>
      <c r="E380" s="1056">
        <f t="shared" si="263"/>
        <v>1362837.47</v>
      </c>
      <c r="F380" s="1056">
        <f t="shared" si="263"/>
        <v>0</v>
      </c>
      <c r="G380" s="1056">
        <f t="shared" si="263"/>
        <v>0</v>
      </c>
      <c r="H380" s="1056">
        <f t="shared" si="263"/>
        <v>0</v>
      </c>
      <c r="I380" s="1056">
        <f t="shared" si="263"/>
        <v>0</v>
      </c>
      <c r="J380" s="1056">
        <f t="shared" si="263"/>
        <v>0</v>
      </c>
      <c r="K380" s="1056">
        <f t="shared" si="263"/>
        <v>0</v>
      </c>
      <c r="L380" s="1056">
        <f t="shared" si="263"/>
        <v>0</v>
      </c>
      <c r="M380" s="1056">
        <f t="shared" si="263"/>
        <v>0</v>
      </c>
      <c r="N380" s="1056">
        <f t="shared" si="263"/>
        <v>0</v>
      </c>
      <c r="O380" s="1056">
        <f t="shared" si="263"/>
        <v>0</v>
      </c>
      <c r="P380" s="1056">
        <f t="shared" si="263"/>
        <v>0</v>
      </c>
      <c r="Q380" s="1056">
        <f t="shared" si="263"/>
        <v>0</v>
      </c>
      <c r="R380" s="1056">
        <f t="shared" si="263"/>
        <v>0</v>
      </c>
      <c r="S380" s="1056">
        <f t="shared" si="263"/>
        <v>0</v>
      </c>
      <c r="T380" s="1056">
        <f t="shared" si="263"/>
        <v>0</v>
      </c>
      <c r="U380" s="1056">
        <f t="shared" si="263"/>
        <v>0</v>
      </c>
      <c r="V380" s="1056">
        <f t="shared" si="263"/>
        <v>0</v>
      </c>
      <c r="W380" s="1056">
        <f t="shared" si="263"/>
        <v>0</v>
      </c>
      <c r="X380" s="1056">
        <f t="shared" si="263"/>
        <v>0</v>
      </c>
      <c r="Y380" s="1056">
        <f t="shared" si="263"/>
        <v>0</v>
      </c>
      <c r="Z380" s="1056">
        <f t="shared" si="263"/>
        <v>106742.7</v>
      </c>
      <c r="AA380" s="1056">
        <f t="shared" si="263"/>
        <v>0</v>
      </c>
    </row>
    <row r="381" spans="1:27" s="1067" customFormat="1" ht="112.5" customHeight="1">
      <c r="A381" s="1121">
        <v>39</v>
      </c>
      <c r="B381" s="1062" t="s">
        <v>1391</v>
      </c>
      <c r="C381" s="1056">
        <f t="shared" ref="C381" si="264">D381+N381+P381+R381+T381+X381+Z381</f>
        <v>1469580.17</v>
      </c>
      <c r="D381" s="1056">
        <f t="shared" ref="D381" si="265">SUM(E381:J381)</f>
        <v>1362837.47</v>
      </c>
      <c r="E381" s="1056">
        <v>1362837.47</v>
      </c>
      <c r="F381" s="1056">
        <v>0</v>
      </c>
      <c r="G381" s="1056">
        <v>0</v>
      </c>
      <c r="H381" s="1056">
        <v>0</v>
      </c>
      <c r="I381" s="1056">
        <v>0</v>
      </c>
      <c r="J381" s="1056">
        <v>0</v>
      </c>
      <c r="K381" s="1063">
        <v>0</v>
      </c>
      <c r="L381" s="1056">
        <v>0</v>
      </c>
      <c r="M381" s="1063">
        <v>0</v>
      </c>
      <c r="N381" s="1056">
        <v>0</v>
      </c>
      <c r="O381" s="1056">
        <v>0</v>
      </c>
      <c r="P381" s="1056">
        <v>0</v>
      </c>
      <c r="Q381" s="1056">
        <v>0</v>
      </c>
      <c r="R381" s="1056">
        <v>0</v>
      </c>
      <c r="S381" s="1056">
        <v>0</v>
      </c>
      <c r="T381" s="1056">
        <v>0</v>
      </c>
      <c r="U381" s="1056">
        <v>0</v>
      </c>
      <c r="V381" s="1056">
        <v>0</v>
      </c>
      <c r="W381" s="1056">
        <v>0</v>
      </c>
      <c r="X381" s="1056">
        <v>0</v>
      </c>
      <c r="Y381" s="1076">
        <v>0</v>
      </c>
      <c r="Z381" s="1056">
        <v>106742.7</v>
      </c>
      <c r="AA381" s="1056">
        <v>0</v>
      </c>
    </row>
    <row r="382" spans="1:27" s="1067" customFormat="1" ht="90" customHeight="1">
      <c r="A382" s="1121"/>
      <c r="B382" s="1062" t="s">
        <v>43</v>
      </c>
      <c r="C382" s="1056">
        <f>C383</f>
        <v>23904968.270000003</v>
      </c>
      <c r="D382" s="1056">
        <f t="shared" ref="D382:AA382" si="266">D383</f>
        <v>0</v>
      </c>
      <c r="E382" s="1056">
        <f t="shared" si="266"/>
        <v>0</v>
      </c>
      <c r="F382" s="1056">
        <f t="shared" si="266"/>
        <v>0</v>
      </c>
      <c r="G382" s="1056">
        <f t="shared" si="266"/>
        <v>0</v>
      </c>
      <c r="H382" s="1056">
        <f t="shared" si="266"/>
        <v>0</v>
      </c>
      <c r="I382" s="1056">
        <f t="shared" si="266"/>
        <v>0</v>
      </c>
      <c r="J382" s="1056">
        <f t="shared" si="266"/>
        <v>0</v>
      </c>
      <c r="K382" s="1063">
        <f t="shared" si="266"/>
        <v>0</v>
      </c>
      <c r="L382" s="1056">
        <f t="shared" si="266"/>
        <v>0</v>
      </c>
      <c r="M382" s="1063">
        <f t="shared" si="266"/>
        <v>0</v>
      </c>
      <c r="N382" s="1056">
        <f t="shared" si="266"/>
        <v>0</v>
      </c>
      <c r="O382" s="1056">
        <f t="shared" si="266"/>
        <v>3191.55</v>
      </c>
      <c r="P382" s="1056">
        <f t="shared" si="266"/>
        <v>22168635</v>
      </c>
      <c r="Q382" s="1056">
        <f t="shared" si="266"/>
        <v>0</v>
      </c>
      <c r="R382" s="1056">
        <f t="shared" si="266"/>
        <v>0</v>
      </c>
      <c r="S382" s="1056">
        <f t="shared" si="266"/>
        <v>0</v>
      </c>
      <c r="T382" s="1056">
        <f t="shared" si="266"/>
        <v>0</v>
      </c>
      <c r="U382" s="1056">
        <v>0</v>
      </c>
      <c r="V382" s="1056">
        <v>0</v>
      </c>
      <c r="W382" s="1056">
        <f t="shared" si="266"/>
        <v>0</v>
      </c>
      <c r="X382" s="1056">
        <f t="shared" si="266"/>
        <v>0</v>
      </c>
      <c r="Y382" s="1076">
        <v>0</v>
      </c>
      <c r="Z382" s="1056">
        <f t="shared" si="266"/>
        <v>1736333.27</v>
      </c>
      <c r="AA382" s="1056">
        <f t="shared" si="266"/>
        <v>0</v>
      </c>
    </row>
    <row r="383" spans="1:27" s="1067" customFormat="1" ht="123" customHeight="1">
      <c r="A383" s="1121"/>
      <c r="B383" s="1062" t="s">
        <v>1040</v>
      </c>
      <c r="C383" s="1068">
        <f t="shared" ref="C383:T383" si="267">SUM(C384:C386)</f>
        <v>23904968.270000003</v>
      </c>
      <c r="D383" s="1068">
        <f t="shared" si="267"/>
        <v>0</v>
      </c>
      <c r="E383" s="1068">
        <f t="shared" si="267"/>
        <v>0</v>
      </c>
      <c r="F383" s="1068">
        <f t="shared" si="267"/>
        <v>0</v>
      </c>
      <c r="G383" s="1068">
        <f t="shared" si="267"/>
        <v>0</v>
      </c>
      <c r="H383" s="1068">
        <f t="shared" si="267"/>
        <v>0</v>
      </c>
      <c r="I383" s="1068">
        <f t="shared" si="267"/>
        <v>0</v>
      </c>
      <c r="J383" s="1068">
        <f t="shared" si="267"/>
        <v>0</v>
      </c>
      <c r="K383" s="1073">
        <f t="shared" si="267"/>
        <v>0</v>
      </c>
      <c r="L383" s="1068">
        <f t="shared" si="267"/>
        <v>0</v>
      </c>
      <c r="M383" s="1073">
        <f t="shared" si="267"/>
        <v>0</v>
      </c>
      <c r="N383" s="1068">
        <f t="shared" si="267"/>
        <v>0</v>
      </c>
      <c r="O383" s="1068">
        <f t="shared" si="267"/>
        <v>3191.55</v>
      </c>
      <c r="P383" s="1068">
        <f t="shared" si="267"/>
        <v>22168635</v>
      </c>
      <c r="Q383" s="1068">
        <f t="shared" si="267"/>
        <v>0</v>
      </c>
      <c r="R383" s="1068">
        <f t="shared" si="267"/>
        <v>0</v>
      </c>
      <c r="S383" s="1068">
        <f t="shared" si="267"/>
        <v>0</v>
      </c>
      <c r="T383" s="1068">
        <f t="shared" si="267"/>
        <v>0</v>
      </c>
      <c r="U383" s="1056">
        <v>0</v>
      </c>
      <c r="V383" s="1056">
        <v>0</v>
      </c>
      <c r="W383" s="1068">
        <f>SUM(W384:W386)</f>
        <v>0</v>
      </c>
      <c r="X383" s="1068">
        <f>SUM(X384:X386)</f>
        <v>0</v>
      </c>
      <c r="Y383" s="1068">
        <f>SUM(Y384:Y386)</f>
        <v>0</v>
      </c>
      <c r="Z383" s="1068">
        <f>SUM(Z384:Z386)</f>
        <v>1736333.27</v>
      </c>
      <c r="AA383" s="1068">
        <f>SUM(AA384:AA386)</f>
        <v>0</v>
      </c>
    </row>
    <row r="384" spans="1:27" s="1067" customFormat="1" ht="90.75" customHeight="1">
      <c r="A384" s="1121">
        <v>40</v>
      </c>
      <c r="B384" s="1062" t="s">
        <v>1616</v>
      </c>
      <c r="C384" s="1056">
        <f t="shared" ref="C384:C386" si="268">D384+N384+P384+R384+T384+X384+Z384</f>
        <v>11150749.82</v>
      </c>
      <c r="D384" s="1056">
        <f t="shared" ref="D384:D386" si="269">SUM(E384:J384)</f>
        <v>0</v>
      </c>
      <c r="E384" s="1056">
        <v>0</v>
      </c>
      <c r="F384" s="1056">
        <v>0</v>
      </c>
      <c r="G384" s="1056">
        <v>0</v>
      </c>
      <c r="H384" s="1056">
        <v>0</v>
      </c>
      <c r="I384" s="1056">
        <v>0</v>
      </c>
      <c r="J384" s="1056">
        <v>0</v>
      </c>
      <c r="K384" s="1063">
        <v>0</v>
      </c>
      <c r="L384" s="1056">
        <v>0</v>
      </c>
      <c r="M384" s="1063">
        <v>0</v>
      </c>
      <c r="N384" s="1056">
        <v>0</v>
      </c>
      <c r="O384" s="1056">
        <v>1920</v>
      </c>
      <c r="P384" s="1056">
        <v>10340817.02</v>
      </c>
      <c r="Q384" s="1056">
        <v>0</v>
      </c>
      <c r="R384" s="1056">
        <v>0</v>
      </c>
      <c r="S384" s="1056">
        <v>0</v>
      </c>
      <c r="T384" s="1056">
        <v>0</v>
      </c>
      <c r="U384" s="1056">
        <v>0</v>
      </c>
      <c r="V384" s="1056">
        <v>0</v>
      </c>
      <c r="W384" s="1056">
        <v>0</v>
      </c>
      <c r="X384" s="1056">
        <v>0</v>
      </c>
      <c r="Y384" s="1076">
        <v>0</v>
      </c>
      <c r="Z384" s="1056">
        <v>809932.80000000005</v>
      </c>
      <c r="AA384" s="1056">
        <v>0</v>
      </c>
    </row>
    <row r="385" spans="1:27" s="1067" customFormat="1" ht="90.75" customHeight="1">
      <c r="A385" s="1121">
        <v>41</v>
      </c>
      <c r="B385" s="1062" t="s">
        <v>1610</v>
      </c>
      <c r="C385" s="1056">
        <f t="shared" ref="C385" si="270">D385+N385+P385+R385+T385+X385+Z385</f>
        <v>5276518.12</v>
      </c>
      <c r="D385" s="1056">
        <f t="shared" ref="D385" si="271">SUM(E385:J385)</f>
        <v>0</v>
      </c>
      <c r="E385" s="1056">
        <v>0</v>
      </c>
      <c r="F385" s="1056">
        <v>0</v>
      </c>
      <c r="G385" s="1056">
        <v>0</v>
      </c>
      <c r="H385" s="1056">
        <v>0</v>
      </c>
      <c r="I385" s="1056">
        <v>0</v>
      </c>
      <c r="J385" s="1056">
        <v>0</v>
      </c>
      <c r="K385" s="1063">
        <v>0</v>
      </c>
      <c r="L385" s="1056">
        <v>0</v>
      </c>
      <c r="M385" s="1063">
        <v>0</v>
      </c>
      <c r="N385" s="1056">
        <v>0</v>
      </c>
      <c r="O385" s="1056">
        <v>526.04999999999995</v>
      </c>
      <c r="P385" s="1056">
        <v>4893259.13</v>
      </c>
      <c r="Q385" s="1056">
        <v>0</v>
      </c>
      <c r="R385" s="1056">
        <v>0</v>
      </c>
      <c r="S385" s="1056">
        <v>0</v>
      </c>
      <c r="T385" s="1056">
        <v>0</v>
      </c>
      <c r="U385" s="1056">
        <v>0</v>
      </c>
      <c r="V385" s="1056">
        <v>0</v>
      </c>
      <c r="W385" s="1056">
        <v>0</v>
      </c>
      <c r="X385" s="1056">
        <v>0</v>
      </c>
      <c r="Y385" s="1076">
        <v>0</v>
      </c>
      <c r="Z385" s="1056">
        <v>383258.99</v>
      </c>
      <c r="AA385" s="1056">
        <v>0</v>
      </c>
    </row>
    <row r="386" spans="1:27" s="1067" customFormat="1" ht="111.75" customHeight="1">
      <c r="A386" s="1121">
        <v>42</v>
      </c>
      <c r="B386" s="1062" t="s">
        <v>1611</v>
      </c>
      <c r="C386" s="1056">
        <f t="shared" si="268"/>
        <v>7477700.3300000001</v>
      </c>
      <c r="D386" s="1056">
        <f t="shared" si="269"/>
        <v>0</v>
      </c>
      <c r="E386" s="1056">
        <v>0</v>
      </c>
      <c r="F386" s="1056">
        <v>0</v>
      </c>
      <c r="G386" s="1056">
        <v>0</v>
      </c>
      <c r="H386" s="1056">
        <v>0</v>
      </c>
      <c r="I386" s="1056">
        <v>0</v>
      </c>
      <c r="J386" s="1056">
        <v>0</v>
      </c>
      <c r="K386" s="1063">
        <v>0</v>
      </c>
      <c r="L386" s="1056">
        <v>0</v>
      </c>
      <c r="M386" s="1063">
        <v>0</v>
      </c>
      <c r="N386" s="1056">
        <v>0</v>
      </c>
      <c r="O386" s="1056">
        <v>745.5</v>
      </c>
      <c r="P386" s="1056">
        <v>6934558.8499999996</v>
      </c>
      <c r="Q386" s="1056">
        <v>0</v>
      </c>
      <c r="R386" s="1056">
        <v>0</v>
      </c>
      <c r="S386" s="1056">
        <v>0</v>
      </c>
      <c r="T386" s="1056">
        <v>0</v>
      </c>
      <c r="U386" s="1056">
        <v>0</v>
      </c>
      <c r="V386" s="1056">
        <v>0</v>
      </c>
      <c r="W386" s="1056">
        <v>0</v>
      </c>
      <c r="X386" s="1056">
        <v>0</v>
      </c>
      <c r="Y386" s="1076">
        <v>0</v>
      </c>
      <c r="Z386" s="1056">
        <v>543141.48</v>
      </c>
      <c r="AA386" s="1056">
        <v>0</v>
      </c>
    </row>
    <row r="387" spans="1:27" s="1067" customFormat="1" ht="111.75" customHeight="1">
      <c r="A387" s="1121"/>
      <c r="B387" s="1062" t="s">
        <v>1092</v>
      </c>
      <c r="C387" s="1056">
        <f>C388</f>
        <v>4844707.25</v>
      </c>
      <c r="D387" s="1056">
        <f t="shared" ref="D387:AA387" si="272">D388</f>
        <v>0</v>
      </c>
      <c r="E387" s="1056">
        <f t="shared" si="272"/>
        <v>0</v>
      </c>
      <c r="F387" s="1056">
        <f t="shared" si="272"/>
        <v>0</v>
      </c>
      <c r="G387" s="1056">
        <f t="shared" si="272"/>
        <v>0</v>
      </c>
      <c r="H387" s="1056">
        <f t="shared" si="272"/>
        <v>0</v>
      </c>
      <c r="I387" s="1056">
        <f t="shared" si="272"/>
        <v>0</v>
      </c>
      <c r="J387" s="1056">
        <f t="shared" si="272"/>
        <v>0</v>
      </c>
      <c r="K387" s="1056">
        <f t="shared" si="272"/>
        <v>0</v>
      </c>
      <c r="L387" s="1056">
        <f t="shared" si="272"/>
        <v>0</v>
      </c>
      <c r="M387" s="1056">
        <f t="shared" si="272"/>
        <v>0</v>
      </c>
      <c r="N387" s="1056">
        <f t="shared" si="272"/>
        <v>0</v>
      </c>
      <c r="O387" s="1056">
        <f t="shared" si="272"/>
        <v>483</v>
      </c>
      <c r="P387" s="1056">
        <f t="shared" si="272"/>
        <v>4492812.7699999996</v>
      </c>
      <c r="Q387" s="1056">
        <f t="shared" si="272"/>
        <v>0</v>
      </c>
      <c r="R387" s="1056">
        <f t="shared" si="272"/>
        <v>0</v>
      </c>
      <c r="S387" s="1056">
        <f t="shared" si="272"/>
        <v>453.03</v>
      </c>
      <c r="T387" s="1056">
        <f t="shared" si="272"/>
        <v>0</v>
      </c>
      <c r="U387" s="1056">
        <f t="shared" si="272"/>
        <v>0</v>
      </c>
      <c r="V387" s="1056">
        <f t="shared" si="272"/>
        <v>0</v>
      </c>
      <c r="W387" s="1056">
        <f t="shared" si="272"/>
        <v>0</v>
      </c>
      <c r="X387" s="1056">
        <f t="shared" si="272"/>
        <v>0</v>
      </c>
      <c r="Y387" s="1056">
        <f t="shared" si="272"/>
        <v>0</v>
      </c>
      <c r="Z387" s="1056">
        <f t="shared" si="272"/>
        <v>351894.48</v>
      </c>
      <c r="AA387" s="1056">
        <f t="shared" si="272"/>
        <v>0</v>
      </c>
    </row>
    <row r="388" spans="1:27" s="1067" customFormat="1" ht="102" customHeight="1">
      <c r="A388" s="1121">
        <v>43</v>
      </c>
      <c r="B388" s="1062" t="s">
        <v>1594</v>
      </c>
      <c r="C388" s="1056">
        <f>D388+N388+P388+R388+T388+X388+Z388</f>
        <v>4844707.25</v>
      </c>
      <c r="D388" s="1056">
        <v>0</v>
      </c>
      <c r="E388" s="1056">
        <v>0</v>
      </c>
      <c r="F388" s="1056">
        <v>0</v>
      </c>
      <c r="G388" s="1056">
        <v>0</v>
      </c>
      <c r="H388" s="1056">
        <v>0</v>
      </c>
      <c r="I388" s="1056">
        <v>0</v>
      </c>
      <c r="J388" s="1056">
        <v>0</v>
      </c>
      <c r="K388" s="1063">
        <v>0</v>
      </c>
      <c r="L388" s="1056">
        <v>0</v>
      </c>
      <c r="M388" s="1063">
        <v>0</v>
      </c>
      <c r="N388" s="1056">
        <v>0</v>
      </c>
      <c r="O388" s="1056">
        <v>483</v>
      </c>
      <c r="P388" s="1056">
        <v>4492812.7699999996</v>
      </c>
      <c r="Q388" s="1056">
        <v>0</v>
      </c>
      <c r="R388" s="1056">
        <v>0</v>
      </c>
      <c r="S388" s="1056">
        <v>453.03</v>
      </c>
      <c r="T388" s="1056">
        <v>0</v>
      </c>
      <c r="U388" s="1056">
        <v>0</v>
      </c>
      <c r="V388" s="1056">
        <v>0</v>
      </c>
      <c r="W388" s="1056">
        <v>0</v>
      </c>
      <c r="X388" s="1056">
        <v>0</v>
      </c>
      <c r="Y388" s="1076">
        <v>0</v>
      </c>
      <c r="Z388" s="1056">
        <v>351894.48</v>
      </c>
      <c r="AA388" s="1056">
        <v>0</v>
      </c>
    </row>
    <row r="389" spans="1:27" s="1067" customFormat="1" ht="106.5" customHeight="1">
      <c r="A389" s="1121"/>
      <c r="B389" s="1062" t="s">
        <v>1312</v>
      </c>
      <c r="C389" s="1056">
        <f>C390</f>
        <v>4007164.7</v>
      </c>
      <c r="D389" s="1056">
        <f t="shared" ref="D389:AA389" si="273">D390</f>
        <v>0</v>
      </c>
      <c r="E389" s="1056">
        <f t="shared" si="273"/>
        <v>0</v>
      </c>
      <c r="F389" s="1056">
        <f t="shared" si="273"/>
        <v>0</v>
      </c>
      <c r="G389" s="1056">
        <f t="shared" si="273"/>
        <v>0</v>
      </c>
      <c r="H389" s="1056">
        <f t="shared" si="273"/>
        <v>0</v>
      </c>
      <c r="I389" s="1056">
        <f t="shared" si="273"/>
        <v>0</v>
      </c>
      <c r="J389" s="1056">
        <f t="shared" si="273"/>
        <v>0</v>
      </c>
      <c r="K389" s="1056">
        <f t="shared" si="273"/>
        <v>0</v>
      </c>
      <c r="L389" s="1056">
        <f t="shared" si="273"/>
        <v>0</v>
      </c>
      <c r="M389" s="1056">
        <f t="shared" si="273"/>
        <v>0</v>
      </c>
      <c r="N389" s="1056">
        <f t="shared" si="273"/>
        <v>0</v>
      </c>
      <c r="O389" s="1056">
        <f t="shared" si="273"/>
        <v>399.5</v>
      </c>
      <c r="P389" s="1056">
        <f t="shared" si="273"/>
        <v>3716104.98</v>
      </c>
      <c r="Q389" s="1056">
        <f t="shared" si="273"/>
        <v>0</v>
      </c>
      <c r="R389" s="1056">
        <f t="shared" si="273"/>
        <v>0</v>
      </c>
      <c r="S389" s="1056">
        <f t="shared" si="273"/>
        <v>0</v>
      </c>
      <c r="T389" s="1056">
        <f t="shared" si="273"/>
        <v>0</v>
      </c>
      <c r="U389" s="1056">
        <f t="shared" si="273"/>
        <v>0</v>
      </c>
      <c r="V389" s="1056">
        <f t="shared" si="273"/>
        <v>0</v>
      </c>
      <c r="W389" s="1056">
        <f t="shared" si="273"/>
        <v>0</v>
      </c>
      <c r="X389" s="1056">
        <f t="shared" si="273"/>
        <v>0</v>
      </c>
      <c r="Y389" s="1056">
        <f t="shared" si="273"/>
        <v>0</v>
      </c>
      <c r="Z389" s="1056">
        <f t="shared" si="273"/>
        <v>291059.71999999997</v>
      </c>
      <c r="AA389" s="1056">
        <f t="shared" si="273"/>
        <v>0</v>
      </c>
    </row>
    <row r="390" spans="1:27" s="1067" customFormat="1" ht="107.25" customHeight="1">
      <c r="A390" s="1121">
        <v>44</v>
      </c>
      <c r="B390" s="1062" t="s">
        <v>1437</v>
      </c>
      <c r="C390" s="1056">
        <f t="shared" ref="C390" si="274">D390+N390+P390+R390+T390+X390+Z390</f>
        <v>4007164.7</v>
      </c>
      <c r="D390" s="1056">
        <f t="shared" ref="D390" si="275">SUM(E390:J390)</f>
        <v>0</v>
      </c>
      <c r="E390" s="1056">
        <v>0</v>
      </c>
      <c r="F390" s="1056">
        <v>0</v>
      </c>
      <c r="G390" s="1056">
        <v>0</v>
      </c>
      <c r="H390" s="1056">
        <v>0</v>
      </c>
      <c r="I390" s="1056">
        <v>0</v>
      </c>
      <c r="J390" s="1056">
        <v>0</v>
      </c>
      <c r="K390" s="1063">
        <v>0</v>
      </c>
      <c r="L390" s="1056">
        <v>0</v>
      </c>
      <c r="M390" s="1063">
        <v>0</v>
      </c>
      <c r="N390" s="1056">
        <v>0</v>
      </c>
      <c r="O390" s="1056">
        <v>399.5</v>
      </c>
      <c r="P390" s="1056">
        <v>3716104.98</v>
      </c>
      <c r="Q390" s="1056">
        <v>0</v>
      </c>
      <c r="R390" s="1056">
        <v>0</v>
      </c>
      <c r="S390" s="1056">
        <v>0</v>
      </c>
      <c r="T390" s="1056">
        <v>0</v>
      </c>
      <c r="U390" s="1056">
        <v>0</v>
      </c>
      <c r="V390" s="1056">
        <v>0</v>
      </c>
      <c r="W390" s="1056">
        <v>0</v>
      </c>
      <c r="X390" s="1056">
        <v>0</v>
      </c>
      <c r="Y390" s="1076">
        <v>0</v>
      </c>
      <c r="Z390" s="1056">
        <v>291059.71999999997</v>
      </c>
      <c r="AA390" s="1056">
        <v>0</v>
      </c>
    </row>
    <row r="391" spans="1:27" s="1067" customFormat="1" ht="122.25" customHeight="1">
      <c r="A391" s="1121"/>
      <c r="B391" s="1062" t="s">
        <v>1098</v>
      </c>
      <c r="C391" s="1056">
        <f>C392</f>
        <v>4714311.41</v>
      </c>
      <c r="D391" s="1056">
        <f t="shared" ref="D391:AA391" si="276">D392</f>
        <v>0</v>
      </c>
      <c r="E391" s="1056">
        <f t="shared" si="276"/>
        <v>0</v>
      </c>
      <c r="F391" s="1056">
        <f t="shared" si="276"/>
        <v>0</v>
      </c>
      <c r="G391" s="1056">
        <f t="shared" si="276"/>
        <v>0</v>
      </c>
      <c r="H391" s="1056">
        <f t="shared" si="276"/>
        <v>0</v>
      </c>
      <c r="I391" s="1056">
        <f t="shared" si="276"/>
        <v>0</v>
      </c>
      <c r="J391" s="1056">
        <f t="shared" si="276"/>
        <v>0</v>
      </c>
      <c r="K391" s="1056">
        <f t="shared" si="276"/>
        <v>0</v>
      </c>
      <c r="L391" s="1056">
        <f t="shared" si="276"/>
        <v>0</v>
      </c>
      <c r="M391" s="1056">
        <f t="shared" si="276"/>
        <v>0</v>
      </c>
      <c r="N391" s="1056">
        <f t="shared" si="276"/>
        <v>0</v>
      </c>
      <c r="O391" s="1056">
        <f t="shared" si="276"/>
        <v>470</v>
      </c>
      <c r="P391" s="1056">
        <f t="shared" si="276"/>
        <v>4371888.21</v>
      </c>
      <c r="Q391" s="1056">
        <f t="shared" si="276"/>
        <v>0</v>
      </c>
      <c r="R391" s="1056">
        <f t="shared" si="276"/>
        <v>0</v>
      </c>
      <c r="S391" s="1056">
        <f t="shared" si="276"/>
        <v>0</v>
      </c>
      <c r="T391" s="1056">
        <f t="shared" si="276"/>
        <v>0</v>
      </c>
      <c r="U391" s="1056">
        <f t="shared" si="276"/>
        <v>0</v>
      </c>
      <c r="V391" s="1056">
        <f t="shared" si="276"/>
        <v>0</v>
      </c>
      <c r="W391" s="1056">
        <f t="shared" si="276"/>
        <v>0</v>
      </c>
      <c r="X391" s="1056">
        <f t="shared" si="276"/>
        <v>0</v>
      </c>
      <c r="Y391" s="1056">
        <f t="shared" si="276"/>
        <v>0</v>
      </c>
      <c r="Z391" s="1056">
        <f t="shared" si="276"/>
        <v>342423.2</v>
      </c>
      <c r="AA391" s="1056">
        <f t="shared" si="276"/>
        <v>0</v>
      </c>
    </row>
    <row r="392" spans="1:27" s="1067" customFormat="1" ht="114.75" customHeight="1">
      <c r="A392" s="1121">
        <v>45</v>
      </c>
      <c r="B392" s="1055" t="s">
        <v>1603</v>
      </c>
      <c r="C392" s="1056">
        <f>D392+N392+P392+R392+T392+X392+Z392</f>
        <v>4714311.41</v>
      </c>
      <c r="D392" s="1056">
        <f>SUM(E392:J392)</f>
        <v>0</v>
      </c>
      <c r="E392" s="1056">
        <v>0</v>
      </c>
      <c r="F392" s="1056">
        <v>0</v>
      </c>
      <c r="G392" s="1056">
        <v>0</v>
      </c>
      <c r="H392" s="1056">
        <v>0</v>
      </c>
      <c r="I392" s="1056">
        <v>0</v>
      </c>
      <c r="J392" s="1056">
        <v>0</v>
      </c>
      <c r="K392" s="1063">
        <v>0</v>
      </c>
      <c r="L392" s="1056">
        <v>0</v>
      </c>
      <c r="M392" s="1063">
        <v>0</v>
      </c>
      <c r="N392" s="1056">
        <v>0</v>
      </c>
      <c r="O392" s="1056">
        <v>470</v>
      </c>
      <c r="P392" s="1056">
        <v>4371888.21</v>
      </c>
      <c r="Q392" s="1056">
        <v>0</v>
      </c>
      <c r="R392" s="1056">
        <v>0</v>
      </c>
      <c r="S392" s="1056">
        <v>0</v>
      </c>
      <c r="T392" s="1056">
        <v>0</v>
      </c>
      <c r="U392" s="1056">
        <v>0</v>
      </c>
      <c r="V392" s="1056">
        <v>0</v>
      </c>
      <c r="W392" s="1056">
        <v>0</v>
      </c>
      <c r="X392" s="1056">
        <v>0</v>
      </c>
      <c r="Y392" s="1076">
        <v>0</v>
      </c>
      <c r="Z392" s="1056">
        <v>342423.2</v>
      </c>
      <c r="AA392" s="1056">
        <v>0</v>
      </c>
    </row>
    <row r="393" spans="1:27" s="1067" customFormat="1" ht="94.9" customHeight="1">
      <c r="A393" s="1121"/>
      <c r="B393" s="1062" t="s">
        <v>49</v>
      </c>
      <c r="C393" s="1056">
        <f>C394+C396+C398+C400+C402</f>
        <v>26975825.91</v>
      </c>
      <c r="D393" s="1056">
        <f t="shared" ref="D393:AA393" si="277">D394+D396+D398+D400+D402</f>
        <v>0</v>
      </c>
      <c r="E393" s="1056">
        <f t="shared" si="277"/>
        <v>0</v>
      </c>
      <c r="F393" s="1056">
        <f t="shared" si="277"/>
        <v>0</v>
      </c>
      <c r="G393" s="1056">
        <f t="shared" si="277"/>
        <v>0</v>
      </c>
      <c r="H393" s="1056">
        <f t="shared" si="277"/>
        <v>0</v>
      </c>
      <c r="I393" s="1056">
        <f t="shared" si="277"/>
        <v>0</v>
      </c>
      <c r="J393" s="1056">
        <f t="shared" si="277"/>
        <v>0</v>
      </c>
      <c r="K393" s="1056">
        <f t="shared" si="277"/>
        <v>0</v>
      </c>
      <c r="L393" s="1056">
        <f t="shared" si="277"/>
        <v>0</v>
      </c>
      <c r="M393" s="1056">
        <f t="shared" si="277"/>
        <v>0</v>
      </c>
      <c r="N393" s="1056">
        <f t="shared" si="277"/>
        <v>0</v>
      </c>
      <c r="O393" s="1056">
        <f t="shared" si="277"/>
        <v>3435.64</v>
      </c>
      <c r="P393" s="1056">
        <f t="shared" si="277"/>
        <v>25016441.429999996</v>
      </c>
      <c r="Q393" s="1056">
        <f t="shared" si="277"/>
        <v>0</v>
      </c>
      <c r="R393" s="1056">
        <f t="shared" si="277"/>
        <v>0</v>
      </c>
      <c r="S393" s="1056">
        <f t="shared" si="277"/>
        <v>0</v>
      </c>
      <c r="T393" s="1056">
        <f t="shared" si="277"/>
        <v>0</v>
      </c>
      <c r="U393" s="1056">
        <f t="shared" si="277"/>
        <v>0</v>
      </c>
      <c r="V393" s="1056">
        <f t="shared" si="277"/>
        <v>0</v>
      </c>
      <c r="W393" s="1056">
        <f t="shared" si="277"/>
        <v>0</v>
      </c>
      <c r="X393" s="1056">
        <f t="shared" si="277"/>
        <v>0</v>
      </c>
      <c r="Y393" s="1056">
        <f t="shared" si="277"/>
        <v>0</v>
      </c>
      <c r="Z393" s="1056">
        <f t="shared" si="277"/>
        <v>1959384.4800000002</v>
      </c>
      <c r="AA393" s="1056">
        <f t="shared" si="277"/>
        <v>0</v>
      </c>
    </row>
    <row r="394" spans="1:27" s="1067" customFormat="1" ht="138.75" customHeight="1">
      <c r="A394" s="1121"/>
      <c r="B394" s="1062" t="s">
        <v>1090</v>
      </c>
      <c r="C394" s="1056">
        <f>C395</f>
        <v>5499014.8499999996</v>
      </c>
      <c r="D394" s="1056">
        <f t="shared" ref="D394:AA394" si="278">D395</f>
        <v>0</v>
      </c>
      <c r="E394" s="1056">
        <f t="shared" si="278"/>
        <v>0</v>
      </c>
      <c r="F394" s="1056">
        <f t="shared" si="278"/>
        <v>0</v>
      </c>
      <c r="G394" s="1056">
        <f t="shared" si="278"/>
        <v>0</v>
      </c>
      <c r="H394" s="1056">
        <f t="shared" si="278"/>
        <v>0</v>
      </c>
      <c r="I394" s="1056">
        <f t="shared" si="278"/>
        <v>0</v>
      </c>
      <c r="J394" s="1056">
        <f t="shared" si="278"/>
        <v>0</v>
      </c>
      <c r="K394" s="1056">
        <f t="shared" si="278"/>
        <v>0</v>
      </c>
      <c r="L394" s="1056">
        <f t="shared" si="278"/>
        <v>0</v>
      </c>
      <c r="M394" s="1056">
        <f t="shared" si="278"/>
        <v>0</v>
      </c>
      <c r="N394" s="1056">
        <f t="shared" si="278"/>
        <v>0</v>
      </c>
      <c r="O394" s="1056">
        <f t="shared" si="278"/>
        <v>630</v>
      </c>
      <c r="P394" s="1056">
        <f t="shared" si="278"/>
        <v>5099594.8499999996</v>
      </c>
      <c r="Q394" s="1056">
        <f t="shared" si="278"/>
        <v>0</v>
      </c>
      <c r="R394" s="1056">
        <f t="shared" si="278"/>
        <v>0</v>
      </c>
      <c r="S394" s="1056">
        <f t="shared" si="278"/>
        <v>0</v>
      </c>
      <c r="T394" s="1056">
        <f t="shared" si="278"/>
        <v>0</v>
      </c>
      <c r="U394" s="1056">
        <f t="shared" si="278"/>
        <v>0</v>
      </c>
      <c r="V394" s="1056">
        <f t="shared" si="278"/>
        <v>0</v>
      </c>
      <c r="W394" s="1056">
        <f t="shared" si="278"/>
        <v>0</v>
      </c>
      <c r="X394" s="1056">
        <f t="shared" si="278"/>
        <v>0</v>
      </c>
      <c r="Y394" s="1056">
        <f t="shared" si="278"/>
        <v>0</v>
      </c>
      <c r="Z394" s="1056">
        <f t="shared" si="278"/>
        <v>399420</v>
      </c>
      <c r="AA394" s="1056">
        <f t="shared" si="278"/>
        <v>0</v>
      </c>
    </row>
    <row r="395" spans="1:27" s="1067" customFormat="1" ht="94.9" customHeight="1">
      <c r="A395" s="1121">
        <v>46</v>
      </c>
      <c r="B395" s="1062" t="s">
        <v>1555</v>
      </c>
      <c r="C395" s="1056">
        <f t="shared" ref="C395" si="279">D395+N395+P395+R395+T395+X395+Z395</f>
        <v>5499014.8499999996</v>
      </c>
      <c r="D395" s="1056">
        <f t="shared" ref="D395" si="280">SUM(E395:J395)</f>
        <v>0</v>
      </c>
      <c r="E395" s="1056">
        <v>0</v>
      </c>
      <c r="F395" s="1056">
        <v>0</v>
      </c>
      <c r="G395" s="1056">
        <v>0</v>
      </c>
      <c r="H395" s="1056">
        <v>0</v>
      </c>
      <c r="I395" s="1056">
        <v>0</v>
      </c>
      <c r="J395" s="1056">
        <v>0</v>
      </c>
      <c r="K395" s="1056">
        <v>0</v>
      </c>
      <c r="L395" s="1056">
        <v>0</v>
      </c>
      <c r="M395" s="1056">
        <v>0</v>
      </c>
      <c r="N395" s="1056">
        <v>0</v>
      </c>
      <c r="O395" s="1056">
        <v>630</v>
      </c>
      <c r="P395" s="1056">
        <v>5099594.8499999996</v>
      </c>
      <c r="Q395" s="1056">
        <v>0</v>
      </c>
      <c r="R395" s="1056">
        <v>0</v>
      </c>
      <c r="S395" s="1056">
        <v>0</v>
      </c>
      <c r="T395" s="1056">
        <v>0</v>
      </c>
      <c r="U395" s="1056">
        <v>0</v>
      </c>
      <c r="V395" s="1056">
        <v>0</v>
      </c>
      <c r="W395" s="1056">
        <v>0</v>
      </c>
      <c r="X395" s="1056">
        <v>0</v>
      </c>
      <c r="Y395" s="1056">
        <v>0</v>
      </c>
      <c r="Z395" s="1056">
        <v>399420</v>
      </c>
      <c r="AA395" s="1056">
        <v>0</v>
      </c>
    </row>
    <row r="396" spans="1:27" s="1067" customFormat="1" ht="104.45" customHeight="1">
      <c r="A396" s="1121"/>
      <c r="B396" s="1062" t="s">
        <v>1026</v>
      </c>
      <c r="C396" s="1056">
        <f>C397</f>
        <v>7059401.2700000005</v>
      </c>
      <c r="D396" s="1056">
        <f t="shared" ref="D396:AA396" si="281">D397</f>
        <v>0</v>
      </c>
      <c r="E396" s="1056">
        <f t="shared" si="281"/>
        <v>0</v>
      </c>
      <c r="F396" s="1056">
        <f t="shared" si="281"/>
        <v>0</v>
      </c>
      <c r="G396" s="1056">
        <f t="shared" si="281"/>
        <v>0</v>
      </c>
      <c r="H396" s="1056">
        <f t="shared" si="281"/>
        <v>0</v>
      </c>
      <c r="I396" s="1056">
        <f t="shared" si="281"/>
        <v>0</v>
      </c>
      <c r="J396" s="1056">
        <f t="shared" si="281"/>
        <v>0</v>
      </c>
      <c r="K396" s="1063">
        <v>0</v>
      </c>
      <c r="L396" s="1056">
        <v>0</v>
      </c>
      <c r="M396" s="1063">
        <v>0</v>
      </c>
      <c r="N396" s="1056">
        <f t="shared" si="281"/>
        <v>0</v>
      </c>
      <c r="O396" s="1056">
        <f t="shared" si="281"/>
        <v>770</v>
      </c>
      <c r="P396" s="1056">
        <f t="shared" si="281"/>
        <v>6546642.8700000001</v>
      </c>
      <c r="Q396" s="1056">
        <f t="shared" si="281"/>
        <v>0</v>
      </c>
      <c r="R396" s="1056">
        <f t="shared" si="281"/>
        <v>0</v>
      </c>
      <c r="S396" s="1056">
        <f t="shared" si="281"/>
        <v>0</v>
      </c>
      <c r="T396" s="1056">
        <f t="shared" si="281"/>
        <v>0</v>
      </c>
      <c r="U396" s="1056">
        <v>0</v>
      </c>
      <c r="V396" s="1056">
        <v>0</v>
      </c>
      <c r="W396" s="1056">
        <f t="shared" si="281"/>
        <v>0</v>
      </c>
      <c r="X396" s="1056">
        <f t="shared" si="281"/>
        <v>0</v>
      </c>
      <c r="Y396" s="1076">
        <v>0</v>
      </c>
      <c r="Z396" s="1056">
        <f t="shared" si="281"/>
        <v>512758.4</v>
      </c>
      <c r="AA396" s="1056">
        <f t="shared" si="281"/>
        <v>0</v>
      </c>
    </row>
    <row r="397" spans="1:27" s="1067" customFormat="1" ht="85.15" customHeight="1">
      <c r="A397" s="1121">
        <v>47</v>
      </c>
      <c r="B397" s="1062" t="s">
        <v>1962</v>
      </c>
      <c r="C397" s="1056">
        <f>D397+N397+P397+R397+T397+X397+Z397</f>
        <v>7059401.2700000005</v>
      </c>
      <c r="D397" s="1056">
        <v>0</v>
      </c>
      <c r="E397" s="1056">
        <v>0</v>
      </c>
      <c r="F397" s="1056">
        <v>0</v>
      </c>
      <c r="G397" s="1056">
        <v>0</v>
      </c>
      <c r="H397" s="1056">
        <v>0</v>
      </c>
      <c r="I397" s="1056">
        <v>0</v>
      </c>
      <c r="J397" s="1056">
        <v>0</v>
      </c>
      <c r="K397" s="1063">
        <v>0</v>
      </c>
      <c r="L397" s="1056">
        <v>0</v>
      </c>
      <c r="M397" s="1063">
        <v>0</v>
      </c>
      <c r="N397" s="1056">
        <v>0</v>
      </c>
      <c r="O397" s="1056">
        <v>770</v>
      </c>
      <c r="P397" s="1056">
        <v>6546642.8700000001</v>
      </c>
      <c r="Q397" s="1056">
        <v>0</v>
      </c>
      <c r="R397" s="1056">
        <v>0</v>
      </c>
      <c r="S397" s="1056">
        <v>0</v>
      </c>
      <c r="T397" s="1056">
        <v>0</v>
      </c>
      <c r="U397" s="1056">
        <v>0</v>
      </c>
      <c r="V397" s="1056">
        <v>0</v>
      </c>
      <c r="W397" s="1056">
        <v>0</v>
      </c>
      <c r="X397" s="1056">
        <v>0</v>
      </c>
      <c r="Y397" s="1076">
        <v>0</v>
      </c>
      <c r="Z397" s="1056">
        <v>512758.4</v>
      </c>
      <c r="AA397" s="1056">
        <v>0</v>
      </c>
    </row>
    <row r="398" spans="1:27" s="1067" customFormat="1" ht="140.44999999999999" customHeight="1">
      <c r="A398" s="1121"/>
      <c r="B398" s="1062" t="s">
        <v>1056</v>
      </c>
      <c r="C398" s="1056">
        <f>C399</f>
        <v>2206919.2400000002</v>
      </c>
      <c r="D398" s="1056">
        <f t="shared" ref="D398:AA398" si="282">D399</f>
        <v>0</v>
      </c>
      <c r="E398" s="1056">
        <f t="shared" si="282"/>
        <v>0</v>
      </c>
      <c r="F398" s="1056">
        <f t="shared" si="282"/>
        <v>0</v>
      </c>
      <c r="G398" s="1056">
        <f t="shared" si="282"/>
        <v>0</v>
      </c>
      <c r="H398" s="1056">
        <f t="shared" si="282"/>
        <v>0</v>
      </c>
      <c r="I398" s="1056">
        <f t="shared" si="282"/>
        <v>0</v>
      </c>
      <c r="J398" s="1056">
        <f t="shared" si="282"/>
        <v>0</v>
      </c>
      <c r="K398" s="1056">
        <f t="shared" si="282"/>
        <v>0</v>
      </c>
      <c r="L398" s="1056">
        <f t="shared" si="282"/>
        <v>0</v>
      </c>
      <c r="M398" s="1056">
        <f t="shared" si="282"/>
        <v>0</v>
      </c>
      <c r="N398" s="1056">
        <f t="shared" si="282"/>
        <v>0</v>
      </c>
      <c r="O398" s="1056">
        <f t="shared" si="282"/>
        <v>380</v>
      </c>
      <c r="P398" s="1056">
        <f t="shared" si="282"/>
        <v>2046620.04</v>
      </c>
      <c r="Q398" s="1056">
        <f t="shared" si="282"/>
        <v>0</v>
      </c>
      <c r="R398" s="1056">
        <f t="shared" si="282"/>
        <v>0</v>
      </c>
      <c r="S398" s="1056">
        <f t="shared" si="282"/>
        <v>0</v>
      </c>
      <c r="T398" s="1056">
        <f t="shared" si="282"/>
        <v>0</v>
      </c>
      <c r="U398" s="1056">
        <f t="shared" si="282"/>
        <v>0</v>
      </c>
      <c r="V398" s="1056">
        <f t="shared" si="282"/>
        <v>0</v>
      </c>
      <c r="W398" s="1056">
        <f t="shared" si="282"/>
        <v>0</v>
      </c>
      <c r="X398" s="1056">
        <f t="shared" si="282"/>
        <v>0</v>
      </c>
      <c r="Y398" s="1056">
        <f t="shared" si="282"/>
        <v>0</v>
      </c>
      <c r="Z398" s="1056">
        <f t="shared" si="282"/>
        <v>160299.20000000001</v>
      </c>
      <c r="AA398" s="1056">
        <f t="shared" si="282"/>
        <v>0</v>
      </c>
    </row>
    <row r="399" spans="1:27" s="1067" customFormat="1" ht="105" customHeight="1">
      <c r="A399" s="1121">
        <v>48</v>
      </c>
      <c r="B399" s="1055" t="s">
        <v>1433</v>
      </c>
      <c r="C399" s="1056">
        <f>D399+N399+P399+R399+T399+X399+Z399</f>
        <v>2206919.2400000002</v>
      </c>
      <c r="D399" s="1056">
        <v>0</v>
      </c>
      <c r="E399" s="1056">
        <v>0</v>
      </c>
      <c r="F399" s="1056">
        <v>0</v>
      </c>
      <c r="G399" s="1056">
        <v>0</v>
      </c>
      <c r="H399" s="1056">
        <v>0</v>
      </c>
      <c r="I399" s="1056">
        <v>0</v>
      </c>
      <c r="J399" s="1056">
        <v>0</v>
      </c>
      <c r="K399" s="1063">
        <v>0</v>
      </c>
      <c r="L399" s="1056">
        <v>0</v>
      </c>
      <c r="M399" s="1063">
        <v>0</v>
      </c>
      <c r="N399" s="1056">
        <v>0</v>
      </c>
      <c r="O399" s="1056">
        <v>380</v>
      </c>
      <c r="P399" s="1056">
        <v>2046620.04</v>
      </c>
      <c r="Q399" s="1056">
        <v>0</v>
      </c>
      <c r="R399" s="1056">
        <v>0</v>
      </c>
      <c r="S399" s="1056">
        <v>0</v>
      </c>
      <c r="T399" s="1056">
        <v>0</v>
      </c>
      <c r="U399" s="1056">
        <v>0</v>
      </c>
      <c r="V399" s="1056">
        <v>0</v>
      </c>
      <c r="W399" s="1056">
        <v>0</v>
      </c>
      <c r="X399" s="1056">
        <v>0</v>
      </c>
      <c r="Y399" s="1076">
        <v>0</v>
      </c>
      <c r="Z399" s="1056">
        <v>160299.20000000001</v>
      </c>
      <c r="AA399" s="1056">
        <v>0</v>
      </c>
    </row>
    <row r="400" spans="1:27" s="1071" customFormat="1" ht="126" customHeight="1">
      <c r="A400" s="1121"/>
      <c r="B400" s="1062" t="s">
        <v>1058</v>
      </c>
      <c r="C400" s="1056">
        <f>C401</f>
        <v>6046377.9299999997</v>
      </c>
      <c r="D400" s="1056">
        <f t="shared" ref="D400:AA400" si="283">D401</f>
        <v>0</v>
      </c>
      <c r="E400" s="1056">
        <f t="shared" si="283"/>
        <v>0</v>
      </c>
      <c r="F400" s="1056">
        <f t="shared" si="283"/>
        <v>0</v>
      </c>
      <c r="G400" s="1056">
        <f t="shared" si="283"/>
        <v>0</v>
      </c>
      <c r="H400" s="1056">
        <f t="shared" si="283"/>
        <v>0</v>
      </c>
      <c r="I400" s="1056">
        <f t="shared" si="283"/>
        <v>0</v>
      </c>
      <c r="J400" s="1056">
        <f t="shared" si="283"/>
        <v>0</v>
      </c>
      <c r="K400" s="1063">
        <f t="shared" si="283"/>
        <v>0</v>
      </c>
      <c r="L400" s="1056">
        <f t="shared" si="283"/>
        <v>0</v>
      </c>
      <c r="M400" s="1063">
        <f t="shared" si="283"/>
        <v>0</v>
      </c>
      <c r="N400" s="1056">
        <f t="shared" si="283"/>
        <v>0</v>
      </c>
      <c r="O400" s="1056">
        <f t="shared" si="283"/>
        <v>1041.0999999999999</v>
      </c>
      <c r="P400" s="1056">
        <f t="shared" si="283"/>
        <v>5607200.3099999996</v>
      </c>
      <c r="Q400" s="1056">
        <f t="shared" si="283"/>
        <v>0</v>
      </c>
      <c r="R400" s="1056">
        <f t="shared" si="283"/>
        <v>0</v>
      </c>
      <c r="S400" s="1056">
        <f t="shared" si="283"/>
        <v>0</v>
      </c>
      <c r="T400" s="1056">
        <f t="shared" si="283"/>
        <v>0</v>
      </c>
      <c r="U400" s="1056">
        <v>0</v>
      </c>
      <c r="V400" s="1056">
        <v>0</v>
      </c>
      <c r="W400" s="1056">
        <f t="shared" si="283"/>
        <v>0</v>
      </c>
      <c r="X400" s="1056">
        <f t="shared" si="283"/>
        <v>0</v>
      </c>
      <c r="Y400" s="1056">
        <f t="shared" si="283"/>
        <v>0</v>
      </c>
      <c r="Z400" s="1056">
        <f t="shared" si="283"/>
        <v>439177.62</v>
      </c>
      <c r="AA400" s="1056">
        <f t="shared" si="283"/>
        <v>0</v>
      </c>
    </row>
    <row r="401" spans="1:27" s="1071" customFormat="1" ht="114" customHeight="1">
      <c r="A401" s="1121">
        <v>49</v>
      </c>
      <c r="B401" s="1062" t="s">
        <v>1682</v>
      </c>
      <c r="C401" s="1056">
        <f>D401+N401+P401+R401+T401+X401+Z401</f>
        <v>6046377.9299999997</v>
      </c>
      <c r="D401" s="1056">
        <f>SUM(E401:J401)</f>
        <v>0</v>
      </c>
      <c r="E401" s="1056">
        <v>0</v>
      </c>
      <c r="F401" s="1056">
        <v>0</v>
      </c>
      <c r="G401" s="1056">
        <v>0</v>
      </c>
      <c r="H401" s="1056">
        <v>0</v>
      </c>
      <c r="I401" s="1056">
        <v>0</v>
      </c>
      <c r="J401" s="1056">
        <v>0</v>
      </c>
      <c r="K401" s="1063">
        <v>0</v>
      </c>
      <c r="L401" s="1056">
        <v>0</v>
      </c>
      <c r="M401" s="1063">
        <v>0</v>
      </c>
      <c r="N401" s="1056">
        <v>0</v>
      </c>
      <c r="O401" s="1056">
        <v>1041.0999999999999</v>
      </c>
      <c r="P401" s="1056">
        <v>5607200.3099999996</v>
      </c>
      <c r="Q401" s="1056">
        <v>0</v>
      </c>
      <c r="R401" s="1056">
        <v>0</v>
      </c>
      <c r="S401" s="1056">
        <v>0</v>
      </c>
      <c r="T401" s="1056">
        <v>0</v>
      </c>
      <c r="U401" s="1056">
        <v>0</v>
      </c>
      <c r="V401" s="1056">
        <v>0</v>
      </c>
      <c r="W401" s="1056">
        <v>0</v>
      </c>
      <c r="X401" s="1056">
        <v>0</v>
      </c>
      <c r="Y401" s="1056">
        <v>0</v>
      </c>
      <c r="Z401" s="1056">
        <v>439177.62</v>
      </c>
      <c r="AA401" s="1056">
        <v>0</v>
      </c>
    </row>
    <row r="402" spans="1:27" s="1071" customFormat="1" ht="114" customHeight="1">
      <c r="A402" s="1121"/>
      <c r="B402" s="1062" t="s">
        <v>2004</v>
      </c>
      <c r="C402" s="1056">
        <f>C403</f>
        <v>6164112.6200000001</v>
      </c>
      <c r="D402" s="1056">
        <f t="shared" ref="D402:AA402" si="284">D403</f>
        <v>0</v>
      </c>
      <c r="E402" s="1056">
        <f t="shared" si="284"/>
        <v>0</v>
      </c>
      <c r="F402" s="1056">
        <f t="shared" si="284"/>
        <v>0</v>
      </c>
      <c r="G402" s="1056">
        <f t="shared" si="284"/>
        <v>0</v>
      </c>
      <c r="H402" s="1056">
        <f t="shared" si="284"/>
        <v>0</v>
      </c>
      <c r="I402" s="1056">
        <f t="shared" si="284"/>
        <v>0</v>
      </c>
      <c r="J402" s="1056">
        <f t="shared" si="284"/>
        <v>0</v>
      </c>
      <c r="K402" s="1056">
        <f t="shared" si="284"/>
        <v>0</v>
      </c>
      <c r="L402" s="1056">
        <f t="shared" si="284"/>
        <v>0</v>
      </c>
      <c r="M402" s="1056">
        <f t="shared" si="284"/>
        <v>0</v>
      </c>
      <c r="N402" s="1056">
        <f t="shared" si="284"/>
        <v>0</v>
      </c>
      <c r="O402" s="1056">
        <f t="shared" si="284"/>
        <v>614.54</v>
      </c>
      <c r="P402" s="1056">
        <f t="shared" si="284"/>
        <v>5716383.3600000003</v>
      </c>
      <c r="Q402" s="1056">
        <f t="shared" si="284"/>
        <v>0</v>
      </c>
      <c r="R402" s="1056">
        <f t="shared" si="284"/>
        <v>0</v>
      </c>
      <c r="S402" s="1056">
        <f t="shared" si="284"/>
        <v>0</v>
      </c>
      <c r="T402" s="1056">
        <f t="shared" si="284"/>
        <v>0</v>
      </c>
      <c r="U402" s="1056">
        <f t="shared" si="284"/>
        <v>0</v>
      </c>
      <c r="V402" s="1056">
        <f t="shared" si="284"/>
        <v>0</v>
      </c>
      <c r="W402" s="1056">
        <f t="shared" si="284"/>
        <v>0</v>
      </c>
      <c r="X402" s="1056">
        <f t="shared" si="284"/>
        <v>0</v>
      </c>
      <c r="Y402" s="1056">
        <f t="shared" si="284"/>
        <v>0</v>
      </c>
      <c r="Z402" s="1056">
        <f t="shared" si="284"/>
        <v>447729.26</v>
      </c>
      <c r="AA402" s="1056">
        <f t="shared" si="284"/>
        <v>0</v>
      </c>
    </row>
    <row r="403" spans="1:27" s="1071" customFormat="1" ht="114" customHeight="1">
      <c r="A403" s="1121">
        <v>50</v>
      </c>
      <c r="B403" s="1062" t="s">
        <v>2002</v>
      </c>
      <c r="C403" s="1056">
        <f>D403+N403+P403+R403+T403+X403+Z403</f>
        <v>6164112.6200000001</v>
      </c>
      <c r="D403" s="1056">
        <f>SUM(E403:J403)</f>
        <v>0</v>
      </c>
      <c r="E403" s="1056">
        <v>0</v>
      </c>
      <c r="F403" s="1056">
        <v>0</v>
      </c>
      <c r="G403" s="1056">
        <v>0</v>
      </c>
      <c r="H403" s="1056">
        <v>0</v>
      </c>
      <c r="I403" s="1056">
        <v>0</v>
      </c>
      <c r="J403" s="1056">
        <v>0</v>
      </c>
      <c r="K403" s="1063">
        <v>0</v>
      </c>
      <c r="L403" s="1056">
        <v>0</v>
      </c>
      <c r="M403" s="1063">
        <v>0</v>
      </c>
      <c r="N403" s="1056">
        <v>0</v>
      </c>
      <c r="O403" s="1056">
        <v>614.54</v>
      </c>
      <c r="P403" s="1056">
        <v>5716383.3600000003</v>
      </c>
      <c r="Q403" s="1056">
        <v>0</v>
      </c>
      <c r="R403" s="1056">
        <v>0</v>
      </c>
      <c r="S403" s="1056">
        <v>0</v>
      </c>
      <c r="T403" s="1056">
        <v>0</v>
      </c>
      <c r="U403" s="1056">
        <v>0</v>
      </c>
      <c r="V403" s="1056">
        <v>0</v>
      </c>
      <c r="W403" s="1056">
        <v>0</v>
      </c>
      <c r="X403" s="1056">
        <v>0</v>
      </c>
      <c r="Y403" s="1056">
        <v>0</v>
      </c>
      <c r="Z403" s="1056">
        <v>447729.26</v>
      </c>
      <c r="AA403" s="1056">
        <v>0</v>
      </c>
    </row>
    <row r="404" spans="1:27" s="1067" customFormat="1" ht="73.900000000000006" customHeight="1">
      <c r="A404" s="1121"/>
      <c r="B404" s="1062" t="s">
        <v>50</v>
      </c>
      <c r="C404" s="1056">
        <f>C405</f>
        <v>12776900.84</v>
      </c>
      <c r="D404" s="1056">
        <f t="shared" ref="D404:AA404" si="285">D405</f>
        <v>0</v>
      </c>
      <c r="E404" s="1056">
        <f t="shared" si="285"/>
        <v>0</v>
      </c>
      <c r="F404" s="1056">
        <f t="shared" si="285"/>
        <v>0</v>
      </c>
      <c r="G404" s="1056">
        <f t="shared" si="285"/>
        <v>0</v>
      </c>
      <c r="H404" s="1056">
        <f t="shared" si="285"/>
        <v>0</v>
      </c>
      <c r="I404" s="1056">
        <f t="shared" si="285"/>
        <v>0</v>
      </c>
      <c r="J404" s="1056">
        <f t="shared" si="285"/>
        <v>0</v>
      </c>
      <c r="K404" s="1063">
        <v>0</v>
      </c>
      <c r="L404" s="1056">
        <v>0</v>
      </c>
      <c r="M404" s="1063">
        <v>0</v>
      </c>
      <c r="N404" s="1056">
        <f t="shared" si="285"/>
        <v>0</v>
      </c>
      <c r="O404" s="1056">
        <f t="shared" si="285"/>
        <v>2200</v>
      </c>
      <c r="P404" s="1056">
        <f t="shared" si="285"/>
        <v>11848852.84</v>
      </c>
      <c r="Q404" s="1056">
        <f t="shared" si="285"/>
        <v>0</v>
      </c>
      <c r="R404" s="1056">
        <f t="shared" si="285"/>
        <v>0</v>
      </c>
      <c r="S404" s="1056">
        <f t="shared" si="285"/>
        <v>0</v>
      </c>
      <c r="T404" s="1056">
        <f t="shared" si="285"/>
        <v>0</v>
      </c>
      <c r="U404" s="1056">
        <v>0</v>
      </c>
      <c r="V404" s="1056">
        <v>0</v>
      </c>
      <c r="W404" s="1056">
        <f t="shared" si="285"/>
        <v>0</v>
      </c>
      <c r="X404" s="1056">
        <f t="shared" si="285"/>
        <v>0</v>
      </c>
      <c r="Y404" s="1076">
        <v>0</v>
      </c>
      <c r="Z404" s="1056">
        <f t="shared" si="285"/>
        <v>928048</v>
      </c>
      <c r="AA404" s="1056">
        <f t="shared" si="285"/>
        <v>0</v>
      </c>
    </row>
    <row r="405" spans="1:27" s="1067" customFormat="1" ht="100.15" customHeight="1">
      <c r="A405" s="1121"/>
      <c r="B405" s="1062" t="s">
        <v>1028</v>
      </c>
      <c r="C405" s="1056">
        <f>C406+C407</f>
        <v>12776900.84</v>
      </c>
      <c r="D405" s="1056">
        <f t="shared" ref="D405:AA405" si="286">D406+D407</f>
        <v>0</v>
      </c>
      <c r="E405" s="1056">
        <f t="shared" si="286"/>
        <v>0</v>
      </c>
      <c r="F405" s="1056">
        <f t="shared" si="286"/>
        <v>0</v>
      </c>
      <c r="G405" s="1056">
        <f t="shared" si="286"/>
        <v>0</v>
      </c>
      <c r="H405" s="1056">
        <f t="shared" si="286"/>
        <v>0</v>
      </c>
      <c r="I405" s="1056">
        <f t="shared" si="286"/>
        <v>0</v>
      </c>
      <c r="J405" s="1056">
        <f t="shared" si="286"/>
        <v>0</v>
      </c>
      <c r="K405" s="1056">
        <f t="shared" si="286"/>
        <v>0</v>
      </c>
      <c r="L405" s="1056">
        <f t="shared" si="286"/>
        <v>0</v>
      </c>
      <c r="M405" s="1056">
        <f t="shared" si="286"/>
        <v>0</v>
      </c>
      <c r="N405" s="1056">
        <f t="shared" si="286"/>
        <v>0</v>
      </c>
      <c r="O405" s="1056">
        <f t="shared" si="286"/>
        <v>2200</v>
      </c>
      <c r="P405" s="1056">
        <f t="shared" si="286"/>
        <v>11848852.84</v>
      </c>
      <c r="Q405" s="1056">
        <f t="shared" si="286"/>
        <v>0</v>
      </c>
      <c r="R405" s="1056">
        <f t="shared" si="286"/>
        <v>0</v>
      </c>
      <c r="S405" s="1056">
        <f t="shared" si="286"/>
        <v>0</v>
      </c>
      <c r="T405" s="1056">
        <f t="shared" si="286"/>
        <v>0</v>
      </c>
      <c r="U405" s="1056">
        <f t="shared" si="286"/>
        <v>0</v>
      </c>
      <c r="V405" s="1056">
        <f t="shared" si="286"/>
        <v>0</v>
      </c>
      <c r="W405" s="1056">
        <f t="shared" si="286"/>
        <v>0</v>
      </c>
      <c r="X405" s="1056">
        <f t="shared" si="286"/>
        <v>0</v>
      </c>
      <c r="Y405" s="1056">
        <f t="shared" si="286"/>
        <v>0</v>
      </c>
      <c r="Z405" s="1056">
        <f t="shared" si="286"/>
        <v>928048</v>
      </c>
      <c r="AA405" s="1056">
        <f t="shared" si="286"/>
        <v>0</v>
      </c>
    </row>
    <row r="406" spans="1:27" s="1067" customFormat="1" ht="108" customHeight="1">
      <c r="A406" s="1121">
        <v>51</v>
      </c>
      <c r="B406" s="1055" t="s">
        <v>1476</v>
      </c>
      <c r="C406" s="1056">
        <f t="shared" ref="C406:C407" si="287">D406+N406+P406+R406+T406+X406+Z406</f>
        <v>8130755.0800000001</v>
      </c>
      <c r="D406" s="1056">
        <v>0</v>
      </c>
      <c r="E406" s="1056">
        <v>0</v>
      </c>
      <c r="F406" s="1056">
        <v>0</v>
      </c>
      <c r="G406" s="1056">
        <v>0</v>
      </c>
      <c r="H406" s="1056">
        <v>0</v>
      </c>
      <c r="I406" s="1056">
        <v>0</v>
      </c>
      <c r="J406" s="1056">
        <v>0</v>
      </c>
      <c r="K406" s="1063">
        <v>0</v>
      </c>
      <c r="L406" s="1056">
        <v>0</v>
      </c>
      <c r="M406" s="1063">
        <v>0</v>
      </c>
      <c r="N406" s="1056">
        <v>0</v>
      </c>
      <c r="O406" s="1280">
        <v>1400</v>
      </c>
      <c r="P406" s="1056">
        <v>7540179.0800000001</v>
      </c>
      <c r="Q406" s="1056">
        <v>0</v>
      </c>
      <c r="R406" s="1056">
        <v>0</v>
      </c>
      <c r="S406" s="1056">
        <v>0</v>
      </c>
      <c r="T406" s="1056">
        <v>0</v>
      </c>
      <c r="U406" s="1056">
        <v>0</v>
      </c>
      <c r="V406" s="1056">
        <v>0</v>
      </c>
      <c r="W406" s="1056">
        <v>0</v>
      </c>
      <c r="X406" s="1056">
        <v>0</v>
      </c>
      <c r="Y406" s="1076">
        <v>0</v>
      </c>
      <c r="Z406" s="1056">
        <v>590576</v>
      </c>
      <c r="AA406" s="1056">
        <v>0</v>
      </c>
    </row>
    <row r="407" spans="1:27" s="1067" customFormat="1" ht="112.5" customHeight="1">
      <c r="A407" s="1121">
        <v>52</v>
      </c>
      <c r="B407" s="1055" t="s">
        <v>1477</v>
      </c>
      <c r="C407" s="1056">
        <f t="shared" si="287"/>
        <v>4646145.76</v>
      </c>
      <c r="D407" s="1056">
        <v>0</v>
      </c>
      <c r="E407" s="1056">
        <v>0</v>
      </c>
      <c r="F407" s="1056">
        <v>0</v>
      </c>
      <c r="G407" s="1056">
        <v>0</v>
      </c>
      <c r="H407" s="1056">
        <v>0</v>
      </c>
      <c r="I407" s="1056">
        <v>0</v>
      </c>
      <c r="J407" s="1056">
        <v>0</v>
      </c>
      <c r="K407" s="1063">
        <v>0</v>
      </c>
      <c r="L407" s="1056">
        <v>0</v>
      </c>
      <c r="M407" s="1063">
        <v>0</v>
      </c>
      <c r="N407" s="1056">
        <v>0</v>
      </c>
      <c r="O407" s="1280">
        <v>800</v>
      </c>
      <c r="P407" s="1056">
        <v>4308673.76</v>
      </c>
      <c r="Q407" s="1056">
        <v>0</v>
      </c>
      <c r="R407" s="1056">
        <v>0</v>
      </c>
      <c r="S407" s="1056">
        <v>0</v>
      </c>
      <c r="T407" s="1056">
        <v>0</v>
      </c>
      <c r="U407" s="1056">
        <v>0</v>
      </c>
      <c r="V407" s="1056">
        <v>0</v>
      </c>
      <c r="W407" s="1056">
        <v>0</v>
      </c>
      <c r="X407" s="1056">
        <v>0</v>
      </c>
      <c r="Y407" s="1076">
        <v>0</v>
      </c>
      <c r="Z407" s="1056">
        <v>337472</v>
      </c>
      <c r="AA407" s="1056">
        <v>0</v>
      </c>
    </row>
    <row r="408" spans="1:27" s="1067" customFormat="1" ht="105.75" customHeight="1">
      <c r="A408" s="1121"/>
      <c r="B408" s="1062" t="s">
        <v>1067</v>
      </c>
      <c r="C408" s="1056">
        <f>C409+C410+C411+C412</f>
        <v>20209721.780000001</v>
      </c>
      <c r="D408" s="1056">
        <f t="shared" ref="D408:AA408" si="288">D409+D410+D411+D412</f>
        <v>0</v>
      </c>
      <c r="E408" s="1056">
        <f t="shared" si="288"/>
        <v>0</v>
      </c>
      <c r="F408" s="1056">
        <f t="shared" si="288"/>
        <v>0</v>
      </c>
      <c r="G408" s="1056">
        <f t="shared" si="288"/>
        <v>0</v>
      </c>
      <c r="H408" s="1056">
        <f t="shared" si="288"/>
        <v>0</v>
      </c>
      <c r="I408" s="1056">
        <f t="shared" si="288"/>
        <v>0</v>
      </c>
      <c r="J408" s="1056">
        <f t="shared" si="288"/>
        <v>0</v>
      </c>
      <c r="K408" s="1056">
        <f t="shared" si="288"/>
        <v>0</v>
      </c>
      <c r="L408" s="1056">
        <f t="shared" si="288"/>
        <v>0</v>
      </c>
      <c r="M408" s="1056">
        <f t="shared" si="288"/>
        <v>0</v>
      </c>
      <c r="N408" s="1056">
        <f t="shared" si="288"/>
        <v>0</v>
      </c>
      <c r="O408" s="1056">
        <f t="shared" si="288"/>
        <v>1953.5</v>
      </c>
      <c r="P408" s="1056">
        <f t="shared" si="288"/>
        <v>14523835</v>
      </c>
      <c r="Q408" s="1056">
        <f t="shared" si="288"/>
        <v>0</v>
      </c>
      <c r="R408" s="1056">
        <f t="shared" si="288"/>
        <v>0</v>
      </c>
      <c r="S408" s="1056">
        <f t="shared" si="288"/>
        <v>454</v>
      </c>
      <c r="T408" s="1056">
        <f t="shared" si="288"/>
        <v>1961053.27</v>
      </c>
      <c r="U408" s="1056">
        <f t="shared" si="288"/>
        <v>454</v>
      </c>
      <c r="V408" s="1056">
        <f t="shared" si="288"/>
        <v>2256903.83</v>
      </c>
      <c r="W408" s="1056">
        <f t="shared" si="288"/>
        <v>0</v>
      </c>
      <c r="X408" s="1056">
        <f t="shared" si="288"/>
        <v>0</v>
      </c>
      <c r="Y408" s="1056">
        <f t="shared" si="288"/>
        <v>0</v>
      </c>
      <c r="Z408" s="1056">
        <f t="shared" si="288"/>
        <v>1467929.6800000002</v>
      </c>
      <c r="AA408" s="1056">
        <f t="shared" si="288"/>
        <v>0</v>
      </c>
    </row>
    <row r="409" spans="1:27" s="1067" customFormat="1" ht="99.6" customHeight="1">
      <c r="A409" s="1121">
        <v>53</v>
      </c>
      <c r="B409" s="1247" t="s">
        <v>1527</v>
      </c>
      <c r="C409" s="1056">
        <f>D409+N409+P409+R409+T409+X409+Z409+V409</f>
        <v>4548323.82</v>
      </c>
      <c r="D409" s="1056">
        <f t="shared" ref="D409" si="289">SUM(E409:J409)</f>
        <v>0</v>
      </c>
      <c r="E409" s="1056">
        <v>0</v>
      </c>
      <c r="F409" s="1056">
        <v>0</v>
      </c>
      <c r="G409" s="1056">
        <v>0</v>
      </c>
      <c r="H409" s="1056">
        <v>0</v>
      </c>
      <c r="I409" s="1056">
        <v>0</v>
      </c>
      <c r="J409" s="1056">
        <v>0</v>
      </c>
      <c r="K409" s="1063">
        <v>0</v>
      </c>
      <c r="L409" s="1056">
        <v>0</v>
      </c>
      <c r="M409" s="1063">
        <v>0</v>
      </c>
      <c r="N409" s="1056">
        <v>0</v>
      </c>
      <c r="O409" s="1056">
        <v>0</v>
      </c>
      <c r="P409" s="1056">
        <v>0</v>
      </c>
      <c r="Q409" s="1056">
        <v>0</v>
      </c>
      <c r="R409" s="1056">
        <v>0</v>
      </c>
      <c r="S409" s="1056">
        <v>454</v>
      </c>
      <c r="T409" s="1056">
        <v>1961053.27</v>
      </c>
      <c r="U409" s="1056">
        <v>454</v>
      </c>
      <c r="V409" s="1056">
        <v>2256903.83</v>
      </c>
      <c r="W409" s="1056">
        <v>0</v>
      </c>
      <c r="X409" s="1056">
        <v>0</v>
      </c>
      <c r="Y409" s="1076">
        <v>0</v>
      </c>
      <c r="Z409" s="1281">
        <v>330366.71999999997</v>
      </c>
      <c r="AA409" s="1056">
        <v>0</v>
      </c>
    </row>
    <row r="410" spans="1:27" s="1067" customFormat="1" ht="99.6" customHeight="1">
      <c r="A410" s="1121">
        <v>54</v>
      </c>
      <c r="B410" s="1233" t="s">
        <v>1528</v>
      </c>
      <c r="C410" s="1056">
        <f t="shared" ref="C410:C412" si="290">D410+N410+P410+R410+T410+X410+Z410</f>
        <v>5409275.21</v>
      </c>
      <c r="D410" s="1056">
        <f t="shared" ref="D410:D412" si="291">SUM(E410:J410)</f>
        <v>0</v>
      </c>
      <c r="E410" s="1056">
        <v>0</v>
      </c>
      <c r="F410" s="1056">
        <v>0</v>
      </c>
      <c r="G410" s="1056">
        <v>0</v>
      </c>
      <c r="H410" s="1056">
        <v>0</v>
      </c>
      <c r="I410" s="1056">
        <v>0</v>
      </c>
      <c r="J410" s="1056">
        <v>0</v>
      </c>
      <c r="K410" s="1063">
        <v>0</v>
      </c>
      <c r="L410" s="1056">
        <v>0</v>
      </c>
      <c r="M410" s="1063">
        <v>0</v>
      </c>
      <c r="N410" s="1056">
        <v>0</v>
      </c>
      <c r="O410" s="1269">
        <v>931.4</v>
      </c>
      <c r="P410" s="1056">
        <v>5016373.43</v>
      </c>
      <c r="Q410" s="1056">
        <v>0</v>
      </c>
      <c r="R410" s="1056">
        <v>0</v>
      </c>
      <c r="S410" s="1056">
        <v>0</v>
      </c>
      <c r="T410" s="1056">
        <v>0</v>
      </c>
      <c r="U410" s="1056">
        <v>0</v>
      </c>
      <c r="V410" s="1056">
        <v>0</v>
      </c>
      <c r="W410" s="1056">
        <v>0</v>
      </c>
      <c r="X410" s="1056">
        <v>0</v>
      </c>
      <c r="Y410" s="1076">
        <v>0</v>
      </c>
      <c r="Z410" s="1269">
        <v>392901.78</v>
      </c>
      <c r="AA410" s="1056">
        <v>0</v>
      </c>
    </row>
    <row r="411" spans="1:27" s="1067" customFormat="1" ht="107.25" customHeight="1">
      <c r="A411" s="1121">
        <v>55</v>
      </c>
      <c r="B411" s="1247" t="s">
        <v>1529</v>
      </c>
      <c r="C411" s="1056">
        <f t="shared" si="290"/>
        <v>4645101.3099999996</v>
      </c>
      <c r="D411" s="1056">
        <f t="shared" si="291"/>
        <v>0</v>
      </c>
      <c r="E411" s="1056">
        <v>0</v>
      </c>
      <c r="F411" s="1056">
        <v>0</v>
      </c>
      <c r="G411" s="1056">
        <v>0</v>
      </c>
      <c r="H411" s="1056">
        <v>0</v>
      </c>
      <c r="I411" s="1056">
        <v>0</v>
      </c>
      <c r="J411" s="1056">
        <v>0</v>
      </c>
      <c r="K411" s="1063">
        <v>0</v>
      </c>
      <c r="L411" s="1056">
        <v>0</v>
      </c>
      <c r="M411" s="1063">
        <v>0</v>
      </c>
      <c r="N411" s="1056">
        <v>0</v>
      </c>
      <c r="O411" s="1281">
        <v>463.1</v>
      </c>
      <c r="P411" s="1282">
        <v>4307705.17</v>
      </c>
      <c r="Q411" s="1056">
        <v>0</v>
      </c>
      <c r="R411" s="1056">
        <v>0</v>
      </c>
      <c r="S411" s="1056">
        <v>0</v>
      </c>
      <c r="T411" s="1056">
        <v>0</v>
      </c>
      <c r="U411" s="1056">
        <v>0</v>
      </c>
      <c r="V411" s="1056">
        <v>0</v>
      </c>
      <c r="W411" s="1056">
        <v>0</v>
      </c>
      <c r="X411" s="1056">
        <v>0</v>
      </c>
      <c r="Y411" s="1076">
        <v>0</v>
      </c>
      <c r="Z411" s="1283">
        <v>337396.14</v>
      </c>
      <c r="AA411" s="1056">
        <v>0</v>
      </c>
    </row>
    <row r="412" spans="1:27" s="1067" customFormat="1" ht="96.6" customHeight="1">
      <c r="A412" s="1121">
        <v>56</v>
      </c>
      <c r="B412" s="1247" t="s">
        <v>1530</v>
      </c>
      <c r="C412" s="1056">
        <f t="shared" si="290"/>
        <v>5607021.4400000004</v>
      </c>
      <c r="D412" s="1056">
        <f t="shared" si="291"/>
        <v>0</v>
      </c>
      <c r="E412" s="1056">
        <v>0</v>
      </c>
      <c r="F412" s="1056">
        <v>0</v>
      </c>
      <c r="G412" s="1056">
        <v>0</v>
      </c>
      <c r="H412" s="1056">
        <v>0</v>
      </c>
      <c r="I412" s="1056">
        <v>0</v>
      </c>
      <c r="J412" s="1056">
        <v>0</v>
      </c>
      <c r="K412" s="1063">
        <v>0</v>
      </c>
      <c r="L412" s="1056">
        <v>0</v>
      </c>
      <c r="M412" s="1063">
        <v>0</v>
      </c>
      <c r="N412" s="1056">
        <v>0</v>
      </c>
      <c r="O412" s="1284">
        <v>559</v>
      </c>
      <c r="P412" s="1284">
        <v>5199756.4000000004</v>
      </c>
      <c r="Q412" s="1056">
        <v>0</v>
      </c>
      <c r="R412" s="1056">
        <v>0</v>
      </c>
      <c r="S412" s="1056">
        <v>0</v>
      </c>
      <c r="T412" s="1056">
        <v>0</v>
      </c>
      <c r="U412" s="1056">
        <v>0</v>
      </c>
      <c r="V412" s="1056">
        <v>0</v>
      </c>
      <c r="W412" s="1056">
        <v>0</v>
      </c>
      <c r="X412" s="1056">
        <v>0</v>
      </c>
      <c r="Y412" s="1076">
        <v>0</v>
      </c>
      <c r="Z412" s="1246">
        <v>407265.04</v>
      </c>
      <c r="AA412" s="1056">
        <v>0</v>
      </c>
    </row>
    <row r="413" spans="1:27" s="1075" customFormat="1" ht="136.5" customHeight="1">
      <c r="A413" s="1232"/>
      <c r="B413" s="1062" t="s">
        <v>1243</v>
      </c>
      <c r="C413" s="1056">
        <f>C414+C415+C416+C417</f>
        <v>20850496.600000001</v>
      </c>
      <c r="D413" s="1056">
        <f t="shared" ref="D413:AA413" si="292">D414+D415+D416+D417</f>
        <v>0</v>
      </c>
      <c r="E413" s="1056">
        <f t="shared" si="292"/>
        <v>0</v>
      </c>
      <c r="F413" s="1056">
        <f t="shared" si="292"/>
        <v>0</v>
      </c>
      <c r="G413" s="1056">
        <f t="shared" si="292"/>
        <v>0</v>
      </c>
      <c r="H413" s="1056">
        <f t="shared" si="292"/>
        <v>0</v>
      </c>
      <c r="I413" s="1056">
        <f t="shared" si="292"/>
        <v>0</v>
      </c>
      <c r="J413" s="1056">
        <f t="shared" si="292"/>
        <v>0</v>
      </c>
      <c r="K413" s="1056">
        <f t="shared" si="292"/>
        <v>0</v>
      </c>
      <c r="L413" s="1056">
        <f t="shared" si="292"/>
        <v>0</v>
      </c>
      <c r="M413" s="1056">
        <f t="shared" si="292"/>
        <v>0</v>
      </c>
      <c r="N413" s="1056">
        <f t="shared" si="292"/>
        <v>0</v>
      </c>
      <c r="O413" s="1056">
        <f t="shared" si="292"/>
        <v>2078.7200000000003</v>
      </c>
      <c r="P413" s="1056">
        <f t="shared" si="292"/>
        <v>19336024.359999999</v>
      </c>
      <c r="Q413" s="1056">
        <f t="shared" si="292"/>
        <v>0</v>
      </c>
      <c r="R413" s="1056">
        <f t="shared" si="292"/>
        <v>0</v>
      </c>
      <c r="S413" s="1056">
        <f t="shared" si="292"/>
        <v>0</v>
      </c>
      <c r="T413" s="1056">
        <f t="shared" si="292"/>
        <v>0</v>
      </c>
      <c r="U413" s="1056">
        <f t="shared" si="292"/>
        <v>0</v>
      </c>
      <c r="V413" s="1056">
        <f t="shared" si="292"/>
        <v>0</v>
      </c>
      <c r="W413" s="1056">
        <f t="shared" si="292"/>
        <v>0</v>
      </c>
      <c r="X413" s="1056">
        <f t="shared" si="292"/>
        <v>0</v>
      </c>
      <c r="Y413" s="1056">
        <f t="shared" si="292"/>
        <v>0</v>
      </c>
      <c r="Z413" s="1056">
        <f t="shared" si="292"/>
        <v>1514472.2399999998</v>
      </c>
      <c r="AA413" s="1056">
        <f t="shared" si="292"/>
        <v>0</v>
      </c>
    </row>
    <row r="414" spans="1:27" s="1071" customFormat="1" ht="99.75" customHeight="1">
      <c r="A414" s="1121">
        <v>57</v>
      </c>
      <c r="B414" s="1062" t="s">
        <v>1426</v>
      </c>
      <c r="C414" s="1056">
        <f>D414+N414+P414+R414+T414+X414+Z414</f>
        <v>4366254.8</v>
      </c>
      <c r="D414" s="1056">
        <f t="shared" ref="D414" si="293">SUM(E414:J414)</f>
        <v>0</v>
      </c>
      <c r="E414" s="1056">
        <v>0</v>
      </c>
      <c r="F414" s="1056">
        <v>0</v>
      </c>
      <c r="G414" s="1056">
        <v>0</v>
      </c>
      <c r="H414" s="1056">
        <v>0</v>
      </c>
      <c r="I414" s="1056">
        <v>0</v>
      </c>
      <c r="J414" s="1056">
        <v>0</v>
      </c>
      <c r="K414" s="1063">
        <v>0</v>
      </c>
      <c r="L414" s="1056">
        <v>0</v>
      </c>
      <c r="M414" s="1063">
        <v>0</v>
      </c>
      <c r="N414" s="1056">
        <v>0</v>
      </c>
      <c r="O414" s="1056">
        <v>435.3</v>
      </c>
      <c r="P414" s="1056">
        <v>4049112.63</v>
      </c>
      <c r="Q414" s="1056">
        <v>0</v>
      </c>
      <c r="R414" s="1056">
        <v>0</v>
      </c>
      <c r="S414" s="1056">
        <v>0</v>
      </c>
      <c r="T414" s="1056">
        <v>0</v>
      </c>
      <c r="U414" s="1076">
        <v>0</v>
      </c>
      <c r="V414" s="1076">
        <v>0</v>
      </c>
      <c r="W414" s="1056">
        <v>0</v>
      </c>
      <c r="X414" s="1056">
        <v>0</v>
      </c>
      <c r="Y414" s="1056">
        <v>0</v>
      </c>
      <c r="Z414" s="1056">
        <v>317142.17</v>
      </c>
      <c r="AA414" s="1056">
        <v>0</v>
      </c>
    </row>
    <row r="415" spans="1:27" s="1071" customFormat="1" ht="91.5" customHeight="1">
      <c r="A415" s="1121">
        <v>58</v>
      </c>
      <c r="B415" s="1062" t="s">
        <v>1427</v>
      </c>
      <c r="C415" s="1056">
        <f t="shared" ref="C415:C416" si="294">D415+N415+P415+R415+T415+X415+Z415</f>
        <v>7003460.6600000001</v>
      </c>
      <c r="D415" s="1056">
        <f t="shared" ref="D415:D416" si="295">SUM(E415:J415)</f>
        <v>0</v>
      </c>
      <c r="E415" s="1056">
        <v>0</v>
      </c>
      <c r="F415" s="1056">
        <v>0</v>
      </c>
      <c r="G415" s="1056">
        <v>0</v>
      </c>
      <c r="H415" s="1056">
        <v>0</v>
      </c>
      <c r="I415" s="1056">
        <v>0</v>
      </c>
      <c r="J415" s="1056">
        <v>0</v>
      </c>
      <c r="K415" s="1063">
        <v>0</v>
      </c>
      <c r="L415" s="1056">
        <v>0</v>
      </c>
      <c r="M415" s="1063">
        <v>0</v>
      </c>
      <c r="N415" s="1056">
        <v>0</v>
      </c>
      <c r="O415" s="1056">
        <v>698.22</v>
      </c>
      <c r="P415" s="1056">
        <v>6494765.5</v>
      </c>
      <c r="Q415" s="1056">
        <v>0</v>
      </c>
      <c r="R415" s="1056">
        <v>0</v>
      </c>
      <c r="S415" s="1056">
        <v>0</v>
      </c>
      <c r="T415" s="1056">
        <v>0</v>
      </c>
      <c r="U415" s="1076">
        <v>0</v>
      </c>
      <c r="V415" s="1076">
        <v>0</v>
      </c>
      <c r="W415" s="1056">
        <v>0</v>
      </c>
      <c r="X415" s="1056">
        <v>0</v>
      </c>
      <c r="Y415" s="1056">
        <v>0</v>
      </c>
      <c r="Z415" s="1056">
        <v>508695.16</v>
      </c>
      <c r="AA415" s="1056">
        <v>0</v>
      </c>
    </row>
    <row r="416" spans="1:27" s="1075" customFormat="1" ht="127.5" customHeight="1">
      <c r="A416" s="1121">
        <v>59</v>
      </c>
      <c r="B416" s="1062" t="s">
        <v>1428</v>
      </c>
      <c r="C416" s="1056">
        <f t="shared" si="294"/>
        <v>4313093.41</v>
      </c>
      <c r="D416" s="1056">
        <f t="shared" si="295"/>
        <v>0</v>
      </c>
      <c r="E416" s="1056">
        <v>0</v>
      </c>
      <c r="F416" s="1056">
        <v>0</v>
      </c>
      <c r="G416" s="1056">
        <v>0</v>
      </c>
      <c r="H416" s="1056">
        <v>0</v>
      </c>
      <c r="I416" s="1056">
        <v>0</v>
      </c>
      <c r="J416" s="1056">
        <v>0</v>
      </c>
      <c r="K416" s="1063">
        <v>0</v>
      </c>
      <c r="L416" s="1056">
        <v>0</v>
      </c>
      <c r="M416" s="1063">
        <v>0</v>
      </c>
      <c r="N416" s="1056">
        <v>0</v>
      </c>
      <c r="O416" s="1056">
        <v>430</v>
      </c>
      <c r="P416" s="1056">
        <v>3999812.61</v>
      </c>
      <c r="Q416" s="1056">
        <v>0</v>
      </c>
      <c r="R416" s="1056">
        <v>0</v>
      </c>
      <c r="S416" s="1056">
        <v>0</v>
      </c>
      <c r="T416" s="1056">
        <v>0</v>
      </c>
      <c r="U416" s="1076">
        <v>0</v>
      </c>
      <c r="V416" s="1076">
        <v>0</v>
      </c>
      <c r="W416" s="1056">
        <v>0</v>
      </c>
      <c r="X416" s="1056">
        <v>0</v>
      </c>
      <c r="Y416" s="1056">
        <v>0</v>
      </c>
      <c r="Z416" s="1056">
        <v>313280.8</v>
      </c>
      <c r="AA416" s="1056">
        <v>0</v>
      </c>
    </row>
    <row r="417" spans="1:27" s="1075" customFormat="1" ht="127.5" customHeight="1">
      <c r="A417" s="1121">
        <v>60</v>
      </c>
      <c r="B417" s="1062" t="s">
        <v>1586</v>
      </c>
      <c r="C417" s="1056">
        <f t="shared" ref="C417" si="296">D417+N417+P417+R417+T417+X417+Z417</f>
        <v>5167687.7300000004</v>
      </c>
      <c r="D417" s="1056">
        <f t="shared" ref="D417" si="297">SUM(E417:J417)</f>
        <v>0</v>
      </c>
      <c r="E417" s="1056">
        <v>0</v>
      </c>
      <c r="F417" s="1056">
        <v>0</v>
      </c>
      <c r="G417" s="1056">
        <v>0</v>
      </c>
      <c r="H417" s="1056">
        <v>0</v>
      </c>
      <c r="I417" s="1056">
        <v>0</v>
      </c>
      <c r="J417" s="1056">
        <v>0</v>
      </c>
      <c r="K417" s="1063">
        <v>0</v>
      </c>
      <c r="L417" s="1056">
        <v>0</v>
      </c>
      <c r="M417" s="1063">
        <v>0</v>
      </c>
      <c r="N417" s="1056">
        <v>0</v>
      </c>
      <c r="O417" s="1056">
        <v>515.20000000000005</v>
      </c>
      <c r="P417" s="1056">
        <v>4792333.62</v>
      </c>
      <c r="Q417" s="1056">
        <v>0</v>
      </c>
      <c r="R417" s="1056">
        <v>0</v>
      </c>
      <c r="S417" s="1056">
        <v>0</v>
      </c>
      <c r="T417" s="1056">
        <v>0</v>
      </c>
      <c r="U417" s="1076">
        <v>0</v>
      </c>
      <c r="V417" s="1076">
        <v>0</v>
      </c>
      <c r="W417" s="1056">
        <v>0</v>
      </c>
      <c r="X417" s="1056">
        <v>0</v>
      </c>
      <c r="Y417" s="1056">
        <v>0</v>
      </c>
      <c r="Z417" s="1056">
        <v>375354.11</v>
      </c>
      <c r="AA417" s="1056">
        <v>0</v>
      </c>
    </row>
    <row r="418" spans="1:27" s="1067" customFormat="1" ht="67.900000000000006" customHeight="1">
      <c r="A418" s="1121"/>
      <c r="B418" s="1062" t="s">
        <v>53</v>
      </c>
      <c r="C418" s="1056">
        <f>C419+C430+C432+C428+C426</f>
        <v>72935585.960000008</v>
      </c>
      <c r="D418" s="1056">
        <f t="shared" ref="D418:AA418" si="298">D419+D430+D432+D428+D426</f>
        <v>0</v>
      </c>
      <c r="E418" s="1056">
        <f t="shared" si="298"/>
        <v>0</v>
      </c>
      <c r="F418" s="1056">
        <f t="shared" si="298"/>
        <v>0</v>
      </c>
      <c r="G418" s="1056">
        <f t="shared" si="298"/>
        <v>0</v>
      </c>
      <c r="H418" s="1056">
        <f t="shared" si="298"/>
        <v>0</v>
      </c>
      <c r="I418" s="1056">
        <f t="shared" si="298"/>
        <v>0</v>
      </c>
      <c r="J418" s="1056">
        <f t="shared" si="298"/>
        <v>0</v>
      </c>
      <c r="K418" s="1056">
        <f t="shared" si="298"/>
        <v>0</v>
      </c>
      <c r="L418" s="1056">
        <f t="shared" si="298"/>
        <v>0</v>
      </c>
      <c r="M418" s="1056">
        <f t="shared" si="298"/>
        <v>0</v>
      </c>
      <c r="N418" s="1056">
        <f t="shared" si="298"/>
        <v>0</v>
      </c>
      <c r="O418" s="1056">
        <f t="shared" si="298"/>
        <v>3413</v>
      </c>
      <c r="P418" s="1056">
        <f t="shared" si="298"/>
        <v>22374276.799999997</v>
      </c>
      <c r="Q418" s="1056">
        <f t="shared" si="298"/>
        <v>0</v>
      </c>
      <c r="R418" s="1056">
        <f t="shared" si="298"/>
        <v>0</v>
      </c>
      <c r="S418" s="1056">
        <f t="shared" si="298"/>
        <v>8336</v>
      </c>
      <c r="T418" s="1056">
        <f t="shared" si="298"/>
        <v>36007357.010000005</v>
      </c>
      <c r="U418" s="1056">
        <f t="shared" si="298"/>
        <v>0</v>
      </c>
      <c r="V418" s="1056">
        <f t="shared" si="298"/>
        <v>0</v>
      </c>
      <c r="W418" s="1056">
        <f t="shared" si="298"/>
        <v>0</v>
      </c>
      <c r="X418" s="1056">
        <f t="shared" si="298"/>
        <v>0</v>
      </c>
      <c r="Y418" s="1056">
        <f t="shared" si="298"/>
        <v>0</v>
      </c>
      <c r="Z418" s="1056">
        <f t="shared" si="298"/>
        <v>5297663.7700000005</v>
      </c>
      <c r="AA418" s="1056">
        <f t="shared" si="298"/>
        <v>0</v>
      </c>
    </row>
    <row r="419" spans="1:27" s="1067" customFormat="1" ht="153.75" customHeight="1">
      <c r="A419" s="1121"/>
      <c r="B419" s="1062" t="s">
        <v>1262</v>
      </c>
      <c r="C419" s="1056">
        <f t="shared" ref="C419:T419" si="299">SUM(C420:C425)</f>
        <v>58289329.660000004</v>
      </c>
      <c r="D419" s="1056">
        <f t="shared" si="299"/>
        <v>0</v>
      </c>
      <c r="E419" s="1056">
        <f t="shared" si="299"/>
        <v>0</v>
      </c>
      <c r="F419" s="1056">
        <f t="shared" si="299"/>
        <v>0</v>
      </c>
      <c r="G419" s="1056">
        <f t="shared" si="299"/>
        <v>0</v>
      </c>
      <c r="H419" s="1056">
        <f t="shared" si="299"/>
        <v>0</v>
      </c>
      <c r="I419" s="1056">
        <f t="shared" si="299"/>
        <v>0</v>
      </c>
      <c r="J419" s="1056">
        <f t="shared" si="299"/>
        <v>0</v>
      </c>
      <c r="K419" s="1056">
        <f t="shared" si="299"/>
        <v>0</v>
      </c>
      <c r="L419" s="1056">
        <f t="shared" si="299"/>
        <v>0</v>
      </c>
      <c r="M419" s="1056">
        <f t="shared" si="299"/>
        <v>0</v>
      </c>
      <c r="N419" s="1056">
        <f t="shared" si="299"/>
        <v>0</v>
      </c>
      <c r="O419" s="1056">
        <f t="shared" si="299"/>
        <v>1632.4</v>
      </c>
      <c r="P419" s="1056">
        <f t="shared" si="299"/>
        <v>8791848.8100000005</v>
      </c>
      <c r="Q419" s="1056">
        <f t="shared" si="299"/>
        <v>0</v>
      </c>
      <c r="R419" s="1056">
        <f t="shared" si="299"/>
        <v>0</v>
      </c>
      <c r="S419" s="1056">
        <f t="shared" si="299"/>
        <v>8336</v>
      </c>
      <c r="T419" s="1056">
        <f t="shared" si="299"/>
        <v>36007357.010000005</v>
      </c>
      <c r="U419" s="1056">
        <v>0</v>
      </c>
      <c r="V419" s="1056">
        <v>0</v>
      </c>
      <c r="W419" s="1056">
        <f>SUM(W420:W425)</f>
        <v>0</v>
      </c>
      <c r="X419" s="1056">
        <f>SUM(X420:X425)</f>
        <v>0</v>
      </c>
      <c r="Y419" s="1056">
        <f>SUM(Y420:Y425)</f>
        <v>0</v>
      </c>
      <c r="Z419" s="1056">
        <f>SUM(Z420:Z425)</f>
        <v>4233835.46</v>
      </c>
      <c r="AA419" s="1056">
        <f>SUM(AA420:AA425)</f>
        <v>0</v>
      </c>
    </row>
    <row r="420" spans="1:27" s="1067" customFormat="1" ht="90" customHeight="1">
      <c r="A420" s="1121">
        <v>61</v>
      </c>
      <c r="B420" s="1062" t="s">
        <v>1671</v>
      </c>
      <c r="C420" s="1068">
        <f>D420+N420+P420+R420+T420+X420+Z420+V420</f>
        <v>13488809.460000001</v>
      </c>
      <c r="D420" s="1068">
        <f t="shared" ref="D420:D424" si="300">SUM(E420:J420)</f>
        <v>0</v>
      </c>
      <c r="E420" s="1068">
        <v>0</v>
      </c>
      <c r="F420" s="1068">
        <v>0</v>
      </c>
      <c r="G420" s="1068">
        <v>0</v>
      </c>
      <c r="H420" s="1068">
        <v>0</v>
      </c>
      <c r="I420" s="1068">
        <v>0</v>
      </c>
      <c r="J420" s="1068">
        <v>0</v>
      </c>
      <c r="K420" s="1063">
        <v>0</v>
      </c>
      <c r="L420" s="1068">
        <v>0</v>
      </c>
      <c r="M420" s="1063">
        <v>0</v>
      </c>
      <c r="N420" s="1068">
        <v>0</v>
      </c>
      <c r="O420" s="1068">
        <v>0</v>
      </c>
      <c r="P420" s="1068">
        <v>0</v>
      </c>
      <c r="Q420" s="1068">
        <v>0</v>
      </c>
      <c r="R420" s="1068">
        <v>0</v>
      </c>
      <c r="S420" s="1068">
        <v>2431</v>
      </c>
      <c r="T420" s="1068">
        <v>10500705.960000001</v>
      </c>
      <c r="U420" s="1056">
        <v>404</v>
      </c>
      <c r="V420" s="1056">
        <v>2008346.14</v>
      </c>
      <c r="W420" s="1068">
        <v>0</v>
      </c>
      <c r="X420" s="1068">
        <v>0</v>
      </c>
      <c r="Y420" s="1076">
        <v>0</v>
      </c>
      <c r="Z420" s="1068">
        <v>979757.36</v>
      </c>
      <c r="AA420" s="1068">
        <v>0</v>
      </c>
    </row>
    <row r="421" spans="1:27" s="1067" customFormat="1" ht="105.75" customHeight="1">
      <c r="A421" s="1121">
        <v>62</v>
      </c>
      <c r="B421" s="1062" t="s">
        <v>1645</v>
      </c>
      <c r="C421" s="1068">
        <f t="shared" ref="C421:C425" si="301">D421+N421+P421+R421+T421+X421+Z421+V421</f>
        <v>3967260.42</v>
      </c>
      <c r="D421" s="1068">
        <f t="shared" si="300"/>
        <v>0</v>
      </c>
      <c r="E421" s="1068">
        <v>0</v>
      </c>
      <c r="F421" s="1068">
        <v>0</v>
      </c>
      <c r="G421" s="1068">
        <v>0</v>
      </c>
      <c r="H421" s="1068">
        <v>0</v>
      </c>
      <c r="I421" s="1068">
        <v>0</v>
      </c>
      <c r="J421" s="1068">
        <v>0</v>
      </c>
      <c r="K421" s="1063">
        <v>0</v>
      </c>
      <c r="L421" s="1068">
        <v>0</v>
      </c>
      <c r="M421" s="1063">
        <v>0</v>
      </c>
      <c r="N421" s="1068">
        <v>0</v>
      </c>
      <c r="O421" s="1068">
        <v>0</v>
      </c>
      <c r="P421" s="1068">
        <v>0</v>
      </c>
      <c r="Q421" s="1068">
        <v>0</v>
      </c>
      <c r="R421" s="1068">
        <v>0</v>
      </c>
      <c r="S421" s="1068">
        <v>396</v>
      </c>
      <c r="T421" s="1068">
        <v>1710522.24</v>
      </c>
      <c r="U421" s="1056">
        <v>396</v>
      </c>
      <c r="V421" s="1056">
        <v>1968576.9</v>
      </c>
      <c r="W421" s="1068">
        <v>0</v>
      </c>
      <c r="X421" s="1068">
        <v>0</v>
      </c>
      <c r="Y421" s="1076">
        <v>0</v>
      </c>
      <c r="Z421" s="1068">
        <v>288161.28000000003</v>
      </c>
      <c r="AA421" s="1068">
        <v>0</v>
      </c>
    </row>
    <row r="422" spans="1:27" s="1067" customFormat="1" ht="95.25" customHeight="1">
      <c r="A422" s="1121">
        <v>63</v>
      </c>
      <c r="B422" s="1062" t="s">
        <v>1646</v>
      </c>
      <c r="C422" s="1068">
        <f t="shared" si="301"/>
        <v>13525630.360000001</v>
      </c>
      <c r="D422" s="1068">
        <f t="shared" si="300"/>
        <v>0</v>
      </c>
      <c r="E422" s="1068">
        <v>0</v>
      </c>
      <c r="F422" s="1068">
        <v>0</v>
      </c>
      <c r="G422" s="1068">
        <v>0</v>
      </c>
      <c r="H422" s="1068">
        <v>0</v>
      </c>
      <c r="I422" s="1068">
        <v>0</v>
      </c>
      <c r="J422" s="1068">
        <v>0</v>
      </c>
      <c r="K422" s="1063">
        <v>0</v>
      </c>
      <c r="L422" s="1068">
        <v>0</v>
      </c>
      <c r="M422" s="1063">
        <v>0</v>
      </c>
      <c r="N422" s="1068">
        <v>0</v>
      </c>
      <c r="O422" s="1068">
        <v>0</v>
      </c>
      <c r="P422" s="1068">
        <v>0</v>
      </c>
      <c r="Q422" s="1068">
        <v>0</v>
      </c>
      <c r="R422" s="1068">
        <v>0</v>
      </c>
      <c r="S422" s="1068">
        <v>2432</v>
      </c>
      <c r="T422" s="1068">
        <v>10505025.460000001</v>
      </c>
      <c r="U422" s="1056">
        <v>410</v>
      </c>
      <c r="V422" s="1056">
        <v>2038173.06</v>
      </c>
      <c r="W422" s="1068">
        <v>0</v>
      </c>
      <c r="X422" s="1068">
        <v>0</v>
      </c>
      <c r="Y422" s="1076">
        <v>0</v>
      </c>
      <c r="Z422" s="1068">
        <v>982431.84</v>
      </c>
      <c r="AA422" s="1068">
        <v>0</v>
      </c>
    </row>
    <row r="423" spans="1:27" s="1067" customFormat="1" ht="90" customHeight="1">
      <c r="A423" s="1121">
        <v>64</v>
      </c>
      <c r="B423" s="1062" t="s">
        <v>1672</v>
      </c>
      <c r="C423" s="1068">
        <f t="shared" si="301"/>
        <v>17827168.989999998</v>
      </c>
      <c r="D423" s="1068">
        <f t="shared" si="300"/>
        <v>0</v>
      </c>
      <c r="E423" s="1068">
        <v>0</v>
      </c>
      <c r="F423" s="1068">
        <v>0</v>
      </c>
      <c r="G423" s="1068">
        <v>0</v>
      </c>
      <c r="H423" s="1068">
        <v>0</v>
      </c>
      <c r="I423" s="1068">
        <v>0</v>
      </c>
      <c r="J423" s="1068">
        <v>0</v>
      </c>
      <c r="K423" s="1063">
        <v>0</v>
      </c>
      <c r="L423" s="1068">
        <v>0</v>
      </c>
      <c r="M423" s="1063">
        <v>0</v>
      </c>
      <c r="N423" s="1068">
        <v>0</v>
      </c>
      <c r="O423" s="1068">
        <v>0</v>
      </c>
      <c r="P423" s="1068">
        <v>0</v>
      </c>
      <c r="Q423" s="1068">
        <v>0</v>
      </c>
      <c r="R423" s="1068">
        <v>0</v>
      </c>
      <c r="S423" s="1068">
        <v>3077</v>
      </c>
      <c r="T423" s="1068">
        <v>13291103.35</v>
      </c>
      <c r="U423" s="1056">
        <v>652</v>
      </c>
      <c r="V423" s="1056">
        <v>3241192.28</v>
      </c>
      <c r="W423" s="1068">
        <v>0</v>
      </c>
      <c r="X423" s="1068">
        <v>0</v>
      </c>
      <c r="Y423" s="1076">
        <v>0</v>
      </c>
      <c r="Z423" s="1068">
        <v>1294873.3600000001</v>
      </c>
      <c r="AA423" s="1068">
        <v>0</v>
      </c>
    </row>
    <row r="424" spans="1:27" s="1067" customFormat="1" ht="116.25" customHeight="1">
      <c r="A424" s="1121">
        <v>65</v>
      </c>
      <c r="B424" s="1062" t="s">
        <v>1673</v>
      </c>
      <c r="C424" s="1068">
        <f t="shared" si="301"/>
        <v>5749605.3799999999</v>
      </c>
      <c r="D424" s="1068">
        <f t="shared" si="300"/>
        <v>0</v>
      </c>
      <c r="E424" s="1068">
        <v>0</v>
      </c>
      <c r="F424" s="1068">
        <v>0</v>
      </c>
      <c r="G424" s="1068">
        <v>0</v>
      </c>
      <c r="H424" s="1068">
        <v>0</v>
      </c>
      <c r="I424" s="1068">
        <v>0</v>
      </c>
      <c r="J424" s="1068">
        <v>0</v>
      </c>
      <c r="K424" s="1063">
        <v>0</v>
      </c>
      <c r="L424" s="1068">
        <v>0</v>
      </c>
      <c r="M424" s="1063">
        <v>0</v>
      </c>
      <c r="N424" s="1068">
        <v>0</v>
      </c>
      <c r="O424" s="1068">
        <v>990</v>
      </c>
      <c r="P424" s="1068">
        <v>5331983.78</v>
      </c>
      <c r="Q424" s="1068">
        <v>0</v>
      </c>
      <c r="R424" s="1068">
        <v>0</v>
      </c>
      <c r="S424" s="1068">
        <v>0</v>
      </c>
      <c r="T424" s="1068">
        <v>0</v>
      </c>
      <c r="U424" s="1056">
        <v>0</v>
      </c>
      <c r="V424" s="1056">
        <v>0</v>
      </c>
      <c r="W424" s="1068">
        <v>0</v>
      </c>
      <c r="X424" s="1068">
        <v>0</v>
      </c>
      <c r="Y424" s="1076">
        <v>0</v>
      </c>
      <c r="Z424" s="1068">
        <v>417621.6</v>
      </c>
      <c r="AA424" s="1068">
        <v>0</v>
      </c>
    </row>
    <row r="425" spans="1:27" s="1067" customFormat="1" ht="93.75" customHeight="1">
      <c r="A425" s="1121">
        <v>66</v>
      </c>
      <c r="B425" s="1062" t="s">
        <v>1649</v>
      </c>
      <c r="C425" s="1068">
        <f t="shared" si="301"/>
        <v>3730855.05</v>
      </c>
      <c r="D425" s="1068">
        <f t="shared" ref="D425" si="302">SUM(E425:J425)</f>
        <v>0</v>
      </c>
      <c r="E425" s="1068">
        <v>0</v>
      </c>
      <c r="F425" s="1068">
        <v>0</v>
      </c>
      <c r="G425" s="1068">
        <v>0</v>
      </c>
      <c r="H425" s="1068">
        <v>0</v>
      </c>
      <c r="I425" s="1068">
        <v>0</v>
      </c>
      <c r="J425" s="1068">
        <v>0</v>
      </c>
      <c r="K425" s="1063">
        <v>0</v>
      </c>
      <c r="L425" s="1068">
        <v>0</v>
      </c>
      <c r="M425" s="1063">
        <v>0</v>
      </c>
      <c r="N425" s="1068">
        <v>0</v>
      </c>
      <c r="O425" s="1068">
        <v>642.4</v>
      </c>
      <c r="P425" s="1068">
        <v>3459865.03</v>
      </c>
      <c r="Q425" s="1068">
        <v>0</v>
      </c>
      <c r="R425" s="1068">
        <v>0</v>
      </c>
      <c r="S425" s="1068">
        <v>0</v>
      </c>
      <c r="T425" s="1068">
        <v>0</v>
      </c>
      <c r="U425" s="1056">
        <v>0</v>
      </c>
      <c r="V425" s="1056">
        <v>0</v>
      </c>
      <c r="W425" s="1068">
        <v>0</v>
      </c>
      <c r="X425" s="1068">
        <v>0</v>
      </c>
      <c r="Y425" s="1076">
        <v>0</v>
      </c>
      <c r="Z425" s="1068">
        <v>270990.02</v>
      </c>
      <c r="AA425" s="1068">
        <v>0</v>
      </c>
    </row>
    <row r="426" spans="1:27" s="1067" customFormat="1" ht="93.75" customHeight="1">
      <c r="A426" s="1121"/>
      <c r="B426" s="1062" t="s">
        <v>1033</v>
      </c>
      <c r="C426" s="1068">
        <f>C427</f>
        <v>4434126.26</v>
      </c>
      <c r="D426" s="1068">
        <f t="shared" ref="D426:AA426" si="303">D427</f>
        <v>0</v>
      </c>
      <c r="E426" s="1068">
        <f t="shared" si="303"/>
        <v>0</v>
      </c>
      <c r="F426" s="1068">
        <f t="shared" si="303"/>
        <v>0</v>
      </c>
      <c r="G426" s="1068">
        <f t="shared" si="303"/>
        <v>0</v>
      </c>
      <c r="H426" s="1068">
        <f t="shared" si="303"/>
        <v>0</v>
      </c>
      <c r="I426" s="1068">
        <f t="shared" si="303"/>
        <v>0</v>
      </c>
      <c r="J426" s="1068">
        <f t="shared" si="303"/>
        <v>0</v>
      </c>
      <c r="K426" s="1068">
        <f t="shared" si="303"/>
        <v>0</v>
      </c>
      <c r="L426" s="1068">
        <f t="shared" si="303"/>
        <v>0</v>
      </c>
      <c r="M426" s="1068">
        <f t="shared" si="303"/>
        <v>0</v>
      </c>
      <c r="N426" s="1068">
        <f t="shared" si="303"/>
        <v>0</v>
      </c>
      <c r="O426" s="1068">
        <f t="shared" si="303"/>
        <v>508</v>
      </c>
      <c r="P426" s="1068">
        <f t="shared" si="303"/>
        <v>4112054.26</v>
      </c>
      <c r="Q426" s="1068">
        <f t="shared" si="303"/>
        <v>0</v>
      </c>
      <c r="R426" s="1068">
        <f t="shared" si="303"/>
        <v>0</v>
      </c>
      <c r="S426" s="1068">
        <f t="shared" si="303"/>
        <v>0</v>
      </c>
      <c r="T426" s="1068">
        <f t="shared" si="303"/>
        <v>0</v>
      </c>
      <c r="U426" s="1068">
        <f t="shared" si="303"/>
        <v>0</v>
      </c>
      <c r="V426" s="1068">
        <f t="shared" si="303"/>
        <v>0</v>
      </c>
      <c r="W426" s="1068">
        <f t="shared" si="303"/>
        <v>0</v>
      </c>
      <c r="X426" s="1068">
        <f t="shared" si="303"/>
        <v>0</v>
      </c>
      <c r="Y426" s="1068">
        <f t="shared" si="303"/>
        <v>0</v>
      </c>
      <c r="Z426" s="1068">
        <f t="shared" si="303"/>
        <v>322072</v>
      </c>
      <c r="AA426" s="1068">
        <f t="shared" si="303"/>
        <v>0</v>
      </c>
    </row>
    <row r="427" spans="1:27" s="1067" customFormat="1" ht="93.75" customHeight="1">
      <c r="A427" s="1121">
        <v>67</v>
      </c>
      <c r="B427" s="1062" t="s">
        <v>2000</v>
      </c>
      <c r="C427" s="1068">
        <f t="shared" ref="C427" si="304">D427+N427+P427+R427+T427+X427+Z427+V427</f>
        <v>4434126.26</v>
      </c>
      <c r="D427" s="1068">
        <f t="shared" ref="D427" si="305">SUM(E427:J427)</f>
        <v>0</v>
      </c>
      <c r="E427" s="1068">
        <v>0</v>
      </c>
      <c r="F427" s="1068">
        <v>0</v>
      </c>
      <c r="G427" s="1068">
        <v>0</v>
      </c>
      <c r="H427" s="1068">
        <v>0</v>
      </c>
      <c r="I427" s="1068">
        <v>0</v>
      </c>
      <c r="J427" s="1068">
        <v>0</v>
      </c>
      <c r="K427" s="1063">
        <v>0</v>
      </c>
      <c r="L427" s="1068">
        <v>0</v>
      </c>
      <c r="M427" s="1063">
        <v>0</v>
      </c>
      <c r="N427" s="1068">
        <v>0</v>
      </c>
      <c r="O427" s="1068">
        <v>508</v>
      </c>
      <c r="P427" s="1068">
        <v>4112054.26</v>
      </c>
      <c r="Q427" s="1068">
        <v>0</v>
      </c>
      <c r="R427" s="1068">
        <v>0</v>
      </c>
      <c r="S427" s="1068">
        <v>0</v>
      </c>
      <c r="T427" s="1068">
        <v>0</v>
      </c>
      <c r="U427" s="1056">
        <v>0</v>
      </c>
      <c r="V427" s="1056">
        <v>0</v>
      </c>
      <c r="W427" s="1068">
        <v>0</v>
      </c>
      <c r="X427" s="1068">
        <v>0</v>
      </c>
      <c r="Y427" s="1076">
        <v>0</v>
      </c>
      <c r="Z427" s="1068">
        <v>322072</v>
      </c>
      <c r="AA427" s="1068">
        <v>0</v>
      </c>
    </row>
    <row r="428" spans="1:27" s="1067" customFormat="1" ht="99" customHeight="1">
      <c r="A428" s="1121"/>
      <c r="B428" s="1062" t="s">
        <v>1030</v>
      </c>
      <c r="C428" s="1068">
        <f>C429</f>
        <v>5536808.29</v>
      </c>
      <c r="D428" s="1068">
        <f t="shared" ref="D428:AA428" si="306">D429</f>
        <v>0</v>
      </c>
      <c r="E428" s="1068">
        <f t="shared" si="306"/>
        <v>0</v>
      </c>
      <c r="F428" s="1068">
        <f t="shared" si="306"/>
        <v>0</v>
      </c>
      <c r="G428" s="1068">
        <f t="shared" si="306"/>
        <v>0</v>
      </c>
      <c r="H428" s="1068">
        <f t="shared" si="306"/>
        <v>0</v>
      </c>
      <c r="I428" s="1068">
        <f t="shared" si="306"/>
        <v>0</v>
      </c>
      <c r="J428" s="1068">
        <f t="shared" si="306"/>
        <v>0</v>
      </c>
      <c r="K428" s="1073">
        <f t="shared" si="306"/>
        <v>0</v>
      </c>
      <c r="L428" s="1068">
        <f t="shared" si="306"/>
        <v>0</v>
      </c>
      <c r="M428" s="1073">
        <f t="shared" si="306"/>
        <v>0</v>
      </c>
      <c r="N428" s="1068">
        <f t="shared" si="306"/>
        <v>0</v>
      </c>
      <c r="O428" s="1068">
        <f t="shared" si="306"/>
        <v>552</v>
      </c>
      <c r="P428" s="1068">
        <f t="shared" si="306"/>
        <v>5134643.17</v>
      </c>
      <c r="Q428" s="1068">
        <f t="shared" si="306"/>
        <v>0</v>
      </c>
      <c r="R428" s="1068">
        <f t="shared" si="306"/>
        <v>0</v>
      </c>
      <c r="S428" s="1068">
        <f t="shared" si="306"/>
        <v>0</v>
      </c>
      <c r="T428" s="1068">
        <f t="shared" si="306"/>
        <v>0</v>
      </c>
      <c r="U428" s="1076">
        <v>0</v>
      </c>
      <c r="V428" s="1076">
        <v>0</v>
      </c>
      <c r="W428" s="1068">
        <f t="shared" si="306"/>
        <v>0</v>
      </c>
      <c r="X428" s="1068">
        <f t="shared" si="306"/>
        <v>0</v>
      </c>
      <c r="Y428" s="1068">
        <f t="shared" si="306"/>
        <v>0</v>
      </c>
      <c r="Z428" s="1068">
        <f t="shared" si="306"/>
        <v>402165.12</v>
      </c>
      <c r="AA428" s="1068">
        <f t="shared" si="306"/>
        <v>0</v>
      </c>
    </row>
    <row r="429" spans="1:27" s="1067" customFormat="1" ht="121.5" customHeight="1">
      <c r="A429" s="1121">
        <v>68</v>
      </c>
      <c r="B429" s="1062" t="s">
        <v>1445</v>
      </c>
      <c r="C429" s="1068">
        <f t="shared" ref="C429" si="307">D429+N429+P429+R429+T429+X429+Z429</f>
        <v>5536808.29</v>
      </c>
      <c r="D429" s="1068">
        <f t="shared" ref="D429" si="308">SUM(E429:J429)</f>
        <v>0</v>
      </c>
      <c r="E429" s="1068">
        <v>0</v>
      </c>
      <c r="F429" s="1068">
        <v>0</v>
      </c>
      <c r="G429" s="1068">
        <v>0</v>
      </c>
      <c r="H429" s="1068">
        <v>0</v>
      </c>
      <c r="I429" s="1068">
        <v>0</v>
      </c>
      <c r="J429" s="1068">
        <v>0</v>
      </c>
      <c r="K429" s="1063">
        <v>0</v>
      </c>
      <c r="L429" s="1068">
        <v>0</v>
      </c>
      <c r="M429" s="1063">
        <v>0</v>
      </c>
      <c r="N429" s="1068">
        <v>0</v>
      </c>
      <c r="O429" s="1068">
        <v>552</v>
      </c>
      <c r="P429" s="1068">
        <v>5134643.17</v>
      </c>
      <c r="Q429" s="1068">
        <v>0</v>
      </c>
      <c r="R429" s="1068">
        <v>0</v>
      </c>
      <c r="S429" s="1068">
        <v>0</v>
      </c>
      <c r="T429" s="1068">
        <v>0</v>
      </c>
      <c r="U429" s="1076">
        <v>0</v>
      </c>
      <c r="V429" s="1076">
        <v>0</v>
      </c>
      <c r="W429" s="1068">
        <v>0</v>
      </c>
      <c r="X429" s="1068">
        <v>0</v>
      </c>
      <c r="Y429" s="1076">
        <v>0</v>
      </c>
      <c r="Z429" s="1068">
        <v>402165.12</v>
      </c>
      <c r="AA429" s="1068">
        <v>0</v>
      </c>
    </row>
    <row r="430" spans="1:27" s="1067" customFormat="1" ht="125.45" customHeight="1">
      <c r="A430" s="1121"/>
      <c r="B430" s="1062" t="s">
        <v>1032</v>
      </c>
      <c r="C430" s="1056">
        <f>C431</f>
        <v>1309575.52</v>
      </c>
      <c r="D430" s="1056">
        <f t="shared" ref="D430:AA430" si="309">D431</f>
        <v>0</v>
      </c>
      <c r="E430" s="1056">
        <f t="shared" si="309"/>
        <v>0</v>
      </c>
      <c r="F430" s="1056">
        <f t="shared" si="309"/>
        <v>0</v>
      </c>
      <c r="G430" s="1056">
        <f t="shared" si="309"/>
        <v>0</v>
      </c>
      <c r="H430" s="1056">
        <f t="shared" si="309"/>
        <v>0</v>
      </c>
      <c r="I430" s="1056">
        <f t="shared" si="309"/>
        <v>0</v>
      </c>
      <c r="J430" s="1056">
        <f t="shared" si="309"/>
        <v>0</v>
      </c>
      <c r="K430" s="1063">
        <f t="shared" si="309"/>
        <v>0</v>
      </c>
      <c r="L430" s="1056">
        <f t="shared" si="309"/>
        <v>0</v>
      </c>
      <c r="M430" s="1063">
        <f t="shared" si="309"/>
        <v>0</v>
      </c>
      <c r="N430" s="1056">
        <f t="shared" si="309"/>
        <v>0</v>
      </c>
      <c r="O430" s="1056">
        <f t="shared" si="309"/>
        <v>335</v>
      </c>
      <c r="P430" s="1056">
        <f t="shared" si="309"/>
        <v>1214454.73</v>
      </c>
      <c r="Q430" s="1056">
        <f t="shared" si="309"/>
        <v>0</v>
      </c>
      <c r="R430" s="1056">
        <f t="shared" si="309"/>
        <v>0</v>
      </c>
      <c r="S430" s="1056">
        <f t="shared" si="309"/>
        <v>0</v>
      </c>
      <c r="T430" s="1056">
        <f t="shared" si="309"/>
        <v>0</v>
      </c>
      <c r="U430" s="1056">
        <v>0</v>
      </c>
      <c r="V430" s="1056">
        <v>0</v>
      </c>
      <c r="W430" s="1056">
        <f t="shared" si="309"/>
        <v>0</v>
      </c>
      <c r="X430" s="1056">
        <f t="shared" si="309"/>
        <v>0</v>
      </c>
      <c r="Y430" s="1076">
        <v>0</v>
      </c>
      <c r="Z430" s="1056">
        <f t="shared" si="309"/>
        <v>95120.79</v>
      </c>
      <c r="AA430" s="1056">
        <f t="shared" si="309"/>
        <v>0</v>
      </c>
    </row>
    <row r="431" spans="1:27" s="1067" customFormat="1" ht="94.15" customHeight="1">
      <c r="A431" s="1121">
        <v>69</v>
      </c>
      <c r="B431" s="1055" t="s">
        <v>1597</v>
      </c>
      <c r="C431" s="1068">
        <f t="shared" ref="C431" si="310">D431+N431+P431+R431+T431+X431+Z431</f>
        <v>1309575.52</v>
      </c>
      <c r="D431" s="1068">
        <f t="shared" ref="D431" si="311">SUM(E431:J431)</f>
        <v>0</v>
      </c>
      <c r="E431" s="1056">
        <v>0</v>
      </c>
      <c r="F431" s="1056">
        <v>0</v>
      </c>
      <c r="G431" s="1056">
        <v>0</v>
      </c>
      <c r="H431" s="1056">
        <v>0</v>
      </c>
      <c r="I431" s="1056">
        <v>0</v>
      </c>
      <c r="J431" s="1056">
        <v>0</v>
      </c>
      <c r="K431" s="1063">
        <v>0</v>
      </c>
      <c r="L431" s="1056">
        <v>0</v>
      </c>
      <c r="M431" s="1063">
        <v>0</v>
      </c>
      <c r="N431" s="1056">
        <v>0</v>
      </c>
      <c r="O431" s="1056">
        <v>335</v>
      </c>
      <c r="P431" s="1056">
        <v>1214454.73</v>
      </c>
      <c r="Q431" s="1056">
        <v>0</v>
      </c>
      <c r="R431" s="1056">
        <v>0</v>
      </c>
      <c r="S431" s="1056">
        <v>0</v>
      </c>
      <c r="T431" s="1056">
        <v>0</v>
      </c>
      <c r="U431" s="1056">
        <v>0</v>
      </c>
      <c r="V431" s="1056">
        <v>0</v>
      </c>
      <c r="W431" s="1056">
        <v>0</v>
      </c>
      <c r="X431" s="1056">
        <v>0</v>
      </c>
      <c r="Y431" s="1076">
        <v>0</v>
      </c>
      <c r="Z431" s="1056">
        <v>95120.79</v>
      </c>
      <c r="AA431" s="1056">
        <v>0</v>
      </c>
    </row>
    <row r="432" spans="1:27" s="1067" customFormat="1" ht="120.6" customHeight="1">
      <c r="A432" s="1121"/>
      <c r="B432" s="1062" t="s">
        <v>1096</v>
      </c>
      <c r="C432" s="1068">
        <f>C433</f>
        <v>3365746.23</v>
      </c>
      <c r="D432" s="1068">
        <f t="shared" ref="D432:AA432" si="312">D433</f>
        <v>0</v>
      </c>
      <c r="E432" s="1068">
        <f t="shared" si="312"/>
        <v>0</v>
      </c>
      <c r="F432" s="1068">
        <f t="shared" si="312"/>
        <v>0</v>
      </c>
      <c r="G432" s="1068">
        <f t="shared" si="312"/>
        <v>0</v>
      </c>
      <c r="H432" s="1068">
        <f t="shared" si="312"/>
        <v>0</v>
      </c>
      <c r="I432" s="1068">
        <f t="shared" si="312"/>
        <v>0</v>
      </c>
      <c r="J432" s="1068">
        <f t="shared" si="312"/>
        <v>0</v>
      </c>
      <c r="K432" s="1063">
        <f t="shared" si="312"/>
        <v>0</v>
      </c>
      <c r="L432" s="1068">
        <f t="shared" si="312"/>
        <v>0</v>
      </c>
      <c r="M432" s="1063">
        <f t="shared" si="312"/>
        <v>0</v>
      </c>
      <c r="N432" s="1068">
        <f t="shared" si="312"/>
        <v>0</v>
      </c>
      <c r="O432" s="1068">
        <f t="shared" si="312"/>
        <v>385.6</v>
      </c>
      <c r="P432" s="1068">
        <f t="shared" si="312"/>
        <v>3121275.83</v>
      </c>
      <c r="Q432" s="1068">
        <f t="shared" si="312"/>
        <v>0</v>
      </c>
      <c r="R432" s="1068">
        <f t="shared" si="312"/>
        <v>0</v>
      </c>
      <c r="S432" s="1068">
        <f t="shared" si="312"/>
        <v>0</v>
      </c>
      <c r="T432" s="1068">
        <f t="shared" si="312"/>
        <v>0</v>
      </c>
      <c r="U432" s="1056">
        <v>0</v>
      </c>
      <c r="V432" s="1056">
        <v>0</v>
      </c>
      <c r="W432" s="1068">
        <f t="shared" si="312"/>
        <v>0</v>
      </c>
      <c r="X432" s="1068">
        <f t="shared" si="312"/>
        <v>0</v>
      </c>
      <c r="Y432" s="1076">
        <v>0</v>
      </c>
      <c r="Z432" s="1068">
        <f t="shared" si="312"/>
        <v>244470.39999999999</v>
      </c>
      <c r="AA432" s="1068">
        <f t="shared" si="312"/>
        <v>0</v>
      </c>
    </row>
    <row r="433" spans="1:27" s="1067" customFormat="1" ht="144" customHeight="1">
      <c r="A433" s="1121">
        <v>70</v>
      </c>
      <c r="B433" s="1062" t="s">
        <v>1713</v>
      </c>
      <c r="C433" s="1068">
        <f t="shared" ref="C433" si="313">D433+N433+P433+R433+T433+X433+Z433</f>
        <v>3365746.23</v>
      </c>
      <c r="D433" s="1068">
        <f t="shared" ref="D433" si="314">SUM(E433:J433)</f>
        <v>0</v>
      </c>
      <c r="E433" s="1056">
        <v>0</v>
      </c>
      <c r="F433" s="1056">
        <v>0</v>
      </c>
      <c r="G433" s="1056">
        <v>0</v>
      </c>
      <c r="H433" s="1056">
        <v>0</v>
      </c>
      <c r="I433" s="1056">
        <v>0</v>
      </c>
      <c r="J433" s="1056">
        <v>0</v>
      </c>
      <c r="K433" s="1063">
        <v>0</v>
      </c>
      <c r="L433" s="1056">
        <v>0</v>
      </c>
      <c r="M433" s="1063">
        <v>0</v>
      </c>
      <c r="N433" s="1056">
        <v>0</v>
      </c>
      <c r="O433" s="1056">
        <v>385.6</v>
      </c>
      <c r="P433" s="1056">
        <v>3121275.83</v>
      </c>
      <c r="Q433" s="1056">
        <v>0</v>
      </c>
      <c r="R433" s="1056">
        <v>0</v>
      </c>
      <c r="S433" s="1056">
        <v>0</v>
      </c>
      <c r="T433" s="1056">
        <v>0</v>
      </c>
      <c r="U433" s="1056">
        <v>0</v>
      </c>
      <c r="V433" s="1056">
        <v>0</v>
      </c>
      <c r="W433" s="1056">
        <v>0</v>
      </c>
      <c r="X433" s="1056">
        <v>0</v>
      </c>
      <c r="Y433" s="1076">
        <v>0</v>
      </c>
      <c r="Z433" s="1056">
        <v>244470.39999999999</v>
      </c>
      <c r="AA433" s="1056">
        <v>0</v>
      </c>
    </row>
    <row r="434" spans="1:27" s="1067" customFormat="1" ht="144" customHeight="1">
      <c r="A434" s="1121"/>
      <c r="B434" s="1062" t="s">
        <v>1996</v>
      </c>
      <c r="C434" s="1068">
        <f>C435</f>
        <v>12301343.630000001</v>
      </c>
      <c r="D434" s="1068">
        <f t="shared" ref="D434:AA434" si="315">D435</f>
        <v>0</v>
      </c>
      <c r="E434" s="1068">
        <f t="shared" si="315"/>
        <v>0</v>
      </c>
      <c r="F434" s="1068">
        <f t="shared" si="315"/>
        <v>0</v>
      </c>
      <c r="G434" s="1068">
        <f t="shared" si="315"/>
        <v>0</v>
      </c>
      <c r="H434" s="1068">
        <f t="shared" si="315"/>
        <v>0</v>
      </c>
      <c r="I434" s="1068">
        <f t="shared" si="315"/>
        <v>0</v>
      </c>
      <c r="J434" s="1068">
        <f t="shared" si="315"/>
        <v>0</v>
      </c>
      <c r="K434" s="1068">
        <f t="shared" si="315"/>
        <v>0</v>
      </c>
      <c r="L434" s="1068">
        <f t="shared" si="315"/>
        <v>0</v>
      </c>
      <c r="M434" s="1068">
        <f t="shared" si="315"/>
        <v>0</v>
      </c>
      <c r="N434" s="1068">
        <f t="shared" si="315"/>
        <v>0</v>
      </c>
      <c r="O434" s="1068">
        <f t="shared" si="315"/>
        <v>1226.4000000000001</v>
      </c>
      <c r="P434" s="1068">
        <f t="shared" si="315"/>
        <v>11407837.65</v>
      </c>
      <c r="Q434" s="1068">
        <f t="shared" si="315"/>
        <v>0</v>
      </c>
      <c r="R434" s="1068">
        <f t="shared" si="315"/>
        <v>0</v>
      </c>
      <c r="S434" s="1068">
        <f t="shared" si="315"/>
        <v>0</v>
      </c>
      <c r="T434" s="1068">
        <f t="shared" si="315"/>
        <v>0</v>
      </c>
      <c r="U434" s="1068">
        <f t="shared" si="315"/>
        <v>0</v>
      </c>
      <c r="V434" s="1068">
        <f t="shared" si="315"/>
        <v>0</v>
      </c>
      <c r="W434" s="1068">
        <f t="shared" si="315"/>
        <v>0</v>
      </c>
      <c r="X434" s="1068">
        <f t="shared" si="315"/>
        <v>0</v>
      </c>
      <c r="Y434" s="1068">
        <f t="shared" si="315"/>
        <v>0</v>
      </c>
      <c r="Z434" s="1068">
        <f t="shared" si="315"/>
        <v>893505.98</v>
      </c>
      <c r="AA434" s="1068">
        <f t="shared" si="315"/>
        <v>0</v>
      </c>
    </row>
    <row r="435" spans="1:27" s="1067" customFormat="1" ht="144" customHeight="1">
      <c r="A435" s="1121">
        <v>71</v>
      </c>
      <c r="B435" s="1062" t="s">
        <v>1558</v>
      </c>
      <c r="C435" s="1068">
        <f t="shared" ref="C435" si="316">D435+N435+P435+R435+T435+X435+Z435</f>
        <v>12301343.630000001</v>
      </c>
      <c r="D435" s="1068">
        <f t="shared" ref="D435" si="317">SUM(E435:J435)</f>
        <v>0</v>
      </c>
      <c r="E435" s="1056">
        <v>0</v>
      </c>
      <c r="F435" s="1056">
        <v>0</v>
      </c>
      <c r="G435" s="1056">
        <v>0</v>
      </c>
      <c r="H435" s="1056">
        <v>0</v>
      </c>
      <c r="I435" s="1056">
        <v>0</v>
      </c>
      <c r="J435" s="1056">
        <v>0</v>
      </c>
      <c r="K435" s="1063">
        <v>0</v>
      </c>
      <c r="L435" s="1056">
        <v>0</v>
      </c>
      <c r="M435" s="1063">
        <v>0</v>
      </c>
      <c r="N435" s="1056">
        <v>0</v>
      </c>
      <c r="O435" s="1056">
        <v>1226.4000000000001</v>
      </c>
      <c r="P435" s="1056">
        <v>11407837.65</v>
      </c>
      <c r="Q435" s="1056">
        <v>0</v>
      </c>
      <c r="R435" s="1056">
        <v>0</v>
      </c>
      <c r="S435" s="1056">
        <v>0</v>
      </c>
      <c r="T435" s="1056">
        <v>0</v>
      </c>
      <c r="U435" s="1056">
        <v>0</v>
      </c>
      <c r="V435" s="1056">
        <v>0</v>
      </c>
      <c r="W435" s="1056">
        <v>0</v>
      </c>
      <c r="X435" s="1056">
        <v>0</v>
      </c>
      <c r="Y435" s="1076">
        <v>0</v>
      </c>
      <c r="Z435" s="1056">
        <v>893505.98</v>
      </c>
      <c r="AA435" s="1056">
        <v>0</v>
      </c>
    </row>
    <row r="436" spans="1:27" s="1067" customFormat="1" ht="76.150000000000006" customHeight="1">
      <c r="A436" s="1121"/>
      <c r="B436" s="1062" t="s">
        <v>55</v>
      </c>
      <c r="C436" s="1056">
        <f>C437</f>
        <v>11676241.530000001</v>
      </c>
      <c r="D436" s="1056">
        <f t="shared" ref="D436:AA436" si="318">D437</f>
        <v>0</v>
      </c>
      <c r="E436" s="1056">
        <f t="shared" si="318"/>
        <v>0</v>
      </c>
      <c r="F436" s="1056">
        <f t="shared" si="318"/>
        <v>0</v>
      </c>
      <c r="G436" s="1056">
        <f t="shared" si="318"/>
        <v>0</v>
      </c>
      <c r="H436" s="1056">
        <f t="shared" si="318"/>
        <v>0</v>
      </c>
      <c r="I436" s="1056">
        <f t="shared" si="318"/>
        <v>0</v>
      </c>
      <c r="J436" s="1056">
        <f t="shared" si="318"/>
        <v>0</v>
      </c>
      <c r="K436" s="1063">
        <v>0</v>
      </c>
      <c r="L436" s="1056">
        <v>0</v>
      </c>
      <c r="M436" s="1063">
        <v>0</v>
      </c>
      <c r="N436" s="1056">
        <f t="shared" si="318"/>
        <v>0</v>
      </c>
      <c r="O436" s="1056">
        <f t="shared" si="318"/>
        <v>1337.7</v>
      </c>
      <c r="P436" s="1056">
        <f t="shared" si="318"/>
        <v>10828139.73</v>
      </c>
      <c r="Q436" s="1056">
        <f t="shared" si="318"/>
        <v>0</v>
      </c>
      <c r="R436" s="1056">
        <f t="shared" si="318"/>
        <v>0</v>
      </c>
      <c r="S436" s="1056">
        <f t="shared" si="318"/>
        <v>0</v>
      </c>
      <c r="T436" s="1056">
        <f t="shared" si="318"/>
        <v>0</v>
      </c>
      <c r="U436" s="1056">
        <v>0</v>
      </c>
      <c r="V436" s="1056">
        <v>0</v>
      </c>
      <c r="W436" s="1056">
        <f t="shared" si="318"/>
        <v>0</v>
      </c>
      <c r="X436" s="1056">
        <f t="shared" si="318"/>
        <v>0</v>
      </c>
      <c r="Y436" s="1076">
        <v>0</v>
      </c>
      <c r="Z436" s="1056">
        <f t="shared" si="318"/>
        <v>848101.8</v>
      </c>
      <c r="AA436" s="1056">
        <f t="shared" si="318"/>
        <v>0</v>
      </c>
    </row>
    <row r="437" spans="1:27" s="1067" customFormat="1" ht="131.25" customHeight="1">
      <c r="A437" s="1121"/>
      <c r="B437" s="1062" t="s">
        <v>1034</v>
      </c>
      <c r="C437" s="1056">
        <f>C438</f>
        <v>11676241.530000001</v>
      </c>
      <c r="D437" s="1056">
        <f t="shared" ref="D437:X437" si="319">D438</f>
        <v>0</v>
      </c>
      <c r="E437" s="1056">
        <f t="shared" si="319"/>
        <v>0</v>
      </c>
      <c r="F437" s="1056">
        <f t="shared" si="319"/>
        <v>0</v>
      </c>
      <c r="G437" s="1056">
        <f t="shared" si="319"/>
        <v>0</v>
      </c>
      <c r="H437" s="1056">
        <f t="shared" si="319"/>
        <v>0</v>
      </c>
      <c r="I437" s="1056">
        <f t="shared" si="319"/>
        <v>0</v>
      </c>
      <c r="J437" s="1056">
        <f t="shared" si="319"/>
        <v>0</v>
      </c>
      <c r="K437" s="1063">
        <v>0</v>
      </c>
      <c r="L437" s="1056">
        <v>0</v>
      </c>
      <c r="M437" s="1063">
        <v>0</v>
      </c>
      <c r="N437" s="1056">
        <f t="shared" si="319"/>
        <v>0</v>
      </c>
      <c r="O437" s="1056">
        <f t="shared" si="319"/>
        <v>1337.7</v>
      </c>
      <c r="P437" s="1056">
        <f t="shared" si="319"/>
        <v>10828139.73</v>
      </c>
      <c r="Q437" s="1056">
        <f t="shared" si="319"/>
        <v>0</v>
      </c>
      <c r="R437" s="1056">
        <f t="shared" si="319"/>
        <v>0</v>
      </c>
      <c r="S437" s="1056">
        <f t="shared" si="319"/>
        <v>0</v>
      </c>
      <c r="T437" s="1056">
        <f t="shared" si="319"/>
        <v>0</v>
      </c>
      <c r="U437" s="1056">
        <v>0</v>
      </c>
      <c r="V437" s="1056">
        <v>0</v>
      </c>
      <c r="W437" s="1056">
        <f t="shared" si="319"/>
        <v>0</v>
      </c>
      <c r="X437" s="1056">
        <f t="shared" si="319"/>
        <v>0</v>
      </c>
      <c r="Y437" s="1076">
        <v>0</v>
      </c>
      <c r="Z437" s="1056">
        <f t="shared" ref="Z437:AA437" si="320">Z438</f>
        <v>848101.8</v>
      </c>
      <c r="AA437" s="1056">
        <f t="shared" si="320"/>
        <v>0</v>
      </c>
    </row>
    <row r="438" spans="1:27" s="1067" customFormat="1" ht="63" customHeight="1">
      <c r="A438" s="1121">
        <v>72</v>
      </c>
      <c r="B438" s="1062" t="s">
        <v>390</v>
      </c>
      <c r="C438" s="1056">
        <f>D438+N438+P438+R438+T438+X438+Z438</f>
        <v>11676241.530000001</v>
      </c>
      <c r="D438" s="1056">
        <f>SUM(E438:J438)</f>
        <v>0</v>
      </c>
      <c r="E438" s="1056">
        <v>0</v>
      </c>
      <c r="F438" s="1056">
        <v>0</v>
      </c>
      <c r="G438" s="1056">
        <v>0</v>
      </c>
      <c r="H438" s="1056">
        <v>0</v>
      </c>
      <c r="I438" s="1056">
        <v>0</v>
      </c>
      <c r="J438" s="1056">
        <v>0</v>
      </c>
      <c r="K438" s="1063">
        <v>0</v>
      </c>
      <c r="L438" s="1056">
        <v>0</v>
      </c>
      <c r="M438" s="1063">
        <v>0</v>
      </c>
      <c r="N438" s="1056">
        <v>0</v>
      </c>
      <c r="O438" s="1056">
        <v>1337.7</v>
      </c>
      <c r="P438" s="1056">
        <v>10828139.73</v>
      </c>
      <c r="Q438" s="1056">
        <v>0</v>
      </c>
      <c r="R438" s="1056">
        <v>0</v>
      </c>
      <c r="S438" s="1056">
        <v>0</v>
      </c>
      <c r="T438" s="1056">
        <v>0</v>
      </c>
      <c r="U438" s="1056">
        <v>0</v>
      </c>
      <c r="V438" s="1056">
        <v>0</v>
      </c>
      <c r="W438" s="1056">
        <v>0</v>
      </c>
      <c r="X438" s="1056">
        <v>0</v>
      </c>
      <c r="Y438" s="1076">
        <v>0</v>
      </c>
      <c r="Z438" s="1056">
        <v>848101.8</v>
      </c>
      <c r="AA438" s="1056">
        <v>0</v>
      </c>
    </row>
    <row r="439" spans="1:27" s="1064" customFormat="1" ht="93.6" customHeight="1">
      <c r="A439" s="1121"/>
      <c r="B439" s="1062" t="s">
        <v>1121</v>
      </c>
      <c r="C439" s="1056">
        <f>C440+C441+C442</f>
        <v>19861037.489999998</v>
      </c>
      <c r="D439" s="1056">
        <f t="shared" ref="D439:AA439" si="321">D440+D441+D442</f>
        <v>0</v>
      </c>
      <c r="E439" s="1056">
        <f t="shared" si="321"/>
        <v>0</v>
      </c>
      <c r="F439" s="1056">
        <f t="shared" si="321"/>
        <v>0</v>
      </c>
      <c r="G439" s="1056">
        <f t="shared" si="321"/>
        <v>0</v>
      </c>
      <c r="H439" s="1056">
        <f t="shared" si="321"/>
        <v>0</v>
      </c>
      <c r="I439" s="1056">
        <f t="shared" si="321"/>
        <v>0</v>
      </c>
      <c r="J439" s="1056">
        <f t="shared" si="321"/>
        <v>0</v>
      </c>
      <c r="K439" s="1056">
        <f t="shared" si="321"/>
        <v>0</v>
      </c>
      <c r="L439" s="1056">
        <f t="shared" si="321"/>
        <v>0</v>
      </c>
      <c r="M439" s="1056">
        <f t="shared" si="321"/>
        <v>0</v>
      </c>
      <c r="N439" s="1056">
        <f t="shared" si="321"/>
        <v>0</v>
      </c>
      <c r="O439" s="1056">
        <f t="shared" si="321"/>
        <v>2441.9900000000002</v>
      </c>
      <c r="P439" s="1056">
        <f t="shared" si="321"/>
        <v>18418434.440000001</v>
      </c>
      <c r="Q439" s="1056">
        <f t="shared" si="321"/>
        <v>0</v>
      </c>
      <c r="R439" s="1056">
        <f t="shared" si="321"/>
        <v>0</v>
      </c>
      <c r="S439" s="1056">
        <f t="shared" si="321"/>
        <v>0</v>
      </c>
      <c r="T439" s="1056">
        <f t="shared" si="321"/>
        <v>0</v>
      </c>
      <c r="U439" s="1056">
        <f t="shared" si="321"/>
        <v>0</v>
      </c>
      <c r="V439" s="1056">
        <f t="shared" si="321"/>
        <v>0</v>
      </c>
      <c r="W439" s="1056">
        <f t="shared" si="321"/>
        <v>0</v>
      </c>
      <c r="X439" s="1056">
        <f t="shared" si="321"/>
        <v>0</v>
      </c>
      <c r="Y439" s="1056">
        <f t="shared" si="321"/>
        <v>0</v>
      </c>
      <c r="Z439" s="1056">
        <f t="shared" si="321"/>
        <v>1442603.05</v>
      </c>
      <c r="AA439" s="1056">
        <f t="shared" si="321"/>
        <v>0</v>
      </c>
    </row>
    <row r="440" spans="1:27" s="1071" customFormat="1" ht="132.6" customHeight="1">
      <c r="A440" s="1121">
        <v>73</v>
      </c>
      <c r="B440" s="1062" t="s">
        <v>1495</v>
      </c>
      <c r="C440" s="1056">
        <f>D440+N440+P440+R440+T440+X440+Z440</f>
        <v>6372188.9099999992</v>
      </c>
      <c r="D440" s="1056">
        <f>SUM(E440:J440)</f>
        <v>0</v>
      </c>
      <c r="E440" s="1056">
        <v>0</v>
      </c>
      <c r="F440" s="1056">
        <v>0</v>
      </c>
      <c r="G440" s="1056">
        <v>0</v>
      </c>
      <c r="H440" s="1056">
        <v>0</v>
      </c>
      <c r="I440" s="1056">
        <v>0</v>
      </c>
      <c r="J440" s="1056">
        <v>0</v>
      </c>
      <c r="K440" s="1063">
        <v>0</v>
      </c>
      <c r="L440" s="1056">
        <v>0</v>
      </c>
      <c r="M440" s="1063">
        <v>0</v>
      </c>
      <c r="N440" s="1056">
        <v>0</v>
      </c>
      <c r="O440" s="1056">
        <v>1097.2</v>
      </c>
      <c r="P440" s="1056">
        <v>5909346.0599999996</v>
      </c>
      <c r="Q440" s="1056">
        <v>0</v>
      </c>
      <c r="R440" s="1056">
        <v>0</v>
      </c>
      <c r="S440" s="1056">
        <v>0</v>
      </c>
      <c r="T440" s="1056">
        <v>0</v>
      </c>
      <c r="U440" s="1056">
        <v>0</v>
      </c>
      <c r="V440" s="1056">
        <v>0</v>
      </c>
      <c r="W440" s="1056">
        <v>0</v>
      </c>
      <c r="X440" s="1056">
        <v>0</v>
      </c>
      <c r="Y440" s="1076">
        <v>0</v>
      </c>
      <c r="Z440" s="1056">
        <v>462842.85</v>
      </c>
      <c r="AA440" s="1056">
        <v>0</v>
      </c>
    </row>
    <row r="441" spans="1:27" s="1071" customFormat="1" ht="97.15" customHeight="1">
      <c r="A441" s="1121">
        <v>74</v>
      </c>
      <c r="B441" s="1062" t="s">
        <v>1496</v>
      </c>
      <c r="C441" s="1056">
        <f t="shared" ref="C441:C442" si="322">D441+N441+P441+R441+T441+X441+Z441</f>
        <v>9932151.3899999987</v>
      </c>
      <c r="D441" s="1056">
        <f t="shared" ref="D441:D442" si="323">SUM(E441:J441)</f>
        <v>0</v>
      </c>
      <c r="E441" s="1056">
        <v>0</v>
      </c>
      <c r="F441" s="1056">
        <v>0</v>
      </c>
      <c r="G441" s="1056">
        <v>0</v>
      </c>
      <c r="H441" s="1056">
        <v>0</v>
      </c>
      <c r="I441" s="1056">
        <v>0</v>
      </c>
      <c r="J441" s="1056">
        <v>0</v>
      </c>
      <c r="K441" s="1063">
        <v>0</v>
      </c>
      <c r="L441" s="1056">
        <v>0</v>
      </c>
      <c r="M441" s="1063">
        <v>0</v>
      </c>
      <c r="N441" s="1056">
        <v>0</v>
      </c>
      <c r="O441" s="1056">
        <v>990.2</v>
      </c>
      <c r="P441" s="1056">
        <v>9210731.2799999993</v>
      </c>
      <c r="Q441" s="1056">
        <v>0</v>
      </c>
      <c r="R441" s="1056">
        <v>0</v>
      </c>
      <c r="S441" s="1056">
        <v>0</v>
      </c>
      <c r="T441" s="1056">
        <v>0</v>
      </c>
      <c r="U441" s="1056">
        <v>0</v>
      </c>
      <c r="V441" s="1056">
        <v>0</v>
      </c>
      <c r="W441" s="1056">
        <v>0</v>
      </c>
      <c r="X441" s="1056">
        <v>0</v>
      </c>
      <c r="Y441" s="1076">
        <v>0</v>
      </c>
      <c r="Z441" s="1056">
        <v>721420.11</v>
      </c>
      <c r="AA441" s="1056">
        <v>0</v>
      </c>
    </row>
    <row r="442" spans="1:27" s="1071" customFormat="1" ht="98.45" customHeight="1">
      <c r="A442" s="1121">
        <v>75</v>
      </c>
      <c r="B442" s="1062" t="s">
        <v>1497</v>
      </c>
      <c r="C442" s="1056">
        <f t="shared" si="322"/>
        <v>3556697.19</v>
      </c>
      <c r="D442" s="1056">
        <f t="shared" si="323"/>
        <v>0</v>
      </c>
      <c r="E442" s="1056">
        <v>0</v>
      </c>
      <c r="F442" s="1056">
        <v>0</v>
      </c>
      <c r="G442" s="1056">
        <v>0</v>
      </c>
      <c r="H442" s="1056">
        <v>0</v>
      </c>
      <c r="I442" s="1056">
        <v>0</v>
      </c>
      <c r="J442" s="1056">
        <v>0</v>
      </c>
      <c r="K442" s="1063">
        <v>0</v>
      </c>
      <c r="L442" s="1056">
        <v>0</v>
      </c>
      <c r="M442" s="1063">
        <v>0</v>
      </c>
      <c r="N442" s="1056">
        <v>0</v>
      </c>
      <c r="O442" s="1056">
        <v>354.59</v>
      </c>
      <c r="P442" s="1056">
        <v>3298357.1</v>
      </c>
      <c r="Q442" s="1056">
        <v>0</v>
      </c>
      <c r="R442" s="1056">
        <v>0</v>
      </c>
      <c r="S442" s="1056">
        <v>0</v>
      </c>
      <c r="T442" s="1056">
        <v>0</v>
      </c>
      <c r="U442" s="1056">
        <v>0</v>
      </c>
      <c r="V442" s="1056">
        <v>0</v>
      </c>
      <c r="W442" s="1056">
        <v>0</v>
      </c>
      <c r="X442" s="1056">
        <v>0</v>
      </c>
      <c r="Y442" s="1076">
        <v>0</v>
      </c>
      <c r="Z442" s="1056">
        <v>258340.09</v>
      </c>
      <c r="AA442" s="1056">
        <v>0</v>
      </c>
    </row>
    <row r="443" spans="1:27" s="1071" customFormat="1" ht="129" customHeight="1">
      <c r="A443" s="1121"/>
      <c r="B443" s="1062" t="s">
        <v>1066</v>
      </c>
      <c r="C443" s="1056">
        <f>C444+C445</f>
        <v>9279219.4400000013</v>
      </c>
      <c r="D443" s="1056">
        <f t="shared" ref="D443:AA443" si="324">D444+D445</f>
        <v>0</v>
      </c>
      <c r="E443" s="1056">
        <f t="shared" si="324"/>
        <v>0</v>
      </c>
      <c r="F443" s="1056">
        <f t="shared" si="324"/>
        <v>0</v>
      </c>
      <c r="G443" s="1056">
        <f t="shared" si="324"/>
        <v>0</v>
      </c>
      <c r="H443" s="1056">
        <f t="shared" si="324"/>
        <v>0</v>
      </c>
      <c r="I443" s="1056">
        <f t="shared" si="324"/>
        <v>0</v>
      </c>
      <c r="J443" s="1056">
        <f t="shared" si="324"/>
        <v>0</v>
      </c>
      <c r="K443" s="1063">
        <f t="shared" si="324"/>
        <v>0</v>
      </c>
      <c r="L443" s="1056">
        <f t="shared" si="324"/>
        <v>0</v>
      </c>
      <c r="M443" s="1063">
        <f t="shared" si="324"/>
        <v>0</v>
      </c>
      <c r="N443" s="1056">
        <f t="shared" si="324"/>
        <v>0</v>
      </c>
      <c r="O443" s="1056">
        <f t="shared" si="324"/>
        <v>945.3</v>
      </c>
      <c r="P443" s="1056">
        <f t="shared" si="324"/>
        <v>8605224.9299999997</v>
      </c>
      <c r="Q443" s="1056">
        <f t="shared" si="324"/>
        <v>0</v>
      </c>
      <c r="R443" s="1056">
        <f t="shared" si="324"/>
        <v>0</v>
      </c>
      <c r="S443" s="1056">
        <f t="shared" si="324"/>
        <v>0</v>
      </c>
      <c r="T443" s="1056">
        <f t="shared" si="324"/>
        <v>0</v>
      </c>
      <c r="U443" s="1056">
        <v>0</v>
      </c>
      <c r="V443" s="1056">
        <v>0</v>
      </c>
      <c r="W443" s="1056">
        <f t="shared" si="324"/>
        <v>0</v>
      </c>
      <c r="X443" s="1056">
        <f t="shared" si="324"/>
        <v>0</v>
      </c>
      <c r="Y443" s="1056">
        <f t="shared" si="324"/>
        <v>0</v>
      </c>
      <c r="Z443" s="1056">
        <f t="shared" si="324"/>
        <v>673994.51</v>
      </c>
      <c r="AA443" s="1056">
        <f t="shared" si="324"/>
        <v>0</v>
      </c>
    </row>
    <row r="444" spans="1:27" s="1071" customFormat="1" ht="98.45" customHeight="1">
      <c r="A444" s="1121">
        <v>76</v>
      </c>
      <c r="B444" s="1062" t="s">
        <v>1994</v>
      </c>
      <c r="C444" s="1068">
        <f t="shared" ref="C444:C445" si="325">D444+N444+P444+R444+T444+X444+Z444+L444</f>
        <v>4343184.76</v>
      </c>
      <c r="D444" s="1068">
        <f t="shared" ref="D444:D445" si="326">SUM(E444:J444)</f>
        <v>0</v>
      </c>
      <c r="E444" s="1056">
        <v>0</v>
      </c>
      <c r="F444" s="1056">
        <v>0</v>
      </c>
      <c r="G444" s="1056">
        <v>0</v>
      </c>
      <c r="H444" s="1056">
        <v>0</v>
      </c>
      <c r="I444" s="1056">
        <v>0</v>
      </c>
      <c r="J444" s="1056">
        <v>0</v>
      </c>
      <c r="K444" s="1063">
        <v>0</v>
      </c>
      <c r="L444" s="1056">
        <v>0</v>
      </c>
      <c r="M444" s="1063">
        <v>0</v>
      </c>
      <c r="N444" s="1056">
        <v>0</v>
      </c>
      <c r="O444" s="1056">
        <v>433</v>
      </c>
      <c r="P444" s="1056">
        <v>4027718.28</v>
      </c>
      <c r="Q444" s="1056">
        <v>0</v>
      </c>
      <c r="R444" s="1056">
        <v>0</v>
      </c>
      <c r="S444" s="1056">
        <v>0</v>
      </c>
      <c r="T444" s="1056">
        <v>0</v>
      </c>
      <c r="U444" s="1056">
        <v>0</v>
      </c>
      <c r="V444" s="1056">
        <v>0</v>
      </c>
      <c r="W444" s="1056">
        <v>0</v>
      </c>
      <c r="X444" s="1056">
        <v>0</v>
      </c>
      <c r="Y444" s="1076">
        <v>0</v>
      </c>
      <c r="Z444" s="1056">
        <v>315466.48</v>
      </c>
      <c r="AA444" s="1056">
        <v>0</v>
      </c>
    </row>
    <row r="445" spans="1:27" s="1071" customFormat="1" ht="96" customHeight="1">
      <c r="A445" s="1121">
        <v>77</v>
      </c>
      <c r="B445" s="1062" t="s">
        <v>1995</v>
      </c>
      <c r="C445" s="1068">
        <f t="shared" si="325"/>
        <v>4936034.6800000006</v>
      </c>
      <c r="D445" s="1068">
        <f t="shared" si="326"/>
        <v>0</v>
      </c>
      <c r="E445" s="1056">
        <v>0</v>
      </c>
      <c r="F445" s="1056">
        <v>0</v>
      </c>
      <c r="G445" s="1056">
        <v>0</v>
      </c>
      <c r="H445" s="1056">
        <v>0</v>
      </c>
      <c r="I445" s="1056">
        <v>0</v>
      </c>
      <c r="J445" s="1056">
        <v>0</v>
      </c>
      <c r="K445" s="1063">
        <v>0</v>
      </c>
      <c r="L445" s="1056">
        <v>0</v>
      </c>
      <c r="M445" s="1063">
        <v>0</v>
      </c>
      <c r="N445" s="1056">
        <v>0</v>
      </c>
      <c r="O445" s="1056">
        <v>512.29999999999995</v>
      </c>
      <c r="P445" s="1056">
        <v>4577506.6500000004</v>
      </c>
      <c r="Q445" s="1056">
        <v>0</v>
      </c>
      <c r="R445" s="1056">
        <v>0</v>
      </c>
      <c r="S445" s="1056">
        <v>0</v>
      </c>
      <c r="T445" s="1056">
        <v>0</v>
      </c>
      <c r="U445" s="1056">
        <v>0</v>
      </c>
      <c r="V445" s="1056">
        <v>0</v>
      </c>
      <c r="W445" s="1056">
        <v>0</v>
      </c>
      <c r="X445" s="1056">
        <v>0</v>
      </c>
      <c r="Y445" s="1076">
        <v>0</v>
      </c>
      <c r="Z445" s="1056">
        <v>358528.03</v>
      </c>
      <c r="AA445" s="1056">
        <v>0</v>
      </c>
    </row>
    <row r="446" spans="1:27" s="1071" customFormat="1" ht="117.6" customHeight="1">
      <c r="A446" s="1121"/>
      <c r="B446" s="1062" t="s">
        <v>1115</v>
      </c>
      <c r="C446" s="1056">
        <f t="shared" ref="C446:T446" si="327">SUM(C447:C447)</f>
        <v>700000</v>
      </c>
      <c r="D446" s="1056">
        <f t="shared" si="327"/>
        <v>0</v>
      </c>
      <c r="E446" s="1056">
        <f t="shared" si="327"/>
        <v>0</v>
      </c>
      <c r="F446" s="1056">
        <f t="shared" si="327"/>
        <v>0</v>
      </c>
      <c r="G446" s="1056">
        <f t="shared" si="327"/>
        <v>0</v>
      </c>
      <c r="H446" s="1056">
        <f t="shared" si="327"/>
        <v>0</v>
      </c>
      <c r="I446" s="1056">
        <f t="shared" si="327"/>
        <v>0</v>
      </c>
      <c r="J446" s="1056">
        <f t="shared" si="327"/>
        <v>0</v>
      </c>
      <c r="K446" s="1056">
        <f t="shared" si="327"/>
        <v>0</v>
      </c>
      <c r="L446" s="1056">
        <f t="shared" si="327"/>
        <v>0</v>
      </c>
      <c r="M446" s="1056">
        <f t="shared" si="327"/>
        <v>0</v>
      </c>
      <c r="N446" s="1056">
        <f t="shared" si="327"/>
        <v>0</v>
      </c>
      <c r="O446" s="1056">
        <f t="shared" si="327"/>
        <v>0</v>
      </c>
      <c r="P446" s="1056">
        <f t="shared" si="327"/>
        <v>0</v>
      </c>
      <c r="Q446" s="1056">
        <f t="shared" si="327"/>
        <v>0</v>
      </c>
      <c r="R446" s="1056">
        <f t="shared" si="327"/>
        <v>0</v>
      </c>
      <c r="S446" s="1056">
        <f t="shared" si="327"/>
        <v>43</v>
      </c>
      <c r="T446" s="1056">
        <f t="shared" si="327"/>
        <v>700000</v>
      </c>
      <c r="U446" s="1056">
        <v>0</v>
      </c>
      <c r="V446" s="1056">
        <v>0</v>
      </c>
      <c r="W446" s="1056">
        <f>SUM(W447:W447)</f>
        <v>0</v>
      </c>
      <c r="X446" s="1056">
        <f>SUM(X447:X447)</f>
        <v>0</v>
      </c>
      <c r="Y446" s="1056">
        <f>SUM(Y447:Y447)</f>
        <v>0</v>
      </c>
      <c r="Z446" s="1056">
        <f>SUM(Z447:Z447)</f>
        <v>0</v>
      </c>
      <c r="AA446" s="1056">
        <f>SUM(AA447:AA447)</f>
        <v>0</v>
      </c>
    </row>
    <row r="447" spans="1:27" s="1071" customFormat="1" ht="96" customHeight="1">
      <c r="A447" s="1121">
        <v>78</v>
      </c>
      <c r="B447" s="1062" t="s">
        <v>1403</v>
      </c>
      <c r="C447" s="1068">
        <f t="shared" ref="C447" si="328">D447+N447+P447+R447+T447+X447+Z447+L447</f>
        <v>700000</v>
      </c>
      <c r="D447" s="1068">
        <f t="shared" ref="D447" si="329">SUM(E447:J447)</f>
        <v>0</v>
      </c>
      <c r="E447" s="1056">
        <v>0</v>
      </c>
      <c r="F447" s="1056">
        <v>0</v>
      </c>
      <c r="G447" s="1056">
        <v>0</v>
      </c>
      <c r="H447" s="1056">
        <v>0</v>
      </c>
      <c r="I447" s="1056">
        <v>0</v>
      </c>
      <c r="J447" s="1056">
        <v>0</v>
      </c>
      <c r="K447" s="1063">
        <v>0</v>
      </c>
      <c r="L447" s="1056">
        <v>0</v>
      </c>
      <c r="M447" s="1063">
        <v>0</v>
      </c>
      <c r="N447" s="1056">
        <v>0</v>
      </c>
      <c r="O447" s="1056">
        <v>0</v>
      </c>
      <c r="P447" s="1056">
        <v>0</v>
      </c>
      <c r="Q447" s="1056">
        <v>0</v>
      </c>
      <c r="R447" s="1056">
        <v>0</v>
      </c>
      <c r="S447" s="1056">
        <v>43</v>
      </c>
      <c r="T447" s="1056">
        <v>700000</v>
      </c>
      <c r="U447" s="1056">
        <v>0</v>
      </c>
      <c r="V447" s="1056">
        <v>0</v>
      </c>
      <c r="W447" s="1056">
        <v>0</v>
      </c>
      <c r="X447" s="1056">
        <v>0</v>
      </c>
      <c r="Y447" s="1076">
        <v>0</v>
      </c>
      <c r="Z447" s="1056">
        <v>0</v>
      </c>
      <c r="AA447" s="1056">
        <v>0</v>
      </c>
    </row>
    <row r="448" spans="1:27" s="1071" customFormat="1" ht="141.6" customHeight="1">
      <c r="A448" s="1121"/>
      <c r="B448" s="1062" t="s">
        <v>1050</v>
      </c>
      <c r="C448" s="1068">
        <f t="shared" ref="C448:T448" si="330">SUM(C449:C453)</f>
        <v>29816233.869999997</v>
      </c>
      <c r="D448" s="1068">
        <f t="shared" si="330"/>
        <v>0</v>
      </c>
      <c r="E448" s="1068">
        <f t="shared" si="330"/>
        <v>0</v>
      </c>
      <c r="F448" s="1068">
        <f t="shared" si="330"/>
        <v>0</v>
      </c>
      <c r="G448" s="1068">
        <f t="shared" si="330"/>
        <v>0</v>
      </c>
      <c r="H448" s="1068">
        <f t="shared" si="330"/>
        <v>0</v>
      </c>
      <c r="I448" s="1068">
        <f t="shared" si="330"/>
        <v>0</v>
      </c>
      <c r="J448" s="1068">
        <f t="shared" si="330"/>
        <v>0</v>
      </c>
      <c r="K448" s="1073">
        <f t="shared" si="330"/>
        <v>0</v>
      </c>
      <c r="L448" s="1068">
        <f t="shared" si="330"/>
        <v>0</v>
      </c>
      <c r="M448" s="1073">
        <f t="shared" si="330"/>
        <v>0</v>
      </c>
      <c r="N448" s="1068">
        <f t="shared" si="330"/>
        <v>0</v>
      </c>
      <c r="O448" s="1068">
        <f t="shared" si="330"/>
        <v>5133.93</v>
      </c>
      <c r="P448" s="1068">
        <f t="shared" si="330"/>
        <v>27650536.850000001</v>
      </c>
      <c r="Q448" s="1056">
        <f t="shared" si="330"/>
        <v>0</v>
      </c>
      <c r="R448" s="1056">
        <f t="shared" si="330"/>
        <v>0</v>
      </c>
      <c r="S448" s="1056">
        <f t="shared" si="330"/>
        <v>0</v>
      </c>
      <c r="T448" s="1056">
        <f t="shared" si="330"/>
        <v>0</v>
      </c>
      <c r="U448" s="1056">
        <v>0</v>
      </c>
      <c r="V448" s="1056">
        <v>0</v>
      </c>
      <c r="W448" s="1056">
        <f>SUM(W449:W453)</f>
        <v>0</v>
      </c>
      <c r="X448" s="1056">
        <f>SUM(X449:X453)</f>
        <v>0</v>
      </c>
      <c r="Y448" s="1056">
        <f>SUM(Y449:Y453)</f>
        <v>0</v>
      </c>
      <c r="Z448" s="1056">
        <f>SUM(Z449:Z453)</f>
        <v>2165697.02</v>
      </c>
      <c r="AA448" s="1056">
        <f>SUM(AA449:AA453)</f>
        <v>0</v>
      </c>
    </row>
    <row r="449" spans="1:27" s="1071" customFormat="1" ht="88.9" customHeight="1">
      <c r="A449" s="1121">
        <v>79</v>
      </c>
      <c r="B449" s="1055" t="s">
        <v>1381</v>
      </c>
      <c r="C449" s="1068">
        <f t="shared" ref="C449" si="331">D449+N449+P449+R449+T449+X449+Z449+L449</f>
        <v>6281589.0599999996</v>
      </c>
      <c r="D449" s="1068">
        <f t="shared" ref="D449" si="332">SUM(E449:J449)</f>
        <v>0</v>
      </c>
      <c r="E449" s="1056">
        <v>0</v>
      </c>
      <c r="F449" s="1068">
        <v>0</v>
      </c>
      <c r="G449" s="1056">
        <v>0</v>
      </c>
      <c r="H449" s="1056">
        <v>0</v>
      </c>
      <c r="I449" s="1056">
        <v>0</v>
      </c>
      <c r="J449" s="1056">
        <v>0</v>
      </c>
      <c r="K449" s="1063">
        <v>0</v>
      </c>
      <c r="L449" s="1056">
        <v>0</v>
      </c>
      <c r="M449" s="1063">
        <v>0</v>
      </c>
      <c r="N449" s="1056">
        <v>0</v>
      </c>
      <c r="O449" s="1056">
        <v>1081.5999999999999</v>
      </c>
      <c r="P449" s="1056">
        <v>5825326.9199999999</v>
      </c>
      <c r="Q449" s="1056">
        <v>0</v>
      </c>
      <c r="R449" s="1056">
        <v>0</v>
      </c>
      <c r="S449" s="1056">
        <v>0</v>
      </c>
      <c r="T449" s="1056">
        <v>0</v>
      </c>
      <c r="U449" s="1056">
        <v>0</v>
      </c>
      <c r="V449" s="1056">
        <v>0</v>
      </c>
      <c r="W449" s="1056">
        <v>0</v>
      </c>
      <c r="X449" s="1056">
        <v>0</v>
      </c>
      <c r="Y449" s="1076">
        <v>0</v>
      </c>
      <c r="Z449" s="1062">
        <v>456262.14</v>
      </c>
      <c r="AA449" s="1252">
        <v>0</v>
      </c>
    </row>
    <row r="450" spans="1:27" s="1064" customFormat="1" ht="90" customHeight="1">
      <c r="A450" s="1121">
        <v>80</v>
      </c>
      <c r="B450" s="1055" t="s">
        <v>1375</v>
      </c>
      <c r="C450" s="1068">
        <f t="shared" ref="C450:C452" si="333">D450+N450+P450+R450+T450+X450+Z450+L450</f>
        <v>7201525.9299999997</v>
      </c>
      <c r="D450" s="1068">
        <f t="shared" ref="D450:D452" si="334">SUM(E450:J450)</f>
        <v>0</v>
      </c>
      <c r="E450" s="1056">
        <v>0</v>
      </c>
      <c r="F450" s="1068">
        <v>0</v>
      </c>
      <c r="G450" s="1056">
        <v>0</v>
      </c>
      <c r="H450" s="1056">
        <v>0</v>
      </c>
      <c r="I450" s="1056">
        <v>0</v>
      </c>
      <c r="J450" s="1056">
        <v>0</v>
      </c>
      <c r="K450" s="1063">
        <v>0</v>
      </c>
      <c r="L450" s="1056">
        <v>0</v>
      </c>
      <c r="M450" s="1063">
        <v>0</v>
      </c>
      <c r="N450" s="1056">
        <v>0</v>
      </c>
      <c r="O450" s="1056">
        <v>1240</v>
      </c>
      <c r="P450" s="1056">
        <v>6678444.3300000001</v>
      </c>
      <c r="Q450" s="1056">
        <v>0</v>
      </c>
      <c r="R450" s="1056">
        <v>0</v>
      </c>
      <c r="S450" s="1056">
        <v>0</v>
      </c>
      <c r="T450" s="1056">
        <v>0</v>
      </c>
      <c r="U450" s="1056">
        <v>0</v>
      </c>
      <c r="V450" s="1056">
        <v>0</v>
      </c>
      <c r="W450" s="1056">
        <v>0</v>
      </c>
      <c r="X450" s="1056">
        <v>0</v>
      </c>
      <c r="Y450" s="1076">
        <v>0</v>
      </c>
      <c r="Z450" s="1068">
        <v>523081.6</v>
      </c>
      <c r="AA450" s="1252">
        <v>0</v>
      </c>
    </row>
    <row r="451" spans="1:27" s="1064" customFormat="1" ht="86.45" customHeight="1">
      <c r="A451" s="1121">
        <v>81</v>
      </c>
      <c r="B451" s="1055" t="s">
        <v>1377</v>
      </c>
      <c r="C451" s="1068">
        <f t="shared" si="333"/>
        <v>2787687.46</v>
      </c>
      <c r="D451" s="1068">
        <f t="shared" si="334"/>
        <v>0</v>
      </c>
      <c r="E451" s="1056">
        <v>0</v>
      </c>
      <c r="F451" s="1056">
        <v>0</v>
      </c>
      <c r="G451" s="1056">
        <v>0</v>
      </c>
      <c r="H451" s="1056">
        <v>0</v>
      </c>
      <c r="I451" s="1056">
        <v>0</v>
      </c>
      <c r="J451" s="1056">
        <v>0</v>
      </c>
      <c r="K451" s="1063">
        <v>0</v>
      </c>
      <c r="L451" s="1056">
        <v>0</v>
      </c>
      <c r="M451" s="1063">
        <v>0</v>
      </c>
      <c r="N451" s="1056">
        <v>0</v>
      </c>
      <c r="O451" s="1056">
        <v>480</v>
      </c>
      <c r="P451" s="1056">
        <v>2585204.2599999998</v>
      </c>
      <c r="Q451" s="1056">
        <v>0</v>
      </c>
      <c r="R451" s="1056">
        <v>0</v>
      </c>
      <c r="S451" s="1068">
        <v>0</v>
      </c>
      <c r="T451" s="1068">
        <v>0</v>
      </c>
      <c r="U451" s="1056">
        <v>0</v>
      </c>
      <c r="V451" s="1056">
        <v>0</v>
      </c>
      <c r="W451" s="1068">
        <v>0</v>
      </c>
      <c r="X451" s="1068">
        <v>0</v>
      </c>
      <c r="Y451" s="1076">
        <v>0</v>
      </c>
      <c r="Z451" s="1068">
        <v>202483.20000000001</v>
      </c>
      <c r="AA451" s="1068">
        <v>0</v>
      </c>
    </row>
    <row r="452" spans="1:27" s="1064" customFormat="1" ht="91.5" customHeight="1">
      <c r="A452" s="1121">
        <v>82</v>
      </c>
      <c r="B452" s="1055" t="s">
        <v>1382</v>
      </c>
      <c r="C452" s="1068">
        <f t="shared" si="333"/>
        <v>3929477.77</v>
      </c>
      <c r="D452" s="1068">
        <f t="shared" si="334"/>
        <v>0</v>
      </c>
      <c r="E452" s="1056">
        <v>0</v>
      </c>
      <c r="F452" s="1056">
        <v>0</v>
      </c>
      <c r="G452" s="1056">
        <v>0</v>
      </c>
      <c r="H452" s="1056">
        <v>0</v>
      </c>
      <c r="I452" s="1056">
        <v>0</v>
      </c>
      <c r="J452" s="1056">
        <v>0</v>
      </c>
      <c r="K452" s="1063">
        <v>0</v>
      </c>
      <c r="L452" s="1056">
        <v>0</v>
      </c>
      <c r="M452" s="1063">
        <v>0</v>
      </c>
      <c r="N452" s="1056">
        <v>0</v>
      </c>
      <c r="O452" s="1056">
        <v>676.6</v>
      </c>
      <c r="P452" s="1056">
        <v>3644060.83</v>
      </c>
      <c r="Q452" s="1056">
        <v>0</v>
      </c>
      <c r="R452" s="1056">
        <v>0</v>
      </c>
      <c r="S452" s="1068">
        <v>0</v>
      </c>
      <c r="T452" s="1068">
        <v>0</v>
      </c>
      <c r="U452" s="1056">
        <v>0</v>
      </c>
      <c r="V452" s="1056">
        <v>0</v>
      </c>
      <c r="W452" s="1068">
        <v>0</v>
      </c>
      <c r="X452" s="1068">
        <v>0</v>
      </c>
      <c r="Y452" s="1076">
        <v>0</v>
      </c>
      <c r="Z452" s="1068">
        <v>285416.94</v>
      </c>
      <c r="AA452" s="1068">
        <v>0</v>
      </c>
    </row>
    <row r="453" spans="1:27" s="1064" customFormat="1" ht="90" customHeight="1">
      <c r="A453" s="1121">
        <v>83</v>
      </c>
      <c r="B453" s="1055" t="s">
        <v>1383</v>
      </c>
      <c r="C453" s="1068">
        <f t="shared" ref="C453" si="335">D453+N453+P453+R453+T453+X453+Z453+L453</f>
        <v>9615953.6500000004</v>
      </c>
      <c r="D453" s="1068">
        <f t="shared" ref="D453" si="336">SUM(E453:J453)</f>
        <v>0</v>
      </c>
      <c r="E453" s="1056">
        <v>0</v>
      </c>
      <c r="F453" s="1056">
        <v>0</v>
      </c>
      <c r="G453" s="1056">
        <v>0</v>
      </c>
      <c r="H453" s="1056">
        <v>0</v>
      </c>
      <c r="I453" s="1056">
        <v>0</v>
      </c>
      <c r="J453" s="1056">
        <v>0</v>
      </c>
      <c r="K453" s="1063">
        <v>0</v>
      </c>
      <c r="L453" s="1068">
        <v>0</v>
      </c>
      <c r="M453" s="1063">
        <v>0</v>
      </c>
      <c r="N453" s="1056">
        <v>0</v>
      </c>
      <c r="O453" s="1056">
        <v>1655.73</v>
      </c>
      <c r="P453" s="1056">
        <v>8917500.5099999998</v>
      </c>
      <c r="Q453" s="1056">
        <v>0</v>
      </c>
      <c r="R453" s="1056">
        <v>0</v>
      </c>
      <c r="S453" s="1068">
        <v>0</v>
      </c>
      <c r="T453" s="1068">
        <v>0</v>
      </c>
      <c r="U453" s="1056">
        <v>0</v>
      </c>
      <c r="V453" s="1056">
        <v>0</v>
      </c>
      <c r="W453" s="1068">
        <v>0</v>
      </c>
      <c r="X453" s="1068">
        <v>0</v>
      </c>
      <c r="Y453" s="1076">
        <v>0</v>
      </c>
      <c r="Z453" s="1068">
        <v>698453.14</v>
      </c>
      <c r="AA453" s="1068">
        <v>0</v>
      </c>
    </row>
    <row r="454" spans="1:27" s="1064" customFormat="1" ht="94.9" customHeight="1">
      <c r="A454" s="1121"/>
      <c r="B454" s="1062" t="s">
        <v>1118</v>
      </c>
      <c r="C454" s="1056">
        <f>C455</f>
        <v>6789799.4799999995</v>
      </c>
      <c r="D454" s="1056">
        <f t="shared" ref="D454:AA454" si="337">D455</f>
        <v>0</v>
      </c>
      <c r="E454" s="1056">
        <f t="shared" si="337"/>
        <v>0</v>
      </c>
      <c r="F454" s="1056">
        <f t="shared" si="337"/>
        <v>0</v>
      </c>
      <c r="G454" s="1056">
        <f t="shared" si="337"/>
        <v>0</v>
      </c>
      <c r="H454" s="1056">
        <f t="shared" si="337"/>
        <v>0</v>
      </c>
      <c r="I454" s="1056">
        <f t="shared" si="337"/>
        <v>0</v>
      </c>
      <c r="J454" s="1056">
        <f t="shared" si="337"/>
        <v>0</v>
      </c>
      <c r="K454" s="1056">
        <f t="shared" si="337"/>
        <v>0</v>
      </c>
      <c r="L454" s="1056">
        <f t="shared" si="337"/>
        <v>0</v>
      </c>
      <c r="M454" s="1056">
        <f t="shared" si="337"/>
        <v>0</v>
      </c>
      <c r="N454" s="1056">
        <f t="shared" si="337"/>
        <v>0</v>
      </c>
      <c r="O454" s="1056">
        <f t="shared" si="337"/>
        <v>777.8</v>
      </c>
      <c r="P454" s="1056">
        <f t="shared" si="337"/>
        <v>6296623.5599999996</v>
      </c>
      <c r="Q454" s="1056">
        <f t="shared" si="337"/>
        <v>0</v>
      </c>
      <c r="R454" s="1056">
        <f t="shared" si="337"/>
        <v>0</v>
      </c>
      <c r="S454" s="1056">
        <f t="shared" si="337"/>
        <v>0</v>
      </c>
      <c r="T454" s="1056">
        <f t="shared" si="337"/>
        <v>0</v>
      </c>
      <c r="U454" s="1056">
        <f t="shared" si="337"/>
        <v>0</v>
      </c>
      <c r="V454" s="1056">
        <f t="shared" si="337"/>
        <v>0</v>
      </c>
      <c r="W454" s="1056">
        <f t="shared" si="337"/>
        <v>0</v>
      </c>
      <c r="X454" s="1056">
        <f t="shared" si="337"/>
        <v>0</v>
      </c>
      <c r="Y454" s="1056">
        <f t="shared" si="337"/>
        <v>0</v>
      </c>
      <c r="Z454" s="1056">
        <f t="shared" si="337"/>
        <v>493175.92</v>
      </c>
      <c r="AA454" s="1056">
        <f t="shared" si="337"/>
        <v>0</v>
      </c>
    </row>
    <row r="455" spans="1:27" s="1064" customFormat="1" ht="144.75" customHeight="1">
      <c r="A455" s="1121">
        <v>84</v>
      </c>
      <c r="B455" s="1062" t="s">
        <v>1479</v>
      </c>
      <c r="C455" s="1056">
        <f>D455+N455+P455+R455+T455+X455+Z455+L455</f>
        <v>6789799.4799999995</v>
      </c>
      <c r="D455" s="1056">
        <f>SUM(E455:J455)</f>
        <v>0</v>
      </c>
      <c r="E455" s="1056">
        <v>0</v>
      </c>
      <c r="F455" s="1056">
        <v>0</v>
      </c>
      <c r="G455" s="1056">
        <v>0</v>
      </c>
      <c r="H455" s="1056">
        <v>0</v>
      </c>
      <c r="I455" s="1056">
        <v>0</v>
      </c>
      <c r="J455" s="1056">
        <v>0</v>
      </c>
      <c r="K455" s="1063">
        <v>0</v>
      </c>
      <c r="L455" s="1056">
        <v>0</v>
      </c>
      <c r="M455" s="1063">
        <v>0</v>
      </c>
      <c r="N455" s="1056">
        <v>0</v>
      </c>
      <c r="O455" s="1056">
        <v>777.8</v>
      </c>
      <c r="P455" s="1056">
        <v>6296623.5599999996</v>
      </c>
      <c r="Q455" s="1056">
        <v>0</v>
      </c>
      <c r="R455" s="1056">
        <v>0</v>
      </c>
      <c r="S455" s="1056">
        <v>0</v>
      </c>
      <c r="T455" s="1056">
        <v>0</v>
      </c>
      <c r="U455" s="1056">
        <v>0</v>
      </c>
      <c r="V455" s="1056">
        <v>0</v>
      </c>
      <c r="W455" s="1056">
        <v>0</v>
      </c>
      <c r="X455" s="1056">
        <v>0</v>
      </c>
      <c r="Y455" s="1076">
        <v>0</v>
      </c>
      <c r="Z455" s="1056">
        <v>493175.92</v>
      </c>
      <c r="AA455" s="1056">
        <v>0</v>
      </c>
    </row>
    <row r="456" spans="1:27" s="1064" customFormat="1" ht="120" customHeight="1">
      <c r="A456" s="1121"/>
      <c r="B456" s="1062" t="s">
        <v>2005</v>
      </c>
      <c r="C456" s="1056">
        <f>C457</f>
        <v>5436503.7899999991</v>
      </c>
      <c r="D456" s="1056">
        <f t="shared" ref="D456:AA456" si="338">D457</f>
        <v>0</v>
      </c>
      <c r="E456" s="1056">
        <f t="shared" si="338"/>
        <v>0</v>
      </c>
      <c r="F456" s="1056">
        <f t="shared" si="338"/>
        <v>0</v>
      </c>
      <c r="G456" s="1056">
        <f t="shared" si="338"/>
        <v>0</v>
      </c>
      <c r="H456" s="1056">
        <f t="shared" si="338"/>
        <v>0</v>
      </c>
      <c r="I456" s="1056">
        <f t="shared" si="338"/>
        <v>0</v>
      </c>
      <c r="J456" s="1056">
        <f t="shared" si="338"/>
        <v>0</v>
      </c>
      <c r="K456" s="1056">
        <f t="shared" si="338"/>
        <v>0</v>
      </c>
      <c r="L456" s="1056">
        <f t="shared" si="338"/>
        <v>0</v>
      </c>
      <c r="M456" s="1056">
        <f t="shared" si="338"/>
        <v>0</v>
      </c>
      <c r="N456" s="1056">
        <f t="shared" si="338"/>
        <v>0</v>
      </c>
      <c r="O456" s="1056">
        <f t="shared" si="338"/>
        <v>542</v>
      </c>
      <c r="P456" s="1056">
        <f t="shared" si="338"/>
        <v>5041624.2699999996</v>
      </c>
      <c r="Q456" s="1056">
        <f t="shared" si="338"/>
        <v>0</v>
      </c>
      <c r="R456" s="1056">
        <f t="shared" si="338"/>
        <v>0</v>
      </c>
      <c r="S456" s="1056">
        <f t="shared" si="338"/>
        <v>0</v>
      </c>
      <c r="T456" s="1056">
        <f t="shared" si="338"/>
        <v>0</v>
      </c>
      <c r="U456" s="1056">
        <f t="shared" si="338"/>
        <v>0</v>
      </c>
      <c r="V456" s="1056">
        <f t="shared" si="338"/>
        <v>0</v>
      </c>
      <c r="W456" s="1056">
        <f t="shared" si="338"/>
        <v>0</v>
      </c>
      <c r="X456" s="1056">
        <f t="shared" si="338"/>
        <v>0</v>
      </c>
      <c r="Y456" s="1056">
        <f t="shared" si="338"/>
        <v>0</v>
      </c>
      <c r="Z456" s="1056">
        <f t="shared" si="338"/>
        <v>394879.52</v>
      </c>
      <c r="AA456" s="1056">
        <f t="shared" si="338"/>
        <v>0</v>
      </c>
    </row>
    <row r="457" spans="1:27" s="1064" customFormat="1" ht="128.25" customHeight="1">
      <c r="A457" s="1121">
        <v>85</v>
      </c>
      <c r="B457" s="1062" t="s">
        <v>2007</v>
      </c>
      <c r="C457" s="1056">
        <f>D457+N457+P457+R457+T457+X457+Z457+L457</f>
        <v>5436503.7899999991</v>
      </c>
      <c r="D457" s="1056">
        <f>SUM(E457:J457)</f>
        <v>0</v>
      </c>
      <c r="E457" s="1056">
        <v>0</v>
      </c>
      <c r="F457" s="1056">
        <v>0</v>
      </c>
      <c r="G457" s="1056">
        <v>0</v>
      </c>
      <c r="H457" s="1056">
        <v>0</v>
      </c>
      <c r="I457" s="1056">
        <v>0</v>
      </c>
      <c r="J457" s="1056">
        <v>0</v>
      </c>
      <c r="K457" s="1063">
        <v>0</v>
      </c>
      <c r="L457" s="1056">
        <v>0</v>
      </c>
      <c r="M457" s="1063">
        <v>0</v>
      </c>
      <c r="N457" s="1056">
        <v>0</v>
      </c>
      <c r="O457" s="1056">
        <v>542</v>
      </c>
      <c r="P457" s="1056">
        <v>5041624.2699999996</v>
      </c>
      <c r="Q457" s="1056">
        <v>0</v>
      </c>
      <c r="R457" s="1056">
        <v>0</v>
      </c>
      <c r="S457" s="1056">
        <v>0</v>
      </c>
      <c r="T457" s="1056">
        <v>0</v>
      </c>
      <c r="U457" s="1056">
        <v>0</v>
      </c>
      <c r="V457" s="1056">
        <v>0</v>
      </c>
      <c r="W457" s="1056">
        <v>0</v>
      </c>
      <c r="X457" s="1056">
        <v>0</v>
      </c>
      <c r="Y457" s="1076">
        <v>0</v>
      </c>
      <c r="Z457" s="1056">
        <v>394879.52</v>
      </c>
      <c r="AA457" s="1056">
        <v>0</v>
      </c>
    </row>
    <row r="458" spans="1:27" s="1064" customFormat="1" ht="93.6" customHeight="1">
      <c r="A458" s="1121"/>
      <c r="B458" s="1062" t="s">
        <v>1100</v>
      </c>
      <c r="C458" s="1056">
        <f>C459</f>
        <v>4511094.49</v>
      </c>
      <c r="D458" s="1056">
        <f t="shared" ref="D458:AA458" si="339">D459</f>
        <v>0</v>
      </c>
      <c r="E458" s="1056">
        <f t="shared" si="339"/>
        <v>0</v>
      </c>
      <c r="F458" s="1056">
        <f t="shared" si="339"/>
        <v>0</v>
      </c>
      <c r="G458" s="1056">
        <f t="shared" si="339"/>
        <v>0</v>
      </c>
      <c r="H458" s="1056">
        <f t="shared" si="339"/>
        <v>0</v>
      </c>
      <c r="I458" s="1056">
        <f t="shared" si="339"/>
        <v>0</v>
      </c>
      <c r="J458" s="1056">
        <f t="shared" si="339"/>
        <v>0</v>
      </c>
      <c r="K458" s="1056">
        <f t="shared" si="339"/>
        <v>0</v>
      </c>
      <c r="L458" s="1056">
        <f t="shared" si="339"/>
        <v>0</v>
      </c>
      <c r="M458" s="1056">
        <f t="shared" si="339"/>
        <v>0</v>
      </c>
      <c r="N458" s="1056">
        <f t="shared" si="339"/>
        <v>0</v>
      </c>
      <c r="O458" s="1056">
        <f t="shared" si="339"/>
        <v>449.74</v>
      </c>
      <c r="P458" s="1056">
        <f t="shared" si="339"/>
        <v>4183431.92</v>
      </c>
      <c r="Q458" s="1056">
        <f t="shared" si="339"/>
        <v>0</v>
      </c>
      <c r="R458" s="1056">
        <f t="shared" si="339"/>
        <v>0</v>
      </c>
      <c r="S458" s="1056">
        <f t="shared" si="339"/>
        <v>0</v>
      </c>
      <c r="T458" s="1056">
        <f t="shared" si="339"/>
        <v>0</v>
      </c>
      <c r="U458" s="1056">
        <f t="shared" si="339"/>
        <v>0</v>
      </c>
      <c r="V458" s="1056">
        <f t="shared" si="339"/>
        <v>0</v>
      </c>
      <c r="W458" s="1056">
        <f t="shared" si="339"/>
        <v>0</v>
      </c>
      <c r="X458" s="1056">
        <f t="shared" si="339"/>
        <v>0</v>
      </c>
      <c r="Y458" s="1056">
        <f t="shared" si="339"/>
        <v>0</v>
      </c>
      <c r="Z458" s="1056">
        <f t="shared" si="339"/>
        <v>327662.57</v>
      </c>
      <c r="AA458" s="1056">
        <f t="shared" si="339"/>
        <v>0</v>
      </c>
    </row>
    <row r="459" spans="1:27" s="1064" customFormat="1" ht="94.9" customHeight="1">
      <c r="A459" s="1121">
        <v>86</v>
      </c>
      <c r="B459" s="1062" t="s">
        <v>1700</v>
      </c>
      <c r="C459" s="1056">
        <f>P459+Z459</f>
        <v>4511094.49</v>
      </c>
      <c r="D459" s="1056">
        <v>0</v>
      </c>
      <c r="E459" s="1056">
        <v>0</v>
      </c>
      <c r="F459" s="1056">
        <v>0</v>
      </c>
      <c r="G459" s="1056">
        <v>0</v>
      </c>
      <c r="H459" s="1056">
        <v>0</v>
      </c>
      <c r="I459" s="1056">
        <v>0</v>
      </c>
      <c r="J459" s="1056">
        <v>0</v>
      </c>
      <c r="K459" s="1063">
        <v>0</v>
      </c>
      <c r="L459" s="1056">
        <v>0</v>
      </c>
      <c r="M459" s="1063">
        <v>0</v>
      </c>
      <c r="N459" s="1056">
        <v>0</v>
      </c>
      <c r="O459" s="1056">
        <v>449.74</v>
      </c>
      <c r="P459" s="1056">
        <v>4183431.92</v>
      </c>
      <c r="Q459" s="1056">
        <v>0</v>
      </c>
      <c r="R459" s="1056">
        <v>0</v>
      </c>
      <c r="S459" s="1056">
        <v>0</v>
      </c>
      <c r="T459" s="1056">
        <v>0</v>
      </c>
      <c r="U459" s="1056">
        <v>0</v>
      </c>
      <c r="V459" s="1056">
        <v>0</v>
      </c>
      <c r="W459" s="1056">
        <v>0</v>
      </c>
      <c r="X459" s="1056">
        <v>0</v>
      </c>
      <c r="Y459" s="1076">
        <v>0</v>
      </c>
      <c r="Z459" s="1056">
        <v>327662.57</v>
      </c>
      <c r="AA459" s="1056">
        <v>0</v>
      </c>
    </row>
    <row r="460" spans="1:27" s="1064" customFormat="1" ht="96" customHeight="1">
      <c r="A460" s="1121"/>
      <c r="B460" s="1062" t="s">
        <v>1117</v>
      </c>
      <c r="C460" s="1056">
        <f>C461+C462</f>
        <v>5751075.0700000003</v>
      </c>
      <c r="D460" s="1056">
        <f t="shared" ref="D460:AA460" si="340">D461+D462</f>
        <v>0</v>
      </c>
      <c r="E460" s="1056">
        <f t="shared" si="340"/>
        <v>0</v>
      </c>
      <c r="F460" s="1056">
        <f t="shared" si="340"/>
        <v>0</v>
      </c>
      <c r="G460" s="1056">
        <f t="shared" si="340"/>
        <v>0</v>
      </c>
      <c r="H460" s="1056">
        <f t="shared" si="340"/>
        <v>0</v>
      </c>
      <c r="I460" s="1056">
        <f t="shared" si="340"/>
        <v>0</v>
      </c>
      <c r="J460" s="1056">
        <f t="shared" si="340"/>
        <v>0</v>
      </c>
      <c r="K460" s="1056">
        <f t="shared" si="340"/>
        <v>0</v>
      </c>
      <c r="L460" s="1056">
        <f t="shared" si="340"/>
        <v>0</v>
      </c>
      <c r="M460" s="1056">
        <f t="shared" si="340"/>
        <v>0</v>
      </c>
      <c r="N460" s="1056">
        <f t="shared" si="340"/>
        <v>0</v>
      </c>
      <c r="O460" s="1056">
        <f t="shared" si="340"/>
        <v>730.84</v>
      </c>
      <c r="P460" s="1056">
        <f t="shared" si="340"/>
        <v>5333346.72</v>
      </c>
      <c r="Q460" s="1056">
        <f t="shared" si="340"/>
        <v>0</v>
      </c>
      <c r="R460" s="1056">
        <f t="shared" si="340"/>
        <v>0</v>
      </c>
      <c r="S460" s="1056">
        <f t="shared" si="340"/>
        <v>0</v>
      </c>
      <c r="T460" s="1056">
        <f t="shared" si="340"/>
        <v>0</v>
      </c>
      <c r="U460" s="1056">
        <f t="shared" si="340"/>
        <v>0</v>
      </c>
      <c r="V460" s="1056">
        <f t="shared" si="340"/>
        <v>0</v>
      </c>
      <c r="W460" s="1056">
        <f t="shared" si="340"/>
        <v>0</v>
      </c>
      <c r="X460" s="1056">
        <f t="shared" si="340"/>
        <v>0</v>
      </c>
      <c r="Y460" s="1056">
        <f t="shared" si="340"/>
        <v>0</v>
      </c>
      <c r="Z460" s="1056">
        <f t="shared" si="340"/>
        <v>417728.35</v>
      </c>
      <c r="AA460" s="1056">
        <f t="shared" si="340"/>
        <v>0</v>
      </c>
    </row>
    <row r="461" spans="1:27" s="1075" customFormat="1" ht="92.45" customHeight="1">
      <c r="A461" s="1121">
        <v>87</v>
      </c>
      <c r="B461" s="1062" t="s">
        <v>1361</v>
      </c>
      <c r="C461" s="1056">
        <f>D461+N461+P461+R461+T461+X461+Z461+L461</f>
        <v>2173815.4500000002</v>
      </c>
      <c r="D461" s="1056">
        <f>SUM(E461:J461)</f>
        <v>0</v>
      </c>
      <c r="E461" s="1056">
        <v>0</v>
      </c>
      <c r="F461" s="1056">
        <v>0</v>
      </c>
      <c r="G461" s="1056">
        <v>0</v>
      </c>
      <c r="H461" s="1056">
        <v>0</v>
      </c>
      <c r="I461" s="1056">
        <v>0</v>
      </c>
      <c r="J461" s="1056">
        <v>0</v>
      </c>
      <c r="K461" s="1063">
        <v>0</v>
      </c>
      <c r="L461" s="1056">
        <v>0</v>
      </c>
      <c r="M461" s="1063">
        <v>0</v>
      </c>
      <c r="N461" s="1056">
        <v>0</v>
      </c>
      <c r="O461" s="1056">
        <v>374.3</v>
      </c>
      <c r="P461" s="1056">
        <v>2015920.74</v>
      </c>
      <c r="Q461" s="1056">
        <v>0</v>
      </c>
      <c r="R461" s="1056">
        <v>0</v>
      </c>
      <c r="S461" s="1056">
        <v>0</v>
      </c>
      <c r="T461" s="1056">
        <v>0</v>
      </c>
      <c r="U461" s="1056">
        <v>0</v>
      </c>
      <c r="V461" s="1056">
        <v>0</v>
      </c>
      <c r="W461" s="1056">
        <v>0</v>
      </c>
      <c r="X461" s="1056">
        <v>0</v>
      </c>
      <c r="Y461" s="1076">
        <v>0</v>
      </c>
      <c r="Z461" s="1056">
        <v>157894.71</v>
      </c>
      <c r="AA461" s="1056">
        <v>0</v>
      </c>
    </row>
    <row r="462" spans="1:27" s="1075" customFormat="1" ht="92.45" customHeight="1">
      <c r="A462" s="1121">
        <v>88</v>
      </c>
      <c r="B462" s="1062" t="s">
        <v>1362</v>
      </c>
      <c r="C462" s="1056">
        <f t="shared" ref="C462" si="341">D462+N462+P462+R462+T462+X462+Z462+L462</f>
        <v>3577259.62</v>
      </c>
      <c r="D462" s="1056">
        <f t="shared" ref="D462" si="342">SUM(E462:J462)</f>
        <v>0</v>
      </c>
      <c r="E462" s="1056">
        <v>0</v>
      </c>
      <c r="F462" s="1056">
        <v>0</v>
      </c>
      <c r="G462" s="1056">
        <v>0</v>
      </c>
      <c r="H462" s="1056">
        <v>0</v>
      </c>
      <c r="I462" s="1056">
        <v>0</v>
      </c>
      <c r="J462" s="1056">
        <v>0</v>
      </c>
      <c r="K462" s="1063">
        <v>0</v>
      </c>
      <c r="L462" s="1056">
        <v>0</v>
      </c>
      <c r="M462" s="1063">
        <v>0</v>
      </c>
      <c r="N462" s="1056">
        <v>0</v>
      </c>
      <c r="O462" s="1056">
        <v>356.54</v>
      </c>
      <c r="P462" s="1056">
        <v>3317425.98</v>
      </c>
      <c r="Q462" s="1056">
        <v>0</v>
      </c>
      <c r="R462" s="1056">
        <v>0</v>
      </c>
      <c r="S462" s="1056">
        <v>0</v>
      </c>
      <c r="T462" s="1056">
        <v>0</v>
      </c>
      <c r="U462" s="1056">
        <v>0</v>
      </c>
      <c r="V462" s="1056">
        <v>0</v>
      </c>
      <c r="W462" s="1056">
        <v>0</v>
      </c>
      <c r="X462" s="1056">
        <v>0</v>
      </c>
      <c r="Y462" s="1076">
        <v>0</v>
      </c>
      <c r="Z462" s="1056">
        <v>259833.64</v>
      </c>
      <c r="AA462" s="1056">
        <v>0</v>
      </c>
    </row>
    <row r="463" spans="1:27" s="1075" customFormat="1" ht="143.25" customHeight="1">
      <c r="A463" s="1121"/>
      <c r="B463" s="1062" t="s">
        <v>1245</v>
      </c>
      <c r="C463" s="1056">
        <f>C464</f>
        <v>7602256</v>
      </c>
      <c r="D463" s="1056">
        <f t="shared" ref="D463:AA463" si="343">D464</f>
        <v>0</v>
      </c>
      <c r="E463" s="1056">
        <f t="shared" si="343"/>
        <v>0</v>
      </c>
      <c r="F463" s="1056">
        <f t="shared" si="343"/>
        <v>0</v>
      </c>
      <c r="G463" s="1056">
        <f t="shared" si="343"/>
        <v>0</v>
      </c>
      <c r="H463" s="1056">
        <f t="shared" si="343"/>
        <v>0</v>
      </c>
      <c r="I463" s="1056">
        <f t="shared" si="343"/>
        <v>0</v>
      </c>
      <c r="J463" s="1056">
        <f t="shared" si="343"/>
        <v>0</v>
      </c>
      <c r="K463" s="1056">
        <f t="shared" si="343"/>
        <v>0</v>
      </c>
      <c r="L463" s="1056">
        <f t="shared" si="343"/>
        <v>0</v>
      </c>
      <c r="M463" s="1056">
        <f t="shared" si="343"/>
        <v>0</v>
      </c>
      <c r="N463" s="1056">
        <f t="shared" si="343"/>
        <v>0</v>
      </c>
      <c r="O463" s="1056">
        <f t="shared" si="343"/>
        <v>1309</v>
      </c>
      <c r="P463" s="1056">
        <f t="shared" si="343"/>
        <v>7050067.4400000004</v>
      </c>
      <c r="Q463" s="1056">
        <f t="shared" si="343"/>
        <v>0</v>
      </c>
      <c r="R463" s="1056">
        <f t="shared" si="343"/>
        <v>0</v>
      </c>
      <c r="S463" s="1056">
        <f t="shared" si="343"/>
        <v>0</v>
      </c>
      <c r="T463" s="1056">
        <f t="shared" si="343"/>
        <v>0</v>
      </c>
      <c r="U463" s="1056">
        <f t="shared" si="343"/>
        <v>0</v>
      </c>
      <c r="V463" s="1056">
        <f t="shared" si="343"/>
        <v>0</v>
      </c>
      <c r="W463" s="1056">
        <f t="shared" si="343"/>
        <v>0</v>
      </c>
      <c r="X463" s="1056">
        <f t="shared" si="343"/>
        <v>0</v>
      </c>
      <c r="Y463" s="1056">
        <f t="shared" si="343"/>
        <v>0</v>
      </c>
      <c r="Z463" s="1056">
        <f t="shared" si="343"/>
        <v>552188.56000000006</v>
      </c>
      <c r="AA463" s="1056">
        <f t="shared" si="343"/>
        <v>0</v>
      </c>
    </row>
    <row r="464" spans="1:27" s="1075" customFormat="1" ht="93" customHeight="1">
      <c r="A464" s="1121">
        <v>89</v>
      </c>
      <c r="B464" s="1062" t="s">
        <v>1510</v>
      </c>
      <c r="C464" s="1056">
        <f>D464+N464+P464+R464+T464+X464+Z464+L464</f>
        <v>7602256</v>
      </c>
      <c r="D464" s="1056">
        <f>SUM(E464:J464)</f>
        <v>0</v>
      </c>
      <c r="E464" s="1068">
        <v>0</v>
      </c>
      <c r="F464" s="1068">
        <v>0</v>
      </c>
      <c r="G464" s="1068">
        <v>0</v>
      </c>
      <c r="H464" s="1068">
        <v>0</v>
      </c>
      <c r="I464" s="1068">
        <v>0</v>
      </c>
      <c r="J464" s="1068">
        <v>0</v>
      </c>
      <c r="K464" s="1063">
        <v>0</v>
      </c>
      <c r="L464" s="1068">
        <v>0</v>
      </c>
      <c r="M464" s="1063">
        <v>0</v>
      </c>
      <c r="N464" s="1068">
        <v>0</v>
      </c>
      <c r="O464" s="1068">
        <v>1309</v>
      </c>
      <c r="P464" s="1068">
        <v>7050067.4400000004</v>
      </c>
      <c r="Q464" s="1068">
        <v>0</v>
      </c>
      <c r="R464" s="1068">
        <v>0</v>
      </c>
      <c r="S464" s="1068">
        <v>0</v>
      </c>
      <c r="T464" s="1068">
        <v>0</v>
      </c>
      <c r="U464" s="1056">
        <v>0</v>
      </c>
      <c r="V464" s="1056">
        <v>0</v>
      </c>
      <c r="W464" s="1068">
        <v>0</v>
      </c>
      <c r="X464" s="1068">
        <v>0</v>
      </c>
      <c r="Y464" s="1076">
        <v>0</v>
      </c>
      <c r="Z464" s="1056">
        <v>552188.56000000006</v>
      </c>
      <c r="AA464" s="1056">
        <v>0</v>
      </c>
    </row>
    <row r="465" spans="1:27" s="1064" customFormat="1" ht="132.6" customHeight="1">
      <c r="A465" s="1121"/>
      <c r="B465" s="1062" t="s">
        <v>1053</v>
      </c>
      <c r="C465" s="1056">
        <f>C466+C467+C469+C468+C470</f>
        <v>26406023.920000002</v>
      </c>
      <c r="D465" s="1056">
        <f t="shared" ref="D465:AA465" si="344">D466+D467+D469+D468+D470</f>
        <v>0</v>
      </c>
      <c r="E465" s="1056">
        <f t="shared" si="344"/>
        <v>0</v>
      </c>
      <c r="F465" s="1056">
        <f t="shared" si="344"/>
        <v>0</v>
      </c>
      <c r="G465" s="1056">
        <f t="shared" si="344"/>
        <v>0</v>
      </c>
      <c r="H465" s="1056">
        <f t="shared" si="344"/>
        <v>0</v>
      </c>
      <c r="I465" s="1056">
        <f t="shared" si="344"/>
        <v>0</v>
      </c>
      <c r="J465" s="1056">
        <f t="shared" si="344"/>
        <v>0</v>
      </c>
      <c r="K465" s="1056">
        <f t="shared" si="344"/>
        <v>0</v>
      </c>
      <c r="L465" s="1056">
        <f t="shared" si="344"/>
        <v>0</v>
      </c>
      <c r="M465" s="1056">
        <f t="shared" si="344"/>
        <v>4</v>
      </c>
      <c r="N465" s="1056">
        <f t="shared" si="344"/>
        <v>12420354.74</v>
      </c>
      <c r="O465" s="1056">
        <f t="shared" si="344"/>
        <v>1287.9000000000001</v>
      </c>
      <c r="P465" s="1056">
        <f t="shared" si="344"/>
        <v>9622834.8200000003</v>
      </c>
      <c r="Q465" s="1056">
        <f t="shared" si="344"/>
        <v>0</v>
      </c>
      <c r="R465" s="1056">
        <f t="shared" si="344"/>
        <v>0</v>
      </c>
      <c r="S465" s="1056">
        <f t="shared" si="344"/>
        <v>566</v>
      </c>
      <c r="T465" s="1056">
        <f t="shared" si="344"/>
        <v>2444837.34</v>
      </c>
      <c r="U465" s="1056">
        <f t="shared" si="344"/>
        <v>0</v>
      </c>
      <c r="V465" s="1056">
        <f t="shared" si="344"/>
        <v>0</v>
      </c>
      <c r="W465" s="1056">
        <f t="shared" si="344"/>
        <v>0</v>
      </c>
      <c r="X465" s="1056">
        <f t="shared" si="344"/>
        <v>0</v>
      </c>
      <c r="Y465" s="1056">
        <f t="shared" si="344"/>
        <v>0</v>
      </c>
      <c r="Z465" s="1056">
        <f t="shared" si="344"/>
        <v>1917997.02</v>
      </c>
      <c r="AA465" s="1056">
        <f t="shared" si="344"/>
        <v>0</v>
      </c>
    </row>
    <row r="466" spans="1:27" s="1064" customFormat="1" ht="102" customHeight="1">
      <c r="A466" s="1121">
        <v>90</v>
      </c>
      <c r="B466" s="1245" t="s">
        <v>1689</v>
      </c>
      <c r="C466" s="1056">
        <f>D466+N466+P466+R466+T466+X466+Z466+L466</f>
        <v>3495643.92</v>
      </c>
      <c r="D466" s="1056">
        <f>SUM(E466:J466)</f>
        <v>0</v>
      </c>
      <c r="E466" s="1068">
        <v>0</v>
      </c>
      <c r="F466" s="1068">
        <v>0</v>
      </c>
      <c r="G466" s="1068">
        <v>0</v>
      </c>
      <c r="H466" s="1068">
        <v>0</v>
      </c>
      <c r="I466" s="1068">
        <v>0</v>
      </c>
      <c r="J466" s="1068">
        <v>0</v>
      </c>
      <c r="K466" s="1063">
        <v>0</v>
      </c>
      <c r="L466" s="1068">
        <v>0</v>
      </c>
      <c r="M466" s="1063">
        <v>0</v>
      </c>
      <c r="N466" s="1068">
        <v>0</v>
      </c>
      <c r="O466" s="1068">
        <v>601.9</v>
      </c>
      <c r="P466" s="1068">
        <v>3241738.42</v>
      </c>
      <c r="Q466" s="1068">
        <v>0</v>
      </c>
      <c r="R466" s="1068">
        <v>0</v>
      </c>
      <c r="S466" s="1068">
        <v>0</v>
      </c>
      <c r="T466" s="1068">
        <v>0</v>
      </c>
      <c r="U466" s="1056">
        <v>0</v>
      </c>
      <c r="V466" s="1056">
        <v>0</v>
      </c>
      <c r="W466" s="1068">
        <v>0</v>
      </c>
      <c r="X466" s="1068">
        <v>0</v>
      </c>
      <c r="Y466" s="1076">
        <v>0</v>
      </c>
      <c r="Z466" s="1068">
        <v>253905.5</v>
      </c>
      <c r="AA466" s="1068">
        <v>0</v>
      </c>
    </row>
    <row r="467" spans="1:27" s="1064" customFormat="1" ht="91.15" customHeight="1">
      <c r="A467" s="1121">
        <v>91</v>
      </c>
      <c r="B467" s="1245" t="s">
        <v>1690</v>
      </c>
      <c r="C467" s="1056">
        <f t="shared" ref="C467:C469" si="345">D467+N467+P467+R467+T467+X467+Z467+L467</f>
        <v>2636326.46</v>
      </c>
      <c r="D467" s="1056">
        <f t="shared" ref="D467:D469" si="346">SUM(E467:J467)</f>
        <v>0</v>
      </c>
      <c r="E467" s="1068">
        <v>0</v>
      </c>
      <c r="F467" s="1068">
        <v>0</v>
      </c>
      <c r="G467" s="1068">
        <v>0</v>
      </c>
      <c r="H467" s="1068">
        <v>0</v>
      </c>
      <c r="I467" s="1068">
        <v>0</v>
      </c>
      <c r="J467" s="1068">
        <v>0</v>
      </c>
      <c r="K467" s="1063">
        <v>0</v>
      </c>
      <c r="L467" s="1068">
        <v>0</v>
      </c>
      <c r="M467" s="1063">
        <v>0</v>
      </c>
      <c r="N467" s="1068">
        <v>0</v>
      </c>
      <c r="O467" s="1068">
        <v>0</v>
      </c>
      <c r="P467" s="1068">
        <v>0</v>
      </c>
      <c r="Q467" s="1068">
        <v>0</v>
      </c>
      <c r="R467" s="1068">
        <v>0</v>
      </c>
      <c r="S467" s="1068">
        <v>566</v>
      </c>
      <c r="T467" s="1068">
        <v>2444837.34</v>
      </c>
      <c r="U467" s="1056">
        <v>0</v>
      </c>
      <c r="V467" s="1056">
        <v>0</v>
      </c>
      <c r="W467" s="1068">
        <v>0</v>
      </c>
      <c r="X467" s="1068">
        <v>0</v>
      </c>
      <c r="Y467" s="1076">
        <v>0</v>
      </c>
      <c r="Z467" s="1068">
        <v>191489.12</v>
      </c>
      <c r="AA467" s="1068">
        <v>0</v>
      </c>
    </row>
    <row r="468" spans="1:27" s="1064" customFormat="1" ht="92.45" customHeight="1">
      <c r="A468" s="1121">
        <v>92</v>
      </c>
      <c r="B468" s="1245" t="s">
        <v>1691</v>
      </c>
      <c r="C468" s="1056">
        <f t="shared" si="345"/>
        <v>6880888.5600000005</v>
      </c>
      <c r="D468" s="1056">
        <f t="shared" si="346"/>
        <v>0</v>
      </c>
      <c r="E468" s="1068">
        <v>0</v>
      </c>
      <c r="F468" s="1068">
        <v>0</v>
      </c>
      <c r="G468" s="1068">
        <v>0</v>
      </c>
      <c r="H468" s="1068">
        <v>0</v>
      </c>
      <c r="I468" s="1068">
        <v>0</v>
      </c>
      <c r="J468" s="1068">
        <v>0</v>
      </c>
      <c r="K468" s="1063">
        <v>0</v>
      </c>
      <c r="L468" s="1068">
        <v>0</v>
      </c>
      <c r="M468" s="1063">
        <v>0</v>
      </c>
      <c r="N468" s="1068">
        <v>0</v>
      </c>
      <c r="O468" s="1068">
        <v>686</v>
      </c>
      <c r="P468" s="1068">
        <v>6381096.4000000004</v>
      </c>
      <c r="Q468" s="1068">
        <v>0</v>
      </c>
      <c r="R468" s="1068">
        <v>0</v>
      </c>
      <c r="S468" s="1068">
        <v>0</v>
      </c>
      <c r="T468" s="1068">
        <v>0</v>
      </c>
      <c r="U468" s="1056">
        <v>0</v>
      </c>
      <c r="V468" s="1056">
        <v>0</v>
      </c>
      <c r="W468" s="1068">
        <v>0</v>
      </c>
      <c r="X468" s="1068">
        <v>0</v>
      </c>
      <c r="Y468" s="1076">
        <v>0</v>
      </c>
      <c r="Z468" s="1068">
        <v>499792.16</v>
      </c>
      <c r="AA468" s="1068">
        <v>0</v>
      </c>
    </row>
    <row r="469" spans="1:27" s="1064" customFormat="1" ht="87.6" customHeight="1">
      <c r="A469" s="1121">
        <v>93</v>
      </c>
      <c r="B469" s="1245" t="s">
        <v>1692</v>
      </c>
      <c r="C469" s="1056">
        <f t="shared" si="345"/>
        <v>6696582.4900000002</v>
      </c>
      <c r="D469" s="1056">
        <f t="shared" si="346"/>
        <v>0</v>
      </c>
      <c r="E469" s="1068">
        <v>0</v>
      </c>
      <c r="F469" s="1068">
        <v>0</v>
      </c>
      <c r="G469" s="1068">
        <v>0</v>
      </c>
      <c r="H469" s="1068">
        <v>0</v>
      </c>
      <c r="I469" s="1068">
        <v>0</v>
      </c>
      <c r="J469" s="1068">
        <v>0</v>
      </c>
      <c r="K469" s="1063">
        <v>0</v>
      </c>
      <c r="L469" s="1068">
        <v>0</v>
      </c>
      <c r="M469" s="1063">
        <v>2</v>
      </c>
      <c r="N469" s="1068">
        <v>6210177.3700000001</v>
      </c>
      <c r="O469" s="1068">
        <v>0</v>
      </c>
      <c r="P469" s="1068">
        <v>0</v>
      </c>
      <c r="Q469" s="1068">
        <v>0</v>
      </c>
      <c r="R469" s="1068">
        <v>0</v>
      </c>
      <c r="S469" s="1068">
        <v>0</v>
      </c>
      <c r="T469" s="1068">
        <v>0</v>
      </c>
      <c r="U469" s="1056">
        <v>0</v>
      </c>
      <c r="V469" s="1056">
        <v>0</v>
      </c>
      <c r="W469" s="1068">
        <v>0</v>
      </c>
      <c r="X469" s="1068">
        <v>0</v>
      </c>
      <c r="Y469" s="1076">
        <v>0</v>
      </c>
      <c r="Z469" s="1068">
        <v>486405.12</v>
      </c>
      <c r="AA469" s="1068">
        <v>0</v>
      </c>
    </row>
    <row r="470" spans="1:27" s="1064" customFormat="1" ht="87.6" customHeight="1">
      <c r="A470" s="1121">
        <v>94</v>
      </c>
      <c r="B470" s="1245" t="s">
        <v>1693</v>
      </c>
      <c r="C470" s="1056">
        <f t="shared" ref="C470" si="347">D470+N470+P470+R470+T470+X470+Z470+L470</f>
        <v>6696582.4900000002</v>
      </c>
      <c r="D470" s="1056">
        <f t="shared" ref="D470" si="348">SUM(E470:J470)</f>
        <v>0</v>
      </c>
      <c r="E470" s="1068">
        <v>0</v>
      </c>
      <c r="F470" s="1068">
        <v>0</v>
      </c>
      <c r="G470" s="1068">
        <v>0</v>
      </c>
      <c r="H470" s="1068">
        <v>0</v>
      </c>
      <c r="I470" s="1068">
        <v>0</v>
      </c>
      <c r="J470" s="1068">
        <v>0</v>
      </c>
      <c r="K470" s="1063">
        <v>0</v>
      </c>
      <c r="L470" s="1068">
        <v>0</v>
      </c>
      <c r="M470" s="1063">
        <v>2</v>
      </c>
      <c r="N470" s="1068">
        <v>6210177.3700000001</v>
      </c>
      <c r="O470" s="1068">
        <v>0</v>
      </c>
      <c r="P470" s="1068">
        <v>0</v>
      </c>
      <c r="Q470" s="1068">
        <v>0</v>
      </c>
      <c r="R470" s="1068">
        <v>0</v>
      </c>
      <c r="S470" s="1068">
        <v>0</v>
      </c>
      <c r="T470" s="1068">
        <v>0</v>
      </c>
      <c r="U470" s="1056">
        <v>0</v>
      </c>
      <c r="V470" s="1056">
        <v>0</v>
      </c>
      <c r="W470" s="1068">
        <v>0</v>
      </c>
      <c r="X470" s="1068">
        <v>0</v>
      </c>
      <c r="Y470" s="1076">
        <v>0</v>
      </c>
      <c r="Z470" s="1068">
        <v>486405.12</v>
      </c>
      <c r="AA470" s="1068">
        <v>0</v>
      </c>
    </row>
    <row r="471" spans="1:27" s="1064" customFormat="1" ht="66.599999999999994" customHeight="1">
      <c r="A471" s="1121"/>
      <c r="B471" s="1062" t="s">
        <v>67</v>
      </c>
      <c r="C471" s="1056">
        <f t="shared" ref="C471:AA471" si="349">C472+C474</f>
        <v>10675920.869999999</v>
      </c>
      <c r="D471" s="1056">
        <f t="shared" si="349"/>
        <v>0</v>
      </c>
      <c r="E471" s="1056">
        <f t="shared" si="349"/>
        <v>0</v>
      </c>
      <c r="F471" s="1056">
        <f t="shared" si="349"/>
        <v>0</v>
      </c>
      <c r="G471" s="1056">
        <f t="shared" si="349"/>
        <v>0</v>
      </c>
      <c r="H471" s="1056">
        <f t="shared" si="349"/>
        <v>0</v>
      </c>
      <c r="I471" s="1056">
        <f t="shared" si="349"/>
        <v>0</v>
      </c>
      <c r="J471" s="1056">
        <f t="shared" si="349"/>
        <v>0</v>
      </c>
      <c r="K471" s="1056">
        <f t="shared" si="349"/>
        <v>0</v>
      </c>
      <c r="L471" s="1056">
        <f t="shared" si="349"/>
        <v>0</v>
      </c>
      <c r="M471" s="1056">
        <f t="shared" si="349"/>
        <v>0</v>
      </c>
      <c r="N471" s="1056">
        <f t="shared" si="349"/>
        <v>0</v>
      </c>
      <c r="O471" s="1056">
        <f t="shared" si="349"/>
        <v>1322</v>
      </c>
      <c r="P471" s="1056">
        <f t="shared" si="349"/>
        <v>9900477.1899999995</v>
      </c>
      <c r="Q471" s="1056">
        <f t="shared" si="349"/>
        <v>0</v>
      </c>
      <c r="R471" s="1056">
        <f t="shared" si="349"/>
        <v>0</v>
      </c>
      <c r="S471" s="1056">
        <f t="shared" si="349"/>
        <v>0</v>
      </c>
      <c r="T471" s="1056">
        <f t="shared" si="349"/>
        <v>0</v>
      </c>
      <c r="U471" s="1056">
        <f t="shared" si="349"/>
        <v>0</v>
      </c>
      <c r="V471" s="1056">
        <f t="shared" si="349"/>
        <v>0</v>
      </c>
      <c r="W471" s="1056">
        <f t="shared" si="349"/>
        <v>0</v>
      </c>
      <c r="X471" s="1056">
        <f t="shared" si="349"/>
        <v>0</v>
      </c>
      <c r="Y471" s="1056">
        <f t="shared" si="349"/>
        <v>0</v>
      </c>
      <c r="Z471" s="1056">
        <f t="shared" si="349"/>
        <v>775443.67999999993</v>
      </c>
      <c r="AA471" s="1056">
        <f t="shared" si="349"/>
        <v>0</v>
      </c>
    </row>
    <row r="472" spans="1:27" s="1064" customFormat="1" ht="184.9" customHeight="1">
      <c r="A472" s="1121"/>
      <c r="B472" s="1062" t="s">
        <v>1082</v>
      </c>
      <c r="C472" s="1056">
        <f>C473</f>
        <v>7121619.3599999994</v>
      </c>
      <c r="D472" s="1056">
        <f t="shared" ref="D472:AA472" si="350">D473</f>
        <v>0</v>
      </c>
      <c r="E472" s="1056">
        <f t="shared" si="350"/>
        <v>0</v>
      </c>
      <c r="F472" s="1056">
        <f t="shared" si="350"/>
        <v>0</v>
      </c>
      <c r="G472" s="1056">
        <f t="shared" si="350"/>
        <v>0</v>
      </c>
      <c r="H472" s="1056">
        <f t="shared" si="350"/>
        <v>0</v>
      </c>
      <c r="I472" s="1056">
        <f t="shared" si="350"/>
        <v>0</v>
      </c>
      <c r="J472" s="1056">
        <f t="shared" si="350"/>
        <v>0</v>
      </c>
      <c r="K472" s="1056">
        <f t="shared" si="350"/>
        <v>0</v>
      </c>
      <c r="L472" s="1056">
        <f t="shared" si="350"/>
        <v>0</v>
      </c>
      <c r="M472" s="1056">
        <f t="shared" si="350"/>
        <v>0</v>
      </c>
      <c r="N472" s="1056">
        <f t="shared" si="350"/>
        <v>0</v>
      </c>
      <c r="O472" s="1056">
        <f t="shared" si="350"/>
        <v>710</v>
      </c>
      <c r="P472" s="1056">
        <f t="shared" si="350"/>
        <v>6604341.7599999998</v>
      </c>
      <c r="Q472" s="1056">
        <f t="shared" si="350"/>
        <v>0</v>
      </c>
      <c r="R472" s="1056">
        <f t="shared" si="350"/>
        <v>0</v>
      </c>
      <c r="S472" s="1056">
        <f t="shared" si="350"/>
        <v>0</v>
      </c>
      <c r="T472" s="1056">
        <f t="shared" si="350"/>
        <v>0</v>
      </c>
      <c r="U472" s="1056">
        <f t="shared" si="350"/>
        <v>0</v>
      </c>
      <c r="V472" s="1056">
        <f t="shared" si="350"/>
        <v>0</v>
      </c>
      <c r="W472" s="1056">
        <f t="shared" si="350"/>
        <v>0</v>
      </c>
      <c r="X472" s="1056">
        <f t="shared" si="350"/>
        <v>0</v>
      </c>
      <c r="Y472" s="1056">
        <f t="shared" si="350"/>
        <v>0</v>
      </c>
      <c r="Z472" s="1056">
        <f t="shared" si="350"/>
        <v>517277.6</v>
      </c>
      <c r="AA472" s="1056">
        <f t="shared" si="350"/>
        <v>0</v>
      </c>
    </row>
    <row r="473" spans="1:27" s="1064" customFormat="1" ht="103.9" customHeight="1">
      <c r="A473" s="1121">
        <v>95</v>
      </c>
      <c r="B473" s="1062" t="s">
        <v>1354</v>
      </c>
      <c r="C473" s="1056">
        <f>D473+N473+P473+R473+T473+X473+Z473</f>
        <v>7121619.3599999994</v>
      </c>
      <c r="D473" s="1056">
        <v>0</v>
      </c>
      <c r="E473" s="1056">
        <v>0</v>
      </c>
      <c r="F473" s="1056">
        <v>0</v>
      </c>
      <c r="G473" s="1056">
        <v>0</v>
      </c>
      <c r="H473" s="1056">
        <v>0</v>
      </c>
      <c r="I473" s="1056">
        <v>0</v>
      </c>
      <c r="J473" s="1056">
        <v>0</v>
      </c>
      <c r="K473" s="1063">
        <v>0</v>
      </c>
      <c r="L473" s="1056">
        <v>0</v>
      </c>
      <c r="M473" s="1063">
        <v>0</v>
      </c>
      <c r="N473" s="1056">
        <v>0</v>
      </c>
      <c r="O473" s="1056">
        <v>710</v>
      </c>
      <c r="P473" s="1056">
        <v>6604341.7599999998</v>
      </c>
      <c r="Q473" s="1056">
        <v>0</v>
      </c>
      <c r="R473" s="1056">
        <v>0</v>
      </c>
      <c r="S473" s="1056">
        <v>0</v>
      </c>
      <c r="T473" s="1056">
        <v>0</v>
      </c>
      <c r="U473" s="1056">
        <v>0</v>
      </c>
      <c r="V473" s="1056">
        <v>0</v>
      </c>
      <c r="W473" s="1056">
        <v>0</v>
      </c>
      <c r="X473" s="1056">
        <v>0</v>
      </c>
      <c r="Y473" s="1076">
        <v>0</v>
      </c>
      <c r="Z473" s="1056">
        <v>517277.6</v>
      </c>
      <c r="AA473" s="1056">
        <v>0</v>
      </c>
    </row>
    <row r="474" spans="1:27" s="1064" customFormat="1" ht="144.75" customHeight="1">
      <c r="A474" s="1322"/>
      <c r="B474" s="1062" t="s">
        <v>1065</v>
      </c>
      <c r="C474" s="1056">
        <f>C475</f>
        <v>3554301.5100000002</v>
      </c>
      <c r="D474" s="1056">
        <f t="shared" ref="D474:AA474" si="351">D475</f>
        <v>0</v>
      </c>
      <c r="E474" s="1056">
        <f t="shared" si="351"/>
        <v>0</v>
      </c>
      <c r="F474" s="1056">
        <f t="shared" si="351"/>
        <v>0</v>
      </c>
      <c r="G474" s="1056">
        <f t="shared" si="351"/>
        <v>0</v>
      </c>
      <c r="H474" s="1056">
        <f t="shared" si="351"/>
        <v>0</v>
      </c>
      <c r="I474" s="1056">
        <f t="shared" si="351"/>
        <v>0</v>
      </c>
      <c r="J474" s="1056">
        <f t="shared" si="351"/>
        <v>0</v>
      </c>
      <c r="K474" s="1056">
        <f t="shared" si="351"/>
        <v>0</v>
      </c>
      <c r="L474" s="1056">
        <f t="shared" si="351"/>
        <v>0</v>
      </c>
      <c r="M474" s="1056">
        <f t="shared" si="351"/>
        <v>0</v>
      </c>
      <c r="N474" s="1056">
        <f t="shared" si="351"/>
        <v>0</v>
      </c>
      <c r="O474" s="1056">
        <f t="shared" si="351"/>
        <v>612</v>
      </c>
      <c r="P474" s="1056">
        <f t="shared" si="351"/>
        <v>3296135.43</v>
      </c>
      <c r="Q474" s="1056">
        <f t="shared" si="351"/>
        <v>0</v>
      </c>
      <c r="R474" s="1056">
        <f t="shared" si="351"/>
        <v>0</v>
      </c>
      <c r="S474" s="1056">
        <f t="shared" si="351"/>
        <v>0</v>
      </c>
      <c r="T474" s="1056">
        <f t="shared" si="351"/>
        <v>0</v>
      </c>
      <c r="U474" s="1056">
        <f t="shared" si="351"/>
        <v>0</v>
      </c>
      <c r="V474" s="1056">
        <f t="shared" si="351"/>
        <v>0</v>
      </c>
      <c r="W474" s="1056">
        <f t="shared" si="351"/>
        <v>0</v>
      </c>
      <c r="X474" s="1056">
        <f t="shared" si="351"/>
        <v>0</v>
      </c>
      <c r="Y474" s="1056">
        <f t="shared" si="351"/>
        <v>0</v>
      </c>
      <c r="Z474" s="1056">
        <f t="shared" si="351"/>
        <v>258166.08</v>
      </c>
      <c r="AA474" s="1056">
        <f t="shared" si="351"/>
        <v>0</v>
      </c>
    </row>
    <row r="475" spans="1:27" s="1064" customFormat="1" ht="103.9" customHeight="1">
      <c r="A475" s="1322">
        <v>96</v>
      </c>
      <c r="B475" s="1062" t="s">
        <v>1349</v>
      </c>
      <c r="C475" s="1056">
        <f>D475+N475+P475+R475+T475+X475+Z475</f>
        <v>3554301.5100000002</v>
      </c>
      <c r="D475" s="1056">
        <v>0</v>
      </c>
      <c r="E475" s="1056">
        <v>0</v>
      </c>
      <c r="F475" s="1056">
        <v>0</v>
      </c>
      <c r="G475" s="1056">
        <v>0</v>
      </c>
      <c r="H475" s="1056">
        <v>0</v>
      </c>
      <c r="I475" s="1056">
        <v>0</v>
      </c>
      <c r="J475" s="1056">
        <v>0</v>
      </c>
      <c r="K475" s="1063">
        <v>0</v>
      </c>
      <c r="L475" s="1056">
        <v>0</v>
      </c>
      <c r="M475" s="1063">
        <v>0</v>
      </c>
      <c r="N475" s="1056">
        <v>0</v>
      </c>
      <c r="O475" s="1056">
        <v>612</v>
      </c>
      <c r="P475" s="1056">
        <v>3296135.43</v>
      </c>
      <c r="Q475" s="1056">
        <v>0</v>
      </c>
      <c r="R475" s="1056">
        <v>0</v>
      </c>
      <c r="S475" s="1056">
        <v>0</v>
      </c>
      <c r="T475" s="1056">
        <v>0</v>
      </c>
      <c r="U475" s="1056">
        <v>0</v>
      </c>
      <c r="V475" s="1056">
        <v>0</v>
      </c>
      <c r="W475" s="1056">
        <v>0</v>
      </c>
      <c r="X475" s="1056">
        <v>0</v>
      </c>
      <c r="Y475" s="1076">
        <v>0</v>
      </c>
      <c r="Z475" s="1056">
        <v>258166.08</v>
      </c>
      <c r="AA475" s="1056">
        <v>0</v>
      </c>
    </row>
    <row r="476" spans="1:27" s="1064" customFormat="1" ht="80.45" customHeight="1">
      <c r="A476" s="1449" t="s">
        <v>1341</v>
      </c>
      <c r="B476" s="1449"/>
      <c r="C476" s="1449"/>
      <c r="D476" s="1449"/>
      <c r="E476" s="1449"/>
      <c r="F476" s="1449"/>
      <c r="G476" s="1449"/>
      <c r="H476" s="1449"/>
      <c r="I476" s="1449"/>
      <c r="J476" s="1449"/>
      <c r="K476" s="1449"/>
      <c r="L476" s="1449"/>
      <c r="M476" s="1449"/>
      <c r="N476" s="1449"/>
      <c r="O476" s="1449"/>
      <c r="P476" s="1449"/>
      <c r="Q476" s="1449"/>
      <c r="R476" s="1449"/>
      <c r="S476" s="1449"/>
      <c r="T476" s="1449"/>
      <c r="U476" s="1449"/>
      <c r="V476" s="1449"/>
      <c r="W476" s="1449"/>
      <c r="X476" s="1449"/>
      <c r="Y476" s="1449"/>
      <c r="Z476" s="1449"/>
      <c r="AA476" s="1449"/>
    </row>
    <row r="477" spans="1:27" s="1064" customFormat="1" ht="96.6" customHeight="1">
      <c r="A477" s="1062"/>
      <c r="B477" s="1062" t="s">
        <v>1261</v>
      </c>
      <c r="C477" s="1056">
        <f t="shared" ref="C477:AA477" si="352">C478+C640+C683+C701+C712+C727+C729+C738+C752+C763+C788+C792+C796+C803+C807+C824+C828+C856+C863+C904+C911+C921+C948+C957+C973+C977+C980+C986+C989+C992+C1007+C1010+C1014+C1022+C970+C946</f>
        <v>1744182941.6961851</v>
      </c>
      <c r="D477" s="1056">
        <f t="shared" si="352"/>
        <v>335794019.65919989</v>
      </c>
      <c r="E477" s="1056">
        <f t="shared" si="352"/>
        <v>44492553.18</v>
      </c>
      <c r="F477" s="1056">
        <f t="shared" si="352"/>
        <v>136447751.91720003</v>
      </c>
      <c r="G477" s="1056">
        <f t="shared" si="352"/>
        <v>21235365.289999995</v>
      </c>
      <c r="H477" s="1056">
        <f t="shared" si="352"/>
        <v>49193389.022000007</v>
      </c>
      <c r="I477" s="1056">
        <f t="shared" si="352"/>
        <v>30627558.100000001</v>
      </c>
      <c r="J477" s="1056">
        <f t="shared" si="352"/>
        <v>53797402.150000006</v>
      </c>
      <c r="K477" s="1056">
        <f t="shared" si="352"/>
        <v>30</v>
      </c>
      <c r="L477" s="1056">
        <f t="shared" si="352"/>
        <v>7771263.5502000004</v>
      </c>
      <c r="M477" s="1056">
        <f t="shared" si="352"/>
        <v>44</v>
      </c>
      <c r="N477" s="1056">
        <f t="shared" si="352"/>
        <v>115315155.06000002</v>
      </c>
      <c r="O477" s="1056">
        <f t="shared" si="352"/>
        <v>170554.76000000004</v>
      </c>
      <c r="P477" s="1056">
        <f t="shared" si="352"/>
        <v>717184362.77290034</v>
      </c>
      <c r="Q477" s="1056">
        <f t="shared" si="352"/>
        <v>5718.2999999999993</v>
      </c>
      <c r="R477" s="1056">
        <f t="shared" si="352"/>
        <v>6365398.3100000005</v>
      </c>
      <c r="S477" s="1056">
        <f t="shared" si="352"/>
        <v>68265.37999999999</v>
      </c>
      <c r="T477" s="1056">
        <f t="shared" si="352"/>
        <v>295136429.81832123</v>
      </c>
      <c r="U477" s="1056">
        <f t="shared" si="352"/>
        <v>937.59</v>
      </c>
      <c r="V477" s="1056">
        <f t="shared" si="352"/>
        <v>2313693</v>
      </c>
      <c r="W477" s="1056">
        <f t="shared" si="352"/>
        <v>0</v>
      </c>
      <c r="X477" s="1056">
        <f t="shared" si="352"/>
        <v>0</v>
      </c>
      <c r="Y477" s="1056">
        <f t="shared" si="352"/>
        <v>0</v>
      </c>
      <c r="Z477" s="1056">
        <f t="shared" si="352"/>
        <v>114317708.29556386</v>
      </c>
      <c r="AA477" s="1056">
        <f t="shared" si="352"/>
        <v>1028548.91</v>
      </c>
    </row>
    <row r="478" spans="1:27" s="1064" customFormat="1" ht="104.45" customHeight="1">
      <c r="A478" s="1322"/>
      <c r="B478" s="1055" t="s">
        <v>1217</v>
      </c>
      <c r="C478" s="1056">
        <f t="shared" ref="C478:T478" si="353">SUM(C479:C639)</f>
        <v>839276985.68805385</v>
      </c>
      <c r="D478" s="1056">
        <f t="shared" si="353"/>
        <v>208164656.87919998</v>
      </c>
      <c r="E478" s="1056">
        <f t="shared" si="353"/>
        <v>25192489.969999999</v>
      </c>
      <c r="F478" s="1056">
        <f t="shared" si="353"/>
        <v>77710452.847200006</v>
      </c>
      <c r="G478" s="1056">
        <f t="shared" si="353"/>
        <v>18331664.219999995</v>
      </c>
      <c r="H478" s="1056">
        <f t="shared" si="353"/>
        <v>33682826.042000003</v>
      </c>
      <c r="I478" s="1056">
        <f t="shared" si="353"/>
        <v>22735471.370000001</v>
      </c>
      <c r="J478" s="1056">
        <f t="shared" si="353"/>
        <v>30511752.430000003</v>
      </c>
      <c r="K478" s="1063">
        <f t="shared" si="353"/>
        <v>24</v>
      </c>
      <c r="L478" s="1056">
        <f t="shared" si="353"/>
        <v>5798573.0202000001</v>
      </c>
      <c r="M478" s="1063">
        <f t="shared" si="353"/>
        <v>29</v>
      </c>
      <c r="N478" s="1056">
        <f t="shared" si="353"/>
        <v>73946880.070000008</v>
      </c>
      <c r="O478" s="1056">
        <f t="shared" si="353"/>
        <v>39764.31</v>
      </c>
      <c r="P478" s="1056">
        <f t="shared" si="353"/>
        <v>182253672.48320001</v>
      </c>
      <c r="Q478" s="1056">
        <f t="shared" si="353"/>
        <v>3770</v>
      </c>
      <c r="R478" s="1056">
        <f t="shared" si="353"/>
        <v>3464345.83</v>
      </c>
      <c r="S478" s="1056">
        <f t="shared" si="353"/>
        <v>33679.229999999989</v>
      </c>
      <c r="T478" s="1056">
        <f t="shared" si="353"/>
        <v>179823716.65545398</v>
      </c>
      <c r="U478" s="1056">
        <v>0</v>
      </c>
      <c r="V478" s="1056">
        <v>0</v>
      </c>
      <c r="W478" s="1056">
        <f>SUM(W479:W639)</f>
        <v>0</v>
      </c>
      <c r="X478" s="1056">
        <f>SUM(X479:X639)</f>
        <v>0</v>
      </c>
      <c r="Y478" s="1056">
        <v>0</v>
      </c>
      <c r="Z478" s="1056">
        <f>SUM(Z479:Z639)</f>
        <v>52511644.040000007</v>
      </c>
      <c r="AA478" s="1056">
        <f>SUM(AA479:AA639)</f>
        <v>0</v>
      </c>
    </row>
    <row r="479" spans="1:27" s="1064" customFormat="1" ht="102.75" customHeight="1">
      <c r="A479" s="1322">
        <v>1</v>
      </c>
      <c r="B479" s="1233" t="s">
        <v>1812</v>
      </c>
      <c r="C479" s="1056">
        <f>D479+L479+N479+P479+R479+T479+V479+X479+Z479</f>
        <v>2381298</v>
      </c>
      <c r="D479" s="1056">
        <f t="shared" ref="D479:D532" si="354">SUM(E479:J479)</f>
        <v>0</v>
      </c>
      <c r="E479" s="1234">
        <v>0</v>
      </c>
      <c r="F479" s="1109">
        <v>0</v>
      </c>
      <c r="G479" s="1109">
        <v>0</v>
      </c>
      <c r="H479" s="1234">
        <v>0</v>
      </c>
      <c r="I479" s="1109">
        <v>0</v>
      </c>
      <c r="J479" s="1109">
        <v>0</v>
      </c>
      <c r="K479" s="1275">
        <v>0</v>
      </c>
      <c r="L479" s="1109">
        <v>0</v>
      </c>
      <c r="M479" s="1239">
        <v>0</v>
      </c>
      <c r="N479" s="1109">
        <v>0</v>
      </c>
      <c r="O479" s="1109">
        <v>0</v>
      </c>
      <c r="P479" s="1109">
        <v>0</v>
      </c>
      <c r="Q479" s="1109">
        <v>0</v>
      </c>
      <c r="R479" s="1109">
        <v>0</v>
      </c>
      <c r="S479" s="1109">
        <v>0</v>
      </c>
      <c r="T479" s="1109">
        <v>0</v>
      </c>
      <c r="U479" s="1109">
        <v>460.7</v>
      </c>
      <c r="V479" s="1109">
        <v>2208333</v>
      </c>
      <c r="W479" s="1274">
        <v>0</v>
      </c>
      <c r="X479" s="1109">
        <v>0</v>
      </c>
      <c r="Y479" s="1109">
        <v>0</v>
      </c>
      <c r="Z479" s="1109">
        <v>172965</v>
      </c>
      <c r="AA479" s="1056">
        <v>0</v>
      </c>
    </row>
    <row r="480" spans="1:27" s="1064" customFormat="1" ht="102.75" customHeight="1">
      <c r="A480" s="1322">
        <v>2</v>
      </c>
      <c r="B480" s="1233" t="s">
        <v>1813</v>
      </c>
      <c r="C480" s="1056">
        <f t="shared" ref="C480:C543" si="355">D480+L480+N480+P480+R480+T480+V480+X480+Z480</f>
        <v>4386000</v>
      </c>
      <c r="D480" s="1056">
        <f t="shared" si="354"/>
        <v>4336505</v>
      </c>
      <c r="E480" s="1234">
        <v>0</v>
      </c>
      <c r="F480" s="1109">
        <v>4336505</v>
      </c>
      <c r="G480" s="1109">
        <v>0</v>
      </c>
      <c r="H480" s="1234">
        <v>0</v>
      </c>
      <c r="I480" s="1109">
        <v>0</v>
      </c>
      <c r="J480" s="1109">
        <v>0</v>
      </c>
      <c r="K480" s="1275">
        <v>0</v>
      </c>
      <c r="L480" s="1109">
        <v>0</v>
      </c>
      <c r="M480" s="1239">
        <v>0</v>
      </c>
      <c r="N480" s="1109">
        <v>0</v>
      </c>
      <c r="O480" s="1109">
        <v>0</v>
      </c>
      <c r="P480" s="1109">
        <v>0</v>
      </c>
      <c r="Q480" s="1109">
        <v>0</v>
      </c>
      <c r="R480" s="1109">
        <v>0</v>
      </c>
      <c r="S480" s="1109">
        <v>0</v>
      </c>
      <c r="T480" s="1109">
        <v>0</v>
      </c>
      <c r="U480" s="1274">
        <v>0</v>
      </c>
      <c r="V480" s="1274">
        <v>0</v>
      </c>
      <c r="W480" s="1274">
        <v>0</v>
      </c>
      <c r="X480" s="1109">
        <v>0</v>
      </c>
      <c r="Y480" s="1109">
        <v>0</v>
      </c>
      <c r="Z480" s="1109">
        <v>49495</v>
      </c>
      <c r="AA480" s="1056">
        <v>0</v>
      </c>
    </row>
    <row r="481" spans="1:27" s="1064" customFormat="1" ht="102.75" customHeight="1">
      <c r="A481" s="1322">
        <v>3</v>
      </c>
      <c r="B481" s="1233" t="s">
        <v>1814</v>
      </c>
      <c r="C481" s="1056">
        <f t="shared" si="355"/>
        <v>3266338</v>
      </c>
      <c r="D481" s="1056">
        <f t="shared" si="354"/>
        <v>0</v>
      </c>
      <c r="E481" s="1234">
        <v>0</v>
      </c>
      <c r="F481" s="1109">
        <v>0</v>
      </c>
      <c r="G481" s="1109">
        <v>0</v>
      </c>
      <c r="H481" s="1234">
        <v>0</v>
      </c>
      <c r="I481" s="1109">
        <v>0</v>
      </c>
      <c r="J481" s="1109">
        <v>0</v>
      </c>
      <c r="K481" s="1275">
        <v>0</v>
      </c>
      <c r="L481" s="1109">
        <v>0</v>
      </c>
      <c r="M481" s="1239">
        <v>0</v>
      </c>
      <c r="N481" s="1109">
        <v>0</v>
      </c>
      <c r="O481" s="1109">
        <v>1223</v>
      </c>
      <c r="P481" s="1109">
        <v>3217231</v>
      </c>
      <c r="Q481" s="1109">
        <v>0</v>
      </c>
      <c r="R481" s="1109">
        <v>0</v>
      </c>
      <c r="S481" s="1109">
        <v>0</v>
      </c>
      <c r="T481" s="1109">
        <v>0</v>
      </c>
      <c r="U481" s="1274">
        <v>0</v>
      </c>
      <c r="V481" s="1274">
        <v>0</v>
      </c>
      <c r="W481" s="1274">
        <v>0</v>
      </c>
      <c r="X481" s="1109">
        <v>0</v>
      </c>
      <c r="Y481" s="1109">
        <v>0</v>
      </c>
      <c r="Z481" s="1109">
        <v>49107</v>
      </c>
      <c r="AA481" s="1056">
        <v>0</v>
      </c>
    </row>
    <row r="482" spans="1:27" s="1064" customFormat="1" ht="102.75" customHeight="1">
      <c r="A482" s="1322">
        <v>4</v>
      </c>
      <c r="B482" s="1233" t="s">
        <v>1815</v>
      </c>
      <c r="C482" s="1056">
        <f t="shared" si="355"/>
        <v>3240797</v>
      </c>
      <c r="D482" s="1056">
        <f t="shared" si="354"/>
        <v>0</v>
      </c>
      <c r="E482" s="1234">
        <v>0</v>
      </c>
      <c r="F482" s="1109">
        <v>0</v>
      </c>
      <c r="G482" s="1109">
        <v>0</v>
      </c>
      <c r="H482" s="1234">
        <v>0</v>
      </c>
      <c r="I482" s="1109">
        <v>0</v>
      </c>
      <c r="J482" s="1109">
        <v>0</v>
      </c>
      <c r="K482" s="1275">
        <v>0</v>
      </c>
      <c r="L482" s="1109">
        <v>0</v>
      </c>
      <c r="M482" s="1239">
        <v>0</v>
      </c>
      <c r="N482" s="1109">
        <v>0</v>
      </c>
      <c r="O482" s="1109">
        <v>1074</v>
      </c>
      <c r="P482" s="1109">
        <v>3185844</v>
      </c>
      <c r="Q482" s="1109">
        <v>0</v>
      </c>
      <c r="R482" s="1109">
        <v>0</v>
      </c>
      <c r="S482" s="1109">
        <v>0</v>
      </c>
      <c r="T482" s="1109">
        <v>0</v>
      </c>
      <c r="U482" s="1274">
        <v>0</v>
      </c>
      <c r="V482" s="1274">
        <v>0</v>
      </c>
      <c r="W482" s="1274">
        <v>0</v>
      </c>
      <c r="X482" s="1109">
        <v>0</v>
      </c>
      <c r="Y482" s="1109">
        <v>0</v>
      </c>
      <c r="Z482" s="1109">
        <v>54953</v>
      </c>
      <c r="AA482" s="1056">
        <v>0</v>
      </c>
    </row>
    <row r="483" spans="1:27" s="1064" customFormat="1" ht="102.75" customHeight="1">
      <c r="A483" s="1322">
        <v>5</v>
      </c>
      <c r="B483" s="1233" t="s">
        <v>1816</v>
      </c>
      <c r="C483" s="1056">
        <f t="shared" si="355"/>
        <v>659655.96</v>
      </c>
      <c r="D483" s="1056">
        <f t="shared" si="354"/>
        <v>316071.96000000002</v>
      </c>
      <c r="E483" s="1234">
        <v>0</v>
      </c>
      <c r="F483" s="1109">
        <v>0</v>
      </c>
      <c r="G483" s="1109">
        <v>0</v>
      </c>
      <c r="H483" s="1234">
        <v>0</v>
      </c>
      <c r="I483" s="1109">
        <v>0</v>
      </c>
      <c r="J483" s="1234">
        <v>316071.96000000002</v>
      </c>
      <c r="K483" s="1275">
        <v>0</v>
      </c>
      <c r="L483" s="1109">
        <v>0</v>
      </c>
      <c r="M483" s="1239">
        <v>0</v>
      </c>
      <c r="N483" s="1109">
        <v>0</v>
      </c>
      <c r="O483" s="1109">
        <v>0</v>
      </c>
      <c r="P483" s="1109">
        <v>0</v>
      </c>
      <c r="Q483" s="1109">
        <v>0</v>
      </c>
      <c r="R483" s="1109">
        <v>0</v>
      </c>
      <c r="S483" s="1109">
        <v>0</v>
      </c>
      <c r="T483" s="1109">
        <v>0</v>
      </c>
      <c r="U483" s="1274">
        <v>0</v>
      </c>
      <c r="V483" s="1274">
        <v>0</v>
      </c>
      <c r="W483" s="1274">
        <v>0</v>
      </c>
      <c r="X483" s="1109">
        <v>0</v>
      </c>
      <c r="Y483" s="1109">
        <v>0</v>
      </c>
      <c r="Z483" s="1109">
        <v>343584</v>
      </c>
      <c r="AA483" s="1056">
        <v>0</v>
      </c>
    </row>
    <row r="484" spans="1:27" s="1064" customFormat="1" ht="102.75" customHeight="1">
      <c r="A484" s="1322">
        <v>6</v>
      </c>
      <c r="B484" s="1233" t="s">
        <v>1817</v>
      </c>
      <c r="C484" s="1056">
        <f t="shared" si="355"/>
        <v>8665992</v>
      </c>
      <c r="D484" s="1056">
        <f t="shared" si="354"/>
        <v>0</v>
      </c>
      <c r="E484" s="1234">
        <v>0</v>
      </c>
      <c r="F484" s="1109">
        <v>0</v>
      </c>
      <c r="G484" s="1109">
        <v>0</v>
      </c>
      <c r="H484" s="1234">
        <v>0</v>
      </c>
      <c r="I484" s="1109">
        <v>0</v>
      </c>
      <c r="J484" s="1109">
        <v>0</v>
      </c>
      <c r="K484" s="1275">
        <v>0</v>
      </c>
      <c r="L484" s="1109">
        <v>0</v>
      </c>
      <c r="M484" s="1239">
        <v>0</v>
      </c>
      <c r="N484" s="1109">
        <v>0</v>
      </c>
      <c r="O484" s="1109">
        <v>0</v>
      </c>
      <c r="P484" s="1109">
        <v>0</v>
      </c>
      <c r="Q484" s="1109">
        <v>0</v>
      </c>
      <c r="R484" s="1109">
        <v>0</v>
      </c>
      <c r="S484" s="1109">
        <v>2880</v>
      </c>
      <c r="T484" s="1109">
        <v>8036539</v>
      </c>
      <c r="U484" s="1274">
        <v>0</v>
      </c>
      <c r="V484" s="1274">
        <v>0</v>
      </c>
      <c r="W484" s="1274">
        <v>0</v>
      </c>
      <c r="X484" s="1109">
        <v>0</v>
      </c>
      <c r="Y484" s="1109">
        <v>0</v>
      </c>
      <c r="Z484" s="1109">
        <v>629453</v>
      </c>
      <c r="AA484" s="1056">
        <v>0</v>
      </c>
    </row>
    <row r="485" spans="1:27" s="1064" customFormat="1" ht="102.75" customHeight="1">
      <c r="A485" s="1322">
        <v>7</v>
      </c>
      <c r="B485" s="1233" t="s">
        <v>1818</v>
      </c>
      <c r="C485" s="1056">
        <f t="shared" si="355"/>
        <v>405647.25</v>
      </c>
      <c r="D485" s="1056">
        <f t="shared" si="354"/>
        <v>386449</v>
      </c>
      <c r="E485" s="1109">
        <v>0</v>
      </c>
      <c r="F485" s="1109">
        <v>386449</v>
      </c>
      <c r="G485" s="1109">
        <v>0</v>
      </c>
      <c r="H485" s="1109">
        <v>0</v>
      </c>
      <c r="I485" s="1109">
        <v>0</v>
      </c>
      <c r="J485" s="1109">
        <v>0</v>
      </c>
      <c r="K485" s="1275">
        <v>0</v>
      </c>
      <c r="L485" s="1109">
        <v>0</v>
      </c>
      <c r="M485" s="1239">
        <v>0</v>
      </c>
      <c r="N485" s="1109">
        <v>0</v>
      </c>
      <c r="O485" s="1109">
        <v>0</v>
      </c>
      <c r="P485" s="1109">
        <v>0</v>
      </c>
      <c r="Q485" s="1109">
        <v>0</v>
      </c>
      <c r="R485" s="1109">
        <v>0</v>
      </c>
      <c r="S485" s="1109">
        <v>0</v>
      </c>
      <c r="T485" s="1109">
        <v>0</v>
      </c>
      <c r="U485" s="1274">
        <v>0</v>
      </c>
      <c r="V485" s="1274">
        <v>0</v>
      </c>
      <c r="W485" s="1274">
        <v>0</v>
      </c>
      <c r="X485" s="1109">
        <v>0</v>
      </c>
      <c r="Y485" s="1109">
        <v>0</v>
      </c>
      <c r="Z485" s="1109">
        <v>19198.25</v>
      </c>
      <c r="AA485" s="1056">
        <v>0</v>
      </c>
    </row>
    <row r="486" spans="1:27" s="1064" customFormat="1" ht="102.75" customHeight="1">
      <c r="A486" s="1322">
        <v>8</v>
      </c>
      <c r="B486" s="1233" t="s">
        <v>1819</v>
      </c>
      <c r="C486" s="1056">
        <f t="shared" si="355"/>
        <v>1429079.7206400002</v>
      </c>
      <c r="D486" s="1056">
        <f t="shared" si="354"/>
        <v>1054061.9206400001</v>
      </c>
      <c r="E486" s="1109">
        <v>0</v>
      </c>
      <c r="F486" s="1109">
        <v>1054061.9206400001</v>
      </c>
      <c r="G486" s="1109">
        <v>0</v>
      </c>
      <c r="H486" s="1109">
        <v>0</v>
      </c>
      <c r="I486" s="1109">
        <v>0</v>
      </c>
      <c r="J486" s="1109">
        <v>0</v>
      </c>
      <c r="K486" s="1275">
        <v>1</v>
      </c>
      <c r="L486" s="1109">
        <v>328781.51</v>
      </c>
      <c r="M486" s="1239">
        <v>0</v>
      </c>
      <c r="N486" s="1109">
        <v>0</v>
      </c>
      <c r="O486" s="1109">
        <v>0</v>
      </c>
      <c r="P486" s="1109">
        <v>0</v>
      </c>
      <c r="Q486" s="1109">
        <v>0</v>
      </c>
      <c r="R486" s="1109">
        <v>0</v>
      </c>
      <c r="S486" s="1109">
        <v>0</v>
      </c>
      <c r="T486" s="1109">
        <v>0</v>
      </c>
      <c r="U486" s="1274">
        <v>0</v>
      </c>
      <c r="V486" s="1274">
        <v>0</v>
      </c>
      <c r="W486" s="1274">
        <v>0</v>
      </c>
      <c r="X486" s="1109">
        <v>0</v>
      </c>
      <c r="Y486" s="1109">
        <v>0</v>
      </c>
      <c r="Z486" s="1109">
        <v>46236.289999999994</v>
      </c>
      <c r="AA486" s="1056">
        <v>0</v>
      </c>
    </row>
    <row r="487" spans="1:27" s="1064" customFormat="1" ht="102.75" customHeight="1">
      <c r="A487" s="1322">
        <v>9</v>
      </c>
      <c r="B487" s="1233" t="s">
        <v>1809</v>
      </c>
      <c r="C487" s="1056">
        <f t="shared" si="355"/>
        <v>5074660.5131999999</v>
      </c>
      <c r="D487" s="1056">
        <f t="shared" si="354"/>
        <v>0</v>
      </c>
      <c r="E487" s="1109">
        <v>0</v>
      </c>
      <c r="F487" s="1109">
        <v>0</v>
      </c>
      <c r="G487" s="1109">
        <v>0</v>
      </c>
      <c r="H487" s="1109">
        <v>0</v>
      </c>
      <c r="I487" s="1109">
        <v>0</v>
      </c>
      <c r="J487" s="1109">
        <v>0</v>
      </c>
      <c r="K487" s="1275">
        <v>0</v>
      </c>
      <c r="L487" s="1109">
        <v>0</v>
      </c>
      <c r="M487" s="1239">
        <v>0</v>
      </c>
      <c r="N487" s="1109">
        <v>0</v>
      </c>
      <c r="O487" s="1109">
        <v>1278</v>
      </c>
      <c r="P487" s="1109">
        <v>5053006.7532000002</v>
      </c>
      <c r="Q487" s="1109">
        <v>0</v>
      </c>
      <c r="R487" s="1109">
        <v>0</v>
      </c>
      <c r="S487" s="1109">
        <v>0</v>
      </c>
      <c r="T487" s="1109">
        <v>0</v>
      </c>
      <c r="U487" s="1274">
        <v>0</v>
      </c>
      <c r="V487" s="1274">
        <v>0</v>
      </c>
      <c r="W487" s="1274">
        <v>0</v>
      </c>
      <c r="X487" s="1109">
        <v>0</v>
      </c>
      <c r="Y487" s="1109">
        <v>0</v>
      </c>
      <c r="Z487" s="1109">
        <v>21653.759999999998</v>
      </c>
      <c r="AA487" s="1056">
        <v>0</v>
      </c>
    </row>
    <row r="488" spans="1:27" s="1064" customFormat="1" ht="102.75" customHeight="1">
      <c r="A488" s="1322">
        <v>10</v>
      </c>
      <c r="B488" s="1233" t="s">
        <v>1820</v>
      </c>
      <c r="C488" s="1056">
        <f t="shared" si="355"/>
        <v>3182659.2945400001</v>
      </c>
      <c r="D488" s="1056">
        <f t="shared" si="354"/>
        <v>1076014.6665599998</v>
      </c>
      <c r="E488" s="1109">
        <v>0</v>
      </c>
      <c r="F488" s="1109">
        <v>1076014.6665599998</v>
      </c>
      <c r="G488" s="1109">
        <v>0</v>
      </c>
      <c r="H488" s="1109">
        <v>0</v>
      </c>
      <c r="I488" s="1109">
        <v>0</v>
      </c>
      <c r="J488" s="1109">
        <v>0</v>
      </c>
      <c r="K488" s="1275">
        <v>1</v>
      </c>
      <c r="L488" s="1109">
        <v>328781.51020000002</v>
      </c>
      <c r="M488" s="1239">
        <v>0</v>
      </c>
      <c r="N488" s="1109">
        <v>0</v>
      </c>
      <c r="O488" s="1109">
        <v>0</v>
      </c>
      <c r="P488" s="1109">
        <v>0</v>
      </c>
      <c r="Q488" s="1109">
        <v>0</v>
      </c>
      <c r="R488" s="1109">
        <v>0</v>
      </c>
      <c r="S488" s="1109">
        <v>760.3</v>
      </c>
      <c r="T488" s="1109">
        <v>1711664.8777800002</v>
      </c>
      <c r="U488" s="1274">
        <v>0</v>
      </c>
      <c r="V488" s="1274">
        <v>0</v>
      </c>
      <c r="W488" s="1274">
        <v>0</v>
      </c>
      <c r="X488" s="1109">
        <v>0</v>
      </c>
      <c r="Y488" s="1109">
        <v>0</v>
      </c>
      <c r="Z488" s="1109">
        <v>66198.240000000005</v>
      </c>
      <c r="AA488" s="1056">
        <v>0</v>
      </c>
    </row>
    <row r="489" spans="1:27" s="1064" customFormat="1" ht="102.75" customHeight="1">
      <c r="A489" s="1322">
        <v>11</v>
      </c>
      <c r="B489" s="1233" t="s">
        <v>1821</v>
      </c>
      <c r="C489" s="1056">
        <f t="shared" si="355"/>
        <v>1424732.405944</v>
      </c>
      <c r="D489" s="1056">
        <f t="shared" si="354"/>
        <v>0</v>
      </c>
      <c r="E489" s="1109">
        <v>0</v>
      </c>
      <c r="F489" s="1109">
        <v>0</v>
      </c>
      <c r="G489" s="1109">
        <v>0</v>
      </c>
      <c r="H489" s="1109">
        <v>0</v>
      </c>
      <c r="I489" s="1109">
        <v>0</v>
      </c>
      <c r="J489" s="1109">
        <v>0</v>
      </c>
      <c r="K489" s="1275">
        <v>0</v>
      </c>
      <c r="L489" s="1109">
        <v>0</v>
      </c>
      <c r="M489" s="1239">
        <v>0</v>
      </c>
      <c r="N489" s="1109">
        <v>0</v>
      </c>
      <c r="O489" s="1109">
        <v>0</v>
      </c>
      <c r="P489" s="1109">
        <v>0</v>
      </c>
      <c r="Q489" s="1109">
        <v>0</v>
      </c>
      <c r="R489" s="1109">
        <v>0</v>
      </c>
      <c r="S489" s="1109">
        <v>449</v>
      </c>
      <c r="T489" s="1109">
        <v>1409799.5659439999</v>
      </c>
      <c r="U489" s="1274">
        <v>0</v>
      </c>
      <c r="V489" s="1274">
        <v>0</v>
      </c>
      <c r="W489" s="1274">
        <v>0</v>
      </c>
      <c r="X489" s="1109">
        <v>0</v>
      </c>
      <c r="Y489" s="1109">
        <v>0</v>
      </c>
      <c r="Z489" s="1109">
        <v>14932.84</v>
      </c>
      <c r="AA489" s="1056">
        <v>0</v>
      </c>
    </row>
    <row r="490" spans="1:27" s="1064" customFormat="1" ht="102.75" customHeight="1">
      <c r="A490" s="1322">
        <v>12</v>
      </c>
      <c r="B490" s="1233" t="s">
        <v>1822</v>
      </c>
      <c r="C490" s="1056">
        <f t="shared" si="355"/>
        <v>1554468.0150000001</v>
      </c>
      <c r="D490" s="1056">
        <f t="shared" si="354"/>
        <v>0</v>
      </c>
      <c r="E490" s="1109">
        <v>0</v>
      </c>
      <c r="F490" s="1109">
        <v>0</v>
      </c>
      <c r="G490" s="1109">
        <v>0</v>
      </c>
      <c r="H490" s="1109">
        <v>0</v>
      </c>
      <c r="I490" s="1109">
        <v>0</v>
      </c>
      <c r="J490" s="1109">
        <v>0</v>
      </c>
      <c r="K490" s="1275">
        <v>0</v>
      </c>
      <c r="L490" s="1109">
        <v>0</v>
      </c>
      <c r="M490" s="1239">
        <v>0</v>
      </c>
      <c r="N490" s="1109">
        <v>0</v>
      </c>
      <c r="O490" s="1109">
        <v>0</v>
      </c>
      <c r="P490" s="1109">
        <v>0</v>
      </c>
      <c r="Q490" s="1109">
        <v>0</v>
      </c>
      <c r="R490" s="1109">
        <v>0</v>
      </c>
      <c r="S490" s="1109">
        <v>525</v>
      </c>
      <c r="T490" s="1109">
        <v>1539530.6850000001</v>
      </c>
      <c r="U490" s="1274">
        <v>0</v>
      </c>
      <c r="V490" s="1274">
        <v>0</v>
      </c>
      <c r="W490" s="1274">
        <v>0</v>
      </c>
      <c r="X490" s="1109">
        <v>0</v>
      </c>
      <c r="Y490" s="1109">
        <v>0</v>
      </c>
      <c r="Z490" s="1109">
        <v>14937.33</v>
      </c>
      <c r="AA490" s="1056">
        <v>0</v>
      </c>
    </row>
    <row r="491" spans="1:27" s="1064" customFormat="1" ht="102.75" customHeight="1">
      <c r="A491" s="1322">
        <v>13</v>
      </c>
      <c r="B491" s="1233" t="s">
        <v>1823</v>
      </c>
      <c r="C491" s="1056">
        <f t="shared" si="355"/>
        <v>2351899.71</v>
      </c>
      <c r="D491" s="1056">
        <f t="shared" si="354"/>
        <v>2302986</v>
      </c>
      <c r="E491" s="1109">
        <v>2302986</v>
      </c>
      <c r="F491" s="1109">
        <v>0</v>
      </c>
      <c r="G491" s="1109">
        <v>0</v>
      </c>
      <c r="H491" s="1109">
        <v>0</v>
      </c>
      <c r="I491" s="1109">
        <v>0</v>
      </c>
      <c r="J491" s="1109">
        <v>0</v>
      </c>
      <c r="K491" s="1275">
        <v>0</v>
      </c>
      <c r="L491" s="1109">
        <v>0</v>
      </c>
      <c r="M491" s="1239">
        <v>0</v>
      </c>
      <c r="N491" s="1109">
        <v>0</v>
      </c>
      <c r="O491" s="1109">
        <v>0</v>
      </c>
      <c r="P491" s="1109">
        <v>0</v>
      </c>
      <c r="Q491" s="1109">
        <v>0</v>
      </c>
      <c r="R491" s="1109">
        <v>0</v>
      </c>
      <c r="S491" s="1109">
        <v>0</v>
      </c>
      <c r="T491" s="1109">
        <v>0</v>
      </c>
      <c r="U491" s="1274">
        <v>0</v>
      </c>
      <c r="V491" s="1274">
        <v>0</v>
      </c>
      <c r="W491" s="1274">
        <v>0</v>
      </c>
      <c r="X491" s="1109">
        <v>0</v>
      </c>
      <c r="Y491" s="1109">
        <v>0</v>
      </c>
      <c r="Z491" s="1109">
        <v>48913.71</v>
      </c>
      <c r="AA491" s="1056">
        <v>0</v>
      </c>
    </row>
    <row r="492" spans="1:27" s="1064" customFormat="1" ht="102.75" customHeight="1">
      <c r="A492" s="1322">
        <v>14</v>
      </c>
      <c r="B492" s="1233" t="s">
        <v>1824</v>
      </c>
      <c r="C492" s="1056">
        <f t="shared" si="355"/>
        <v>914559.01</v>
      </c>
      <c r="D492" s="1056">
        <f t="shared" si="354"/>
        <v>880750.77</v>
      </c>
      <c r="E492" s="1109">
        <v>0</v>
      </c>
      <c r="F492" s="1109">
        <v>880750.77</v>
      </c>
      <c r="G492" s="1109">
        <v>0</v>
      </c>
      <c r="H492" s="1109">
        <v>0</v>
      </c>
      <c r="I492" s="1109">
        <v>0</v>
      </c>
      <c r="J492" s="1109">
        <v>0</v>
      </c>
      <c r="K492" s="1275">
        <v>0</v>
      </c>
      <c r="L492" s="1109">
        <v>0</v>
      </c>
      <c r="M492" s="1239">
        <v>0</v>
      </c>
      <c r="N492" s="1109">
        <v>0</v>
      </c>
      <c r="O492" s="1109">
        <v>0</v>
      </c>
      <c r="P492" s="1109">
        <v>0</v>
      </c>
      <c r="Q492" s="1109">
        <v>0</v>
      </c>
      <c r="R492" s="1109">
        <v>0</v>
      </c>
      <c r="S492" s="1109">
        <v>0</v>
      </c>
      <c r="T492" s="1109">
        <v>0</v>
      </c>
      <c r="U492" s="1274">
        <v>0</v>
      </c>
      <c r="V492" s="1274">
        <v>0</v>
      </c>
      <c r="W492" s="1274">
        <v>0</v>
      </c>
      <c r="X492" s="1109">
        <v>0</v>
      </c>
      <c r="Y492" s="1109">
        <v>0</v>
      </c>
      <c r="Z492" s="1109">
        <v>33808.239999999998</v>
      </c>
      <c r="AA492" s="1056">
        <v>0</v>
      </c>
    </row>
    <row r="493" spans="1:27" s="1064" customFormat="1" ht="102.75" customHeight="1">
      <c r="A493" s="1322">
        <v>15</v>
      </c>
      <c r="B493" s="1233" t="s">
        <v>1825</v>
      </c>
      <c r="C493" s="1056">
        <f t="shared" si="355"/>
        <v>3832087.03</v>
      </c>
      <c r="D493" s="1056">
        <f t="shared" si="354"/>
        <v>0</v>
      </c>
      <c r="E493" s="1109">
        <v>0</v>
      </c>
      <c r="F493" s="1109">
        <v>0</v>
      </c>
      <c r="G493" s="1109">
        <v>0</v>
      </c>
      <c r="H493" s="1109">
        <v>0</v>
      </c>
      <c r="I493" s="1109">
        <v>0</v>
      </c>
      <c r="J493" s="1109">
        <v>0</v>
      </c>
      <c r="K493" s="1275">
        <v>0</v>
      </c>
      <c r="L493" s="1109">
        <v>0</v>
      </c>
      <c r="M493" s="1239">
        <v>0</v>
      </c>
      <c r="N493" s="1109">
        <v>0</v>
      </c>
      <c r="O493" s="1109">
        <v>378</v>
      </c>
      <c r="P493" s="1109">
        <v>3805331</v>
      </c>
      <c r="Q493" s="1109">
        <v>0</v>
      </c>
      <c r="R493" s="1109">
        <v>0</v>
      </c>
      <c r="S493" s="1109">
        <v>0</v>
      </c>
      <c r="T493" s="1109">
        <v>0</v>
      </c>
      <c r="U493" s="1274">
        <v>0</v>
      </c>
      <c r="V493" s="1274">
        <v>0</v>
      </c>
      <c r="W493" s="1274">
        <v>0</v>
      </c>
      <c r="X493" s="1109">
        <v>0</v>
      </c>
      <c r="Y493" s="1109">
        <v>0</v>
      </c>
      <c r="Z493" s="1109">
        <v>26756.03</v>
      </c>
      <c r="AA493" s="1056">
        <v>0</v>
      </c>
    </row>
    <row r="494" spans="1:27" s="1064" customFormat="1" ht="102.75" customHeight="1">
      <c r="A494" s="1322">
        <v>16</v>
      </c>
      <c r="B494" s="1233" t="s">
        <v>1826</v>
      </c>
      <c r="C494" s="1056">
        <f t="shared" si="355"/>
        <v>5363868.12</v>
      </c>
      <c r="D494" s="1056">
        <f t="shared" si="354"/>
        <v>1916650</v>
      </c>
      <c r="E494" s="1109">
        <v>1916650</v>
      </c>
      <c r="F494" s="1109">
        <v>0</v>
      </c>
      <c r="G494" s="1109">
        <v>0</v>
      </c>
      <c r="H494" s="1109">
        <v>0</v>
      </c>
      <c r="I494" s="1109">
        <v>0</v>
      </c>
      <c r="J494" s="1109">
        <v>0</v>
      </c>
      <c r="K494" s="1275">
        <v>0</v>
      </c>
      <c r="L494" s="1109">
        <v>0</v>
      </c>
      <c r="M494" s="1239">
        <v>0</v>
      </c>
      <c r="N494" s="1109">
        <v>0</v>
      </c>
      <c r="O494" s="1109">
        <v>0</v>
      </c>
      <c r="P494" s="1109">
        <v>0</v>
      </c>
      <c r="Q494" s="1109">
        <v>0</v>
      </c>
      <c r="R494" s="1109">
        <v>0</v>
      </c>
      <c r="S494" s="1109">
        <v>1359.5</v>
      </c>
      <c r="T494" s="1109">
        <v>3354841</v>
      </c>
      <c r="U494" s="1274">
        <v>0</v>
      </c>
      <c r="V494" s="1274">
        <v>0</v>
      </c>
      <c r="W494" s="1274">
        <v>0</v>
      </c>
      <c r="X494" s="1109">
        <v>0</v>
      </c>
      <c r="Y494" s="1109">
        <v>0</v>
      </c>
      <c r="Z494" s="1109">
        <v>92377.12</v>
      </c>
      <c r="AA494" s="1056">
        <v>0</v>
      </c>
    </row>
    <row r="495" spans="1:27" s="1064" customFormat="1" ht="102.75" customHeight="1">
      <c r="A495" s="1322">
        <v>17</v>
      </c>
      <c r="B495" s="1233" t="s">
        <v>1827</v>
      </c>
      <c r="C495" s="1056">
        <f t="shared" si="355"/>
        <v>1438136.9167299999</v>
      </c>
      <c r="D495" s="1056">
        <f t="shared" si="354"/>
        <v>0</v>
      </c>
      <c r="E495" s="1109">
        <v>0</v>
      </c>
      <c r="F495" s="1109">
        <v>0</v>
      </c>
      <c r="G495" s="1109">
        <v>0</v>
      </c>
      <c r="H495" s="1109">
        <v>0</v>
      </c>
      <c r="I495" s="1109">
        <v>0</v>
      </c>
      <c r="J495" s="1109">
        <v>0</v>
      </c>
      <c r="K495" s="1275">
        <v>0</v>
      </c>
      <c r="L495" s="1109">
        <v>0</v>
      </c>
      <c r="M495" s="1239">
        <v>0</v>
      </c>
      <c r="N495" s="1109">
        <v>0</v>
      </c>
      <c r="O495" s="1109">
        <v>0</v>
      </c>
      <c r="P495" s="1109">
        <v>0</v>
      </c>
      <c r="Q495" s="1109">
        <v>0</v>
      </c>
      <c r="R495" s="1109">
        <v>0</v>
      </c>
      <c r="S495" s="1109">
        <v>492</v>
      </c>
      <c r="T495" s="1109">
        <v>1423552.70673</v>
      </c>
      <c r="U495" s="1274">
        <v>0</v>
      </c>
      <c r="V495" s="1274">
        <v>0</v>
      </c>
      <c r="W495" s="1274">
        <v>0</v>
      </c>
      <c r="X495" s="1109">
        <v>0</v>
      </c>
      <c r="Y495" s="1109">
        <v>0</v>
      </c>
      <c r="Z495" s="1109">
        <v>14584.21</v>
      </c>
      <c r="AA495" s="1056">
        <v>0</v>
      </c>
    </row>
    <row r="496" spans="1:27" s="1064" customFormat="1" ht="102.75" customHeight="1">
      <c r="A496" s="1322">
        <v>18</v>
      </c>
      <c r="B496" s="1233" t="s">
        <v>1828</v>
      </c>
      <c r="C496" s="1056">
        <f t="shared" si="355"/>
        <v>1745786.78</v>
      </c>
      <c r="D496" s="1056">
        <f t="shared" si="354"/>
        <v>0</v>
      </c>
      <c r="E496" s="1109">
        <v>0</v>
      </c>
      <c r="F496" s="1109">
        <v>0</v>
      </c>
      <c r="G496" s="1109">
        <v>0</v>
      </c>
      <c r="H496" s="1109">
        <v>0</v>
      </c>
      <c r="I496" s="1109">
        <v>0</v>
      </c>
      <c r="J496" s="1109">
        <v>0</v>
      </c>
      <c r="K496" s="1275">
        <v>0</v>
      </c>
      <c r="L496" s="1109">
        <v>0</v>
      </c>
      <c r="M496" s="1239">
        <v>0</v>
      </c>
      <c r="N496" s="1109">
        <v>0</v>
      </c>
      <c r="O496" s="1109">
        <v>0</v>
      </c>
      <c r="P496" s="1109">
        <v>0</v>
      </c>
      <c r="Q496" s="1109">
        <v>0</v>
      </c>
      <c r="R496" s="1109">
        <v>0</v>
      </c>
      <c r="S496" s="1109">
        <v>694</v>
      </c>
      <c r="T496" s="1109">
        <v>1712585</v>
      </c>
      <c r="U496" s="1274">
        <v>0</v>
      </c>
      <c r="V496" s="1274">
        <v>0</v>
      </c>
      <c r="W496" s="1274">
        <v>0</v>
      </c>
      <c r="X496" s="1109">
        <v>0</v>
      </c>
      <c r="Y496" s="1109">
        <v>0</v>
      </c>
      <c r="Z496" s="1109">
        <v>33201.78</v>
      </c>
      <c r="AA496" s="1056">
        <v>0</v>
      </c>
    </row>
    <row r="497" spans="1:27" s="1064" customFormat="1" ht="102.75" customHeight="1">
      <c r="A497" s="1322">
        <v>19</v>
      </c>
      <c r="B497" s="1233" t="s">
        <v>1829</v>
      </c>
      <c r="C497" s="1056">
        <f t="shared" si="355"/>
        <v>7325272.1299999999</v>
      </c>
      <c r="D497" s="1056">
        <f t="shared" si="354"/>
        <v>0</v>
      </c>
      <c r="E497" s="1109">
        <v>0</v>
      </c>
      <c r="F497" s="1109">
        <v>0</v>
      </c>
      <c r="G497" s="1109">
        <v>0</v>
      </c>
      <c r="H497" s="1109">
        <v>0</v>
      </c>
      <c r="I497" s="1109">
        <v>0</v>
      </c>
      <c r="J497" s="1109">
        <v>0</v>
      </c>
      <c r="K497" s="1275">
        <v>0</v>
      </c>
      <c r="L497" s="1109">
        <v>0</v>
      </c>
      <c r="M497" s="1239">
        <v>0</v>
      </c>
      <c r="N497" s="1109">
        <v>0</v>
      </c>
      <c r="O497" s="1109">
        <v>0</v>
      </c>
      <c r="P497" s="1109">
        <v>0</v>
      </c>
      <c r="Q497" s="1109">
        <v>0</v>
      </c>
      <c r="R497" s="1109">
        <v>0</v>
      </c>
      <c r="S497" s="1109">
        <v>2560.12</v>
      </c>
      <c r="T497" s="1109">
        <v>7143924.7400000002</v>
      </c>
      <c r="U497" s="1274">
        <v>0</v>
      </c>
      <c r="V497" s="1274">
        <v>0</v>
      </c>
      <c r="W497" s="1274">
        <v>0</v>
      </c>
      <c r="X497" s="1109">
        <v>0</v>
      </c>
      <c r="Y497" s="1109">
        <v>0</v>
      </c>
      <c r="Z497" s="1109">
        <v>181347.39</v>
      </c>
      <c r="AA497" s="1056">
        <v>0</v>
      </c>
    </row>
    <row r="498" spans="1:27" s="1064" customFormat="1" ht="102.75" customHeight="1">
      <c r="A498" s="1322">
        <v>20</v>
      </c>
      <c r="B498" s="1233" t="s">
        <v>1830</v>
      </c>
      <c r="C498" s="1056">
        <f t="shared" si="355"/>
        <v>2224973.3199999998</v>
      </c>
      <c r="D498" s="1056">
        <f t="shared" si="354"/>
        <v>2171746</v>
      </c>
      <c r="E498" s="1109">
        <v>0</v>
      </c>
      <c r="F498" s="1109">
        <v>0</v>
      </c>
      <c r="G498" s="1109">
        <v>0</v>
      </c>
      <c r="H498" s="1109">
        <v>0</v>
      </c>
      <c r="I498" s="1109">
        <v>2171746</v>
      </c>
      <c r="J498" s="1109">
        <v>0</v>
      </c>
      <c r="K498" s="1275">
        <v>0</v>
      </c>
      <c r="L498" s="1109">
        <v>0</v>
      </c>
      <c r="M498" s="1239">
        <v>0</v>
      </c>
      <c r="N498" s="1109">
        <v>0</v>
      </c>
      <c r="O498" s="1109">
        <v>0</v>
      </c>
      <c r="P498" s="1109">
        <v>0</v>
      </c>
      <c r="Q498" s="1109">
        <v>0</v>
      </c>
      <c r="R498" s="1109">
        <v>0</v>
      </c>
      <c r="S498" s="1109">
        <v>0</v>
      </c>
      <c r="T498" s="1109">
        <v>0</v>
      </c>
      <c r="U498" s="1274">
        <v>0</v>
      </c>
      <c r="V498" s="1274">
        <v>0</v>
      </c>
      <c r="W498" s="1274">
        <v>0</v>
      </c>
      <c r="X498" s="1109">
        <v>0</v>
      </c>
      <c r="Y498" s="1109">
        <v>0</v>
      </c>
      <c r="Z498" s="1109">
        <v>53227.32</v>
      </c>
      <c r="AA498" s="1056">
        <v>0</v>
      </c>
    </row>
    <row r="499" spans="1:27" s="1064" customFormat="1" ht="102.75" customHeight="1">
      <c r="A499" s="1322">
        <v>21</v>
      </c>
      <c r="B499" s="1233" t="s">
        <v>1831</v>
      </c>
      <c r="C499" s="1056">
        <f t="shared" si="355"/>
        <v>2593045.9899999998</v>
      </c>
      <c r="D499" s="1056">
        <f t="shared" si="354"/>
        <v>0</v>
      </c>
      <c r="E499" s="1109">
        <v>0</v>
      </c>
      <c r="F499" s="1109">
        <v>0</v>
      </c>
      <c r="G499" s="1109">
        <v>0</v>
      </c>
      <c r="H499" s="1109">
        <v>0</v>
      </c>
      <c r="I499" s="1109">
        <v>0</v>
      </c>
      <c r="J499" s="1109">
        <v>0</v>
      </c>
      <c r="K499" s="1275">
        <v>0</v>
      </c>
      <c r="L499" s="1109">
        <v>0</v>
      </c>
      <c r="M499" s="1239">
        <v>0</v>
      </c>
      <c r="N499" s="1109">
        <v>0</v>
      </c>
      <c r="O499" s="1109">
        <v>790</v>
      </c>
      <c r="P499" s="1109">
        <v>2518353.63</v>
      </c>
      <c r="Q499" s="1109">
        <v>0</v>
      </c>
      <c r="R499" s="1109">
        <v>0</v>
      </c>
      <c r="S499" s="1109">
        <v>0</v>
      </c>
      <c r="T499" s="1109">
        <v>0</v>
      </c>
      <c r="U499" s="1274">
        <v>0</v>
      </c>
      <c r="V499" s="1274">
        <v>0</v>
      </c>
      <c r="W499" s="1274">
        <v>0</v>
      </c>
      <c r="X499" s="1109">
        <v>0</v>
      </c>
      <c r="Y499" s="1109">
        <v>0</v>
      </c>
      <c r="Z499" s="1109">
        <v>74692.36</v>
      </c>
      <c r="AA499" s="1056">
        <v>0</v>
      </c>
    </row>
    <row r="500" spans="1:27" s="1064" customFormat="1" ht="102.75" customHeight="1">
      <c r="A500" s="1322">
        <v>22</v>
      </c>
      <c r="B500" s="1233" t="s">
        <v>1832</v>
      </c>
      <c r="C500" s="1056">
        <f t="shared" si="355"/>
        <v>1109964.3</v>
      </c>
      <c r="D500" s="1056">
        <f t="shared" si="354"/>
        <v>1080801.3600000001</v>
      </c>
      <c r="E500" s="1109">
        <v>0</v>
      </c>
      <c r="F500" s="1109">
        <v>1080801.3600000001</v>
      </c>
      <c r="G500" s="1109">
        <v>0</v>
      </c>
      <c r="H500" s="1109">
        <v>0</v>
      </c>
      <c r="I500" s="1109">
        <v>0</v>
      </c>
      <c r="J500" s="1109">
        <v>0</v>
      </c>
      <c r="K500" s="1275">
        <v>0</v>
      </c>
      <c r="L500" s="1109">
        <v>0</v>
      </c>
      <c r="M500" s="1239">
        <v>0</v>
      </c>
      <c r="N500" s="1109">
        <v>0</v>
      </c>
      <c r="O500" s="1109">
        <v>0</v>
      </c>
      <c r="P500" s="1109">
        <v>0</v>
      </c>
      <c r="Q500" s="1109">
        <v>0</v>
      </c>
      <c r="R500" s="1109">
        <v>0</v>
      </c>
      <c r="S500" s="1109">
        <v>0</v>
      </c>
      <c r="T500" s="1109">
        <v>0</v>
      </c>
      <c r="U500" s="1274">
        <v>0</v>
      </c>
      <c r="V500" s="1274">
        <v>0</v>
      </c>
      <c r="W500" s="1274">
        <v>0</v>
      </c>
      <c r="X500" s="1109">
        <v>0</v>
      </c>
      <c r="Y500" s="1109">
        <v>0</v>
      </c>
      <c r="Z500" s="1109">
        <v>29162.94</v>
      </c>
      <c r="AA500" s="1056">
        <v>0</v>
      </c>
    </row>
    <row r="501" spans="1:27" s="1064" customFormat="1" ht="102.75" customHeight="1">
      <c r="A501" s="1322">
        <v>23</v>
      </c>
      <c r="B501" s="1233" t="s">
        <v>1833</v>
      </c>
      <c r="C501" s="1056">
        <f t="shared" si="355"/>
        <v>5790016.8200000003</v>
      </c>
      <c r="D501" s="1056">
        <f t="shared" si="354"/>
        <v>5648553.8399999999</v>
      </c>
      <c r="E501" s="1109">
        <v>0</v>
      </c>
      <c r="F501" s="1109">
        <f>2914598.4+944796.02</f>
        <v>3859394.42</v>
      </c>
      <c r="G501" s="1109">
        <v>0</v>
      </c>
      <c r="H501" s="1109">
        <v>0</v>
      </c>
      <c r="I501" s="1109">
        <v>1789159.42</v>
      </c>
      <c r="J501" s="1109">
        <v>0</v>
      </c>
      <c r="K501" s="1275">
        <v>0</v>
      </c>
      <c r="L501" s="1109">
        <v>0</v>
      </c>
      <c r="M501" s="1239">
        <v>0</v>
      </c>
      <c r="N501" s="1109">
        <v>0</v>
      </c>
      <c r="O501" s="1109">
        <v>0</v>
      </c>
      <c r="P501" s="1109">
        <v>0</v>
      </c>
      <c r="Q501" s="1109">
        <v>0</v>
      </c>
      <c r="R501" s="1109">
        <v>0</v>
      </c>
      <c r="S501" s="1109">
        <v>0</v>
      </c>
      <c r="T501" s="1109">
        <v>0</v>
      </c>
      <c r="U501" s="1274">
        <v>0</v>
      </c>
      <c r="V501" s="1274">
        <v>0</v>
      </c>
      <c r="W501" s="1274">
        <v>0</v>
      </c>
      <c r="X501" s="1109">
        <v>0</v>
      </c>
      <c r="Y501" s="1109">
        <v>0</v>
      </c>
      <c r="Z501" s="1109">
        <v>141462.97999999998</v>
      </c>
      <c r="AA501" s="1056">
        <v>0</v>
      </c>
    </row>
    <row r="502" spans="1:27" s="1064" customFormat="1" ht="102.75" customHeight="1">
      <c r="A502" s="1322">
        <v>24</v>
      </c>
      <c r="B502" s="1233" t="s">
        <v>1834</v>
      </c>
      <c r="C502" s="1056">
        <f t="shared" si="355"/>
        <v>1137886</v>
      </c>
      <c r="D502" s="1056">
        <f t="shared" si="354"/>
        <v>0</v>
      </c>
      <c r="E502" s="1109">
        <v>0</v>
      </c>
      <c r="F502" s="1109">
        <v>0</v>
      </c>
      <c r="G502" s="1109">
        <v>0</v>
      </c>
      <c r="H502" s="1109">
        <v>0</v>
      </c>
      <c r="I502" s="1109">
        <v>0</v>
      </c>
      <c r="J502" s="1109">
        <v>0</v>
      </c>
      <c r="K502" s="1275">
        <v>0</v>
      </c>
      <c r="L502" s="1109">
        <v>0</v>
      </c>
      <c r="M502" s="1239">
        <v>0</v>
      </c>
      <c r="N502" s="1109">
        <v>0</v>
      </c>
      <c r="O502" s="1109">
        <v>0</v>
      </c>
      <c r="P502" s="1109">
        <v>0</v>
      </c>
      <c r="Q502" s="1109">
        <v>0</v>
      </c>
      <c r="R502" s="1109">
        <v>0</v>
      </c>
      <c r="S502" s="1109">
        <v>785.5</v>
      </c>
      <c r="T502" s="1109">
        <v>1119392.8600000001</v>
      </c>
      <c r="U502" s="1274">
        <v>0</v>
      </c>
      <c r="V502" s="1274">
        <v>0</v>
      </c>
      <c r="W502" s="1274">
        <v>0</v>
      </c>
      <c r="X502" s="1109">
        <v>0</v>
      </c>
      <c r="Y502" s="1109">
        <v>0</v>
      </c>
      <c r="Z502" s="1109">
        <v>18493.14</v>
      </c>
      <c r="AA502" s="1056">
        <v>0</v>
      </c>
    </row>
    <row r="503" spans="1:27" s="1064" customFormat="1" ht="102.75" customHeight="1">
      <c r="A503" s="1322">
        <v>25</v>
      </c>
      <c r="B503" s="1233" t="s">
        <v>1835</v>
      </c>
      <c r="C503" s="1056">
        <f t="shared" si="355"/>
        <v>7082325</v>
      </c>
      <c r="D503" s="1056">
        <f t="shared" si="354"/>
        <v>6933846.3099999996</v>
      </c>
      <c r="E503" s="1109">
        <v>0</v>
      </c>
      <c r="F503" s="1109">
        <v>6933846.3099999996</v>
      </c>
      <c r="G503" s="1109">
        <v>0</v>
      </c>
      <c r="H503" s="1109">
        <v>0</v>
      </c>
      <c r="I503" s="1109">
        <v>0</v>
      </c>
      <c r="J503" s="1109">
        <v>0</v>
      </c>
      <c r="K503" s="1275">
        <v>0</v>
      </c>
      <c r="L503" s="1109">
        <v>0</v>
      </c>
      <c r="M503" s="1239">
        <v>0</v>
      </c>
      <c r="N503" s="1109">
        <v>0</v>
      </c>
      <c r="O503" s="1109">
        <v>0</v>
      </c>
      <c r="P503" s="1109">
        <v>0</v>
      </c>
      <c r="Q503" s="1109">
        <v>0</v>
      </c>
      <c r="R503" s="1109">
        <v>0</v>
      </c>
      <c r="S503" s="1109">
        <v>0</v>
      </c>
      <c r="T503" s="1109">
        <v>0</v>
      </c>
      <c r="U503" s="1274">
        <v>0</v>
      </c>
      <c r="V503" s="1274">
        <v>0</v>
      </c>
      <c r="W503" s="1274">
        <v>0</v>
      </c>
      <c r="X503" s="1109">
        <v>0</v>
      </c>
      <c r="Y503" s="1109">
        <v>0</v>
      </c>
      <c r="Z503" s="1109">
        <v>148478.69</v>
      </c>
      <c r="AA503" s="1056">
        <v>0</v>
      </c>
    </row>
    <row r="504" spans="1:27" s="1064" customFormat="1" ht="102.75" customHeight="1">
      <c r="A504" s="1322">
        <v>26</v>
      </c>
      <c r="B504" s="1233" t="s">
        <v>1836</v>
      </c>
      <c r="C504" s="1056">
        <f t="shared" si="355"/>
        <v>142855.18</v>
      </c>
      <c r="D504" s="1056">
        <f t="shared" si="354"/>
        <v>133589.44</v>
      </c>
      <c r="E504" s="1109"/>
      <c r="F504" s="1109">
        <v>0</v>
      </c>
      <c r="G504" s="1109">
        <v>0</v>
      </c>
      <c r="H504" s="1109">
        <v>0</v>
      </c>
      <c r="I504" s="1109">
        <v>0</v>
      </c>
      <c r="J504" s="1109">
        <v>133589.44</v>
      </c>
      <c r="K504" s="1275">
        <v>0</v>
      </c>
      <c r="L504" s="1109">
        <v>0</v>
      </c>
      <c r="M504" s="1239">
        <v>0</v>
      </c>
      <c r="N504" s="1109">
        <v>0</v>
      </c>
      <c r="O504" s="1109">
        <v>0</v>
      </c>
      <c r="P504" s="1109">
        <v>0</v>
      </c>
      <c r="Q504" s="1109">
        <v>0</v>
      </c>
      <c r="R504" s="1109">
        <v>0</v>
      </c>
      <c r="S504" s="1109">
        <v>0</v>
      </c>
      <c r="T504" s="1109">
        <v>0</v>
      </c>
      <c r="U504" s="1274">
        <v>0</v>
      </c>
      <c r="V504" s="1274">
        <v>0</v>
      </c>
      <c r="W504" s="1274">
        <v>0</v>
      </c>
      <c r="X504" s="1109">
        <v>0</v>
      </c>
      <c r="Y504" s="1109">
        <v>0</v>
      </c>
      <c r="Z504" s="1109">
        <v>9265.739999999998</v>
      </c>
      <c r="AA504" s="1056">
        <v>0</v>
      </c>
    </row>
    <row r="505" spans="1:27" s="1064" customFormat="1" ht="102.75" customHeight="1">
      <c r="A505" s="1322">
        <v>27</v>
      </c>
      <c r="B505" s="1233" t="s">
        <v>1837</v>
      </c>
      <c r="C505" s="1056">
        <f t="shared" si="355"/>
        <v>5240312.92</v>
      </c>
      <c r="D505" s="1056">
        <f t="shared" si="354"/>
        <v>3465440</v>
      </c>
      <c r="E505" s="1109">
        <v>0</v>
      </c>
      <c r="F505" s="1109">
        <v>0</v>
      </c>
      <c r="G505" s="1109">
        <v>0</v>
      </c>
      <c r="H505" s="1109">
        <v>1316489</v>
      </c>
      <c r="I505" s="1109">
        <v>1316489</v>
      </c>
      <c r="J505" s="1109">
        <v>832462</v>
      </c>
      <c r="K505" s="1275">
        <v>0</v>
      </c>
      <c r="L505" s="1109">
        <v>0</v>
      </c>
      <c r="M505" s="1239">
        <v>0</v>
      </c>
      <c r="N505" s="1109">
        <v>0</v>
      </c>
      <c r="O505" s="1109">
        <v>526.79999999999995</v>
      </c>
      <c r="P505" s="1109">
        <v>1653500</v>
      </c>
      <c r="Q505" s="1109">
        <v>0</v>
      </c>
      <c r="R505" s="1109">
        <v>0</v>
      </c>
      <c r="S505" s="1109">
        <v>0</v>
      </c>
      <c r="T505" s="1109">
        <v>0</v>
      </c>
      <c r="U505" s="1274">
        <v>0</v>
      </c>
      <c r="V505" s="1274">
        <v>0</v>
      </c>
      <c r="W505" s="1274">
        <v>0</v>
      </c>
      <c r="X505" s="1109">
        <v>0</v>
      </c>
      <c r="Y505" s="1109">
        <v>0</v>
      </c>
      <c r="Z505" s="1109">
        <v>121372.92000000001</v>
      </c>
      <c r="AA505" s="1056">
        <v>0</v>
      </c>
    </row>
    <row r="506" spans="1:27" s="1064" customFormat="1" ht="102.75" customHeight="1">
      <c r="A506" s="1322">
        <v>28</v>
      </c>
      <c r="B506" s="1233" t="s">
        <v>1838</v>
      </c>
      <c r="C506" s="1056">
        <f t="shared" si="355"/>
        <v>9049205.0199999996</v>
      </c>
      <c r="D506" s="1056">
        <f t="shared" si="354"/>
        <v>0</v>
      </c>
      <c r="E506" s="1109">
        <v>0</v>
      </c>
      <c r="F506" s="1109">
        <v>0</v>
      </c>
      <c r="G506" s="1109">
        <v>0</v>
      </c>
      <c r="H506" s="1109">
        <v>0</v>
      </c>
      <c r="I506" s="1109">
        <v>0</v>
      </c>
      <c r="J506" s="1109">
        <v>0</v>
      </c>
      <c r="K506" s="1275">
        <v>0</v>
      </c>
      <c r="L506" s="1109">
        <v>0</v>
      </c>
      <c r="M506" s="1239">
        <v>0</v>
      </c>
      <c r="N506" s="1109">
        <v>0</v>
      </c>
      <c r="O506" s="1109">
        <v>2335</v>
      </c>
      <c r="P506" s="1109">
        <v>8783840.8300000001</v>
      </c>
      <c r="Q506" s="1109">
        <v>0</v>
      </c>
      <c r="R506" s="1109">
        <v>0</v>
      </c>
      <c r="S506" s="1109">
        <v>0</v>
      </c>
      <c r="T506" s="1109">
        <v>0</v>
      </c>
      <c r="U506" s="1274">
        <v>0</v>
      </c>
      <c r="V506" s="1274">
        <v>0</v>
      </c>
      <c r="W506" s="1274">
        <v>0</v>
      </c>
      <c r="X506" s="1109">
        <v>0</v>
      </c>
      <c r="Y506" s="1109">
        <v>0</v>
      </c>
      <c r="Z506" s="1109">
        <v>265364.19</v>
      </c>
      <c r="AA506" s="1056">
        <v>0</v>
      </c>
    </row>
    <row r="507" spans="1:27" s="1064" customFormat="1" ht="102.75" customHeight="1">
      <c r="A507" s="1322">
        <v>29</v>
      </c>
      <c r="B507" s="1233" t="s">
        <v>1839</v>
      </c>
      <c r="C507" s="1056">
        <f t="shared" si="355"/>
        <v>2583495.7799999998</v>
      </c>
      <c r="D507" s="1056">
        <f t="shared" si="354"/>
        <v>0</v>
      </c>
      <c r="E507" s="1109">
        <v>0</v>
      </c>
      <c r="F507" s="1109">
        <v>0</v>
      </c>
      <c r="G507" s="1109">
        <v>0</v>
      </c>
      <c r="H507" s="1109">
        <v>0</v>
      </c>
      <c r="I507" s="1109">
        <v>0</v>
      </c>
      <c r="J507" s="1109">
        <v>0</v>
      </c>
      <c r="K507" s="1275">
        <v>0</v>
      </c>
      <c r="L507" s="1109">
        <v>0</v>
      </c>
      <c r="M507" s="1239">
        <v>0</v>
      </c>
      <c r="N507" s="1109">
        <v>0</v>
      </c>
      <c r="O507" s="1109">
        <v>787.34</v>
      </c>
      <c r="P507" s="1109">
        <v>2509874.11</v>
      </c>
      <c r="Q507" s="1109">
        <v>0</v>
      </c>
      <c r="R507" s="1109">
        <v>0</v>
      </c>
      <c r="S507" s="1109">
        <v>0</v>
      </c>
      <c r="T507" s="1109">
        <v>0</v>
      </c>
      <c r="U507" s="1274">
        <v>0</v>
      </c>
      <c r="V507" s="1274">
        <v>0</v>
      </c>
      <c r="W507" s="1274">
        <v>0</v>
      </c>
      <c r="X507" s="1109">
        <v>0</v>
      </c>
      <c r="Y507" s="1109">
        <v>0</v>
      </c>
      <c r="Z507" s="1109">
        <v>73621.67</v>
      </c>
      <c r="AA507" s="1056">
        <v>0</v>
      </c>
    </row>
    <row r="508" spans="1:27" s="1064" customFormat="1" ht="102.75" customHeight="1">
      <c r="A508" s="1322">
        <v>30</v>
      </c>
      <c r="B508" s="1233" t="s">
        <v>1840</v>
      </c>
      <c r="C508" s="1056">
        <f t="shared" si="355"/>
        <v>1271010.81</v>
      </c>
      <c r="D508" s="1056">
        <f t="shared" si="354"/>
        <v>1223384</v>
      </c>
      <c r="E508" s="1109">
        <v>0</v>
      </c>
      <c r="F508" s="1109">
        <v>1223384</v>
      </c>
      <c r="G508" s="1109">
        <v>0</v>
      </c>
      <c r="H508" s="1109">
        <v>0</v>
      </c>
      <c r="I508" s="1109">
        <v>0</v>
      </c>
      <c r="J508" s="1109">
        <v>0</v>
      </c>
      <c r="K508" s="1275">
        <v>0</v>
      </c>
      <c r="L508" s="1109">
        <v>0</v>
      </c>
      <c r="M508" s="1239">
        <v>0</v>
      </c>
      <c r="N508" s="1109">
        <v>0</v>
      </c>
      <c r="O508" s="1109">
        <v>0</v>
      </c>
      <c r="P508" s="1109">
        <v>0</v>
      </c>
      <c r="Q508" s="1109">
        <v>0</v>
      </c>
      <c r="R508" s="1109">
        <v>0</v>
      </c>
      <c r="S508" s="1109">
        <v>0</v>
      </c>
      <c r="T508" s="1109">
        <v>0</v>
      </c>
      <c r="U508" s="1274">
        <v>0</v>
      </c>
      <c r="V508" s="1274">
        <v>0</v>
      </c>
      <c r="W508" s="1274">
        <v>0</v>
      </c>
      <c r="X508" s="1109">
        <v>0</v>
      </c>
      <c r="Y508" s="1109">
        <v>0</v>
      </c>
      <c r="Z508" s="1109">
        <v>47626.81</v>
      </c>
      <c r="AA508" s="1056">
        <v>0</v>
      </c>
    </row>
    <row r="509" spans="1:27" s="1064" customFormat="1" ht="102.75" customHeight="1">
      <c r="A509" s="1322">
        <v>31</v>
      </c>
      <c r="B509" s="1233" t="s">
        <v>1841</v>
      </c>
      <c r="C509" s="1056">
        <f t="shared" si="355"/>
        <v>2253297</v>
      </c>
      <c r="D509" s="1056">
        <f t="shared" si="354"/>
        <v>0</v>
      </c>
      <c r="E509" s="1109">
        <v>0</v>
      </c>
      <c r="F509" s="1109">
        <v>0</v>
      </c>
      <c r="G509" s="1109">
        <v>0</v>
      </c>
      <c r="H509" s="1109">
        <v>0</v>
      </c>
      <c r="I509" s="1109">
        <v>0</v>
      </c>
      <c r="J509" s="1109">
        <v>0</v>
      </c>
      <c r="K509" s="1275">
        <v>0</v>
      </c>
      <c r="L509" s="1109">
        <v>0</v>
      </c>
      <c r="M509" s="1239">
        <v>0</v>
      </c>
      <c r="N509" s="1109">
        <v>0</v>
      </c>
      <c r="O509" s="1109">
        <v>1126</v>
      </c>
      <c r="P509" s="1109">
        <v>2198421.81</v>
      </c>
      <c r="Q509" s="1109">
        <v>0</v>
      </c>
      <c r="R509" s="1109">
        <v>0</v>
      </c>
      <c r="S509" s="1109">
        <v>0</v>
      </c>
      <c r="T509" s="1109">
        <v>0</v>
      </c>
      <c r="U509" s="1274">
        <v>0</v>
      </c>
      <c r="V509" s="1274">
        <v>0</v>
      </c>
      <c r="W509" s="1274">
        <v>0</v>
      </c>
      <c r="X509" s="1109">
        <v>0</v>
      </c>
      <c r="Y509" s="1109">
        <v>0</v>
      </c>
      <c r="Z509" s="1109">
        <v>54875.19</v>
      </c>
      <c r="AA509" s="1056">
        <v>0</v>
      </c>
    </row>
    <row r="510" spans="1:27" s="1064" customFormat="1" ht="102.75" customHeight="1">
      <c r="A510" s="1322">
        <v>32</v>
      </c>
      <c r="B510" s="1233" t="s">
        <v>1842</v>
      </c>
      <c r="C510" s="1056">
        <f t="shared" si="355"/>
        <v>3687908</v>
      </c>
      <c r="D510" s="1056">
        <f t="shared" si="354"/>
        <v>3608964.94</v>
      </c>
      <c r="E510" s="1109">
        <v>0</v>
      </c>
      <c r="F510" s="1109">
        <v>0</v>
      </c>
      <c r="G510" s="1109">
        <v>0</v>
      </c>
      <c r="H510" s="1109">
        <v>0</v>
      </c>
      <c r="I510" s="1109">
        <v>3608964.94</v>
      </c>
      <c r="J510" s="1109">
        <v>0</v>
      </c>
      <c r="K510" s="1275">
        <v>0</v>
      </c>
      <c r="L510" s="1109">
        <v>0</v>
      </c>
      <c r="M510" s="1239">
        <v>0</v>
      </c>
      <c r="N510" s="1109">
        <v>0</v>
      </c>
      <c r="O510" s="1109">
        <v>0</v>
      </c>
      <c r="P510" s="1109">
        <v>0</v>
      </c>
      <c r="Q510" s="1109">
        <v>0</v>
      </c>
      <c r="R510" s="1109">
        <v>0</v>
      </c>
      <c r="S510" s="1109">
        <v>0</v>
      </c>
      <c r="T510" s="1109">
        <v>0</v>
      </c>
      <c r="U510" s="1274">
        <v>0</v>
      </c>
      <c r="V510" s="1274">
        <v>0</v>
      </c>
      <c r="W510" s="1274">
        <v>0</v>
      </c>
      <c r="X510" s="1109">
        <v>0</v>
      </c>
      <c r="Y510" s="1109">
        <v>0</v>
      </c>
      <c r="Z510" s="1109">
        <v>78943.06</v>
      </c>
      <c r="AA510" s="1056">
        <v>0</v>
      </c>
    </row>
    <row r="511" spans="1:27" s="1064" customFormat="1" ht="102.75" customHeight="1">
      <c r="A511" s="1322">
        <v>33</v>
      </c>
      <c r="B511" s="1233" t="s">
        <v>1843</v>
      </c>
      <c r="C511" s="1056">
        <f t="shared" si="355"/>
        <v>2903468</v>
      </c>
      <c r="D511" s="1056">
        <f t="shared" si="354"/>
        <v>0</v>
      </c>
      <c r="E511" s="1109">
        <v>0</v>
      </c>
      <c r="F511" s="1109">
        <v>0</v>
      </c>
      <c r="G511" s="1109">
        <v>0</v>
      </c>
      <c r="H511" s="1109">
        <v>0</v>
      </c>
      <c r="I511" s="1109">
        <v>0</v>
      </c>
      <c r="J511" s="1109">
        <v>0</v>
      </c>
      <c r="K511" s="1275">
        <v>0</v>
      </c>
      <c r="L511" s="1109">
        <v>0</v>
      </c>
      <c r="M511" s="1239">
        <v>0</v>
      </c>
      <c r="N511" s="1109">
        <v>0</v>
      </c>
      <c r="O511" s="1109">
        <v>978</v>
      </c>
      <c r="P511" s="1109">
        <v>2758739</v>
      </c>
      <c r="Q511" s="1109">
        <v>0</v>
      </c>
      <c r="R511" s="1109">
        <v>0</v>
      </c>
      <c r="S511" s="1109">
        <v>0</v>
      </c>
      <c r="T511" s="1109">
        <v>0</v>
      </c>
      <c r="U511" s="1274">
        <v>0</v>
      </c>
      <c r="V511" s="1274">
        <v>0</v>
      </c>
      <c r="W511" s="1274">
        <v>0</v>
      </c>
      <c r="X511" s="1109">
        <v>0</v>
      </c>
      <c r="Y511" s="1109">
        <v>0</v>
      </c>
      <c r="Z511" s="1109">
        <v>144729</v>
      </c>
      <c r="AA511" s="1056">
        <v>0</v>
      </c>
    </row>
    <row r="512" spans="1:27" s="1064" customFormat="1" ht="102.75" customHeight="1">
      <c r="A512" s="1322">
        <v>34</v>
      </c>
      <c r="B512" s="1233" t="s">
        <v>1844</v>
      </c>
      <c r="C512" s="1056">
        <f t="shared" si="355"/>
        <v>1967436</v>
      </c>
      <c r="D512" s="1056">
        <f t="shared" si="354"/>
        <v>1824531.62</v>
      </c>
      <c r="E512" s="1104">
        <v>0</v>
      </c>
      <c r="F512" s="1108">
        <v>0</v>
      </c>
      <c r="G512" s="1108">
        <v>0</v>
      </c>
      <c r="H512" s="1108">
        <v>0</v>
      </c>
      <c r="I512" s="1108">
        <v>0</v>
      </c>
      <c r="J512" s="1108">
        <v>1824531.62</v>
      </c>
      <c r="K512" s="1110">
        <v>0</v>
      </c>
      <c r="L512" s="1103">
        <v>0</v>
      </c>
      <c r="M512" s="1108">
        <v>0</v>
      </c>
      <c r="N512" s="1102">
        <v>0</v>
      </c>
      <c r="O512" s="1108">
        <v>0</v>
      </c>
      <c r="P512" s="1108">
        <v>0</v>
      </c>
      <c r="Q512" s="1108">
        <v>0</v>
      </c>
      <c r="R512" s="1108">
        <v>0</v>
      </c>
      <c r="S512" s="1108">
        <v>0</v>
      </c>
      <c r="T512" s="1108">
        <v>0</v>
      </c>
      <c r="U512" s="1108">
        <v>0</v>
      </c>
      <c r="V512" s="1104">
        <v>0</v>
      </c>
      <c r="W512" s="1108">
        <v>0</v>
      </c>
      <c r="X512" s="1108">
        <v>0</v>
      </c>
      <c r="Y512" s="1108">
        <v>0</v>
      </c>
      <c r="Z512" s="1108">
        <v>142904.38</v>
      </c>
      <c r="AA512" s="1056">
        <v>0</v>
      </c>
    </row>
    <row r="513" spans="1:27" s="1064" customFormat="1" ht="102.75" customHeight="1">
      <c r="A513" s="1322">
        <v>35</v>
      </c>
      <c r="B513" s="1233" t="s">
        <v>1845</v>
      </c>
      <c r="C513" s="1056">
        <f t="shared" si="355"/>
        <v>9914209.8100000005</v>
      </c>
      <c r="D513" s="1056">
        <f t="shared" si="354"/>
        <v>9447892.9000000004</v>
      </c>
      <c r="E513" s="1104">
        <v>0</v>
      </c>
      <c r="F513" s="1108">
        <v>3611969.47</v>
      </c>
      <c r="G513" s="1110">
        <v>0</v>
      </c>
      <c r="H513" s="1108">
        <v>2217248.58</v>
      </c>
      <c r="I513" s="1110">
        <v>2217248.58</v>
      </c>
      <c r="J513" s="1110">
        <v>1401426.27</v>
      </c>
      <c r="K513" s="1110">
        <v>0</v>
      </c>
      <c r="L513" s="1103">
        <v>0</v>
      </c>
      <c r="M513" s="1108">
        <v>0</v>
      </c>
      <c r="N513" s="1102">
        <v>0</v>
      </c>
      <c r="O513" s="1108">
        <v>0</v>
      </c>
      <c r="P513" s="1108">
        <v>0</v>
      </c>
      <c r="Q513" s="1108">
        <v>0</v>
      </c>
      <c r="R513" s="1108">
        <v>0</v>
      </c>
      <c r="S513" s="1108">
        <v>0</v>
      </c>
      <c r="T513" s="1108">
        <v>0</v>
      </c>
      <c r="U513" s="1108">
        <v>0</v>
      </c>
      <c r="V513" s="1104">
        <v>0</v>
      </c>
      <c r="W513" s="1108">
        <v>0</v>
      </c>
      <c r="X513" s="1108">
        <v>0</v>
      </c>
      <c r="Y513" s="1108">
        <v>0</v>
      </c>
      <c r="Z513" s="1108">
        <v>466316.91000000003</v>
      </c>
      <c r="AA513" s="1056">
        <v>0</v>
      </c>
    </row>
    <row r="514" spans="1:27" s="1064" customFormat="1" ht="102.75" customHeight="1">
      <c r="A514" s="1322">
        <v>36</v>
      </c>
      <c r="B514" s="1233" t="s">
        <v>1960</v>
      </c>
      <c r="C514" s="1056">
        <f t="shared" si="355"/>
        <v>19552943.849999998</v>
      </c>
      <c r="D514" s="1056">
        <f t="shared" si="354"/>
        <v>0</v>
      </c>
      <c r="E514" s="1104">
        <v>0</v>
      </c>
      <c r="F514" s="1108">
        <v>0</v>
      </c>
      <c r="G514" s="1108">
        <v>0</v>
      </c>
      <c r="H514" s="1108">
        <v>0</v>
      </c>
      <c r="I514" s="1108">
        <v>0</v>
      </c>
      <c r="J514" s="1108">
        <v>0</v>
      </c>
      <c r="K514" s="1108">
        <v>0</v>
      </c>
      <c r="L514" s="1103">
        <v>0</v>
      </c>
      <c r="M514" s="1108">
        <v>0</v>
      </c>
      <c r="N514" s="1102">
        <v>0</v>
      </c>
      <c r="O514" s="1108">
        <v>1301.2</v>
      </c>
      <c r="P514" s="1108">
        <v>5808032.0599999996</v>
      </c>
      <c r="Q514" s="1110">
        <v>0</v>
      </c>
      <c r="R514" s="1108">
        <v>0</v>
      </c>
      <c r="S514" s="1108">
        <v>2443.1999999999998</v>
      </c>
      <c r="T514" s="1108">
        <v>13181134.199999999</v>
      </c>
      <c r="U514" s="1110">
        <v>0</v>
      </c>
      <c r="V514" s="1104">
        <v>0</v>
      </c>
      <c r="W514" s="1110">
        <v>0</v>
      </c>
      <c r="X514" s="1108">
        <v>0</v>
      </c>
      <c r="Y514" s="1108">
        <v>0</v>
      </c>
      <c r="Z514" s="1108">
        <v>563777.59</v>
      </c>
      <c r="AA514" s="1056">
        <v>0</v>
      </c>
    </row>
    <row r="515" spans="1:27" s="1064" customFormat="1" ht="102.75" customHeight="1">
      <c r="A515" s="1322">
        <v>37</v>
      </c>
      <c r="B515" s="1233" t="s">
        <v>1961</v>
      </c>
      <c r="C515" s="1056">
        <f t="shared" si="355"/>
        <v>3712475</v>
      </c>
      <c r="D515" s="1056">
        <f t="shared" si="354"/>
        <v>2463652.23</v>
      </c>
      <c r="E515" s="1104">
        <v>392537.91</v>
      </c>
      <c r="F515" s="1110">
        <v>525518.37</v>
      </c>
      <c r="G515" s="1110">
        <v>325537.63</v>
      </c>
      <c r="H515" s="1110">
        <v>460634.33999999997</v>
      </c>
      <c r="I515" s="1110">
        <v>460634.33999999997</v>
      </c>
      <c r="J515" s="1110">
        <v>298789.64</v>
      </c>
      <c r="K515" s="1110">
        <v>0</v>
      </c>
      <c r="L515" s="1103">
        <v>0</v>
      </c>
      <c r="M515" s="1108">
        <v>0</v>
      </c>
      <c r="N515" s="1102">
        <v>0</v>
      </c>
      <c r="O515" s="1108">
        <v>0</v>
      </c>
      <c r="P515" s="1108">
        <v>0</v>
      </c>
      <c r="Q515" s="1108">
        <v>0</v>
      </c>
      <c r="R515" s="1108">
        <v>0</v>
      </c>
      <c r="S515" s="1108">
        <v>700.6</v>
      </c>
      <c r="T515" s="1108">
        <v>979167.79</v>
      </c>
      <c r="U515" s="1110">
        <v>0</v>
      </c>
      <c r="V515" s="1104">
        <v>0</v>
      </c>
      <c r="W515" s="1110">
        <v>0</v>
      </c>
      <c r="X515" s="1108">
        <v>0</v>
      </c>
      <c r="Y515" s="1108">
        <v>0</v>
      </c>
      <c r="Z515" s="1108">
        <v>269654.98000000004</v>
      </c>
      <c r="AA515" s="1056">
        <v>0</v>
      </c>
    </row>
    <row r="516" spans="1:27" s="1064" customFormat="1" ht="102.75" customHeight="1">
      <c r="A516" s="1322">
        <v>38</v>
      </c>
      <c r="B516" s="1233" t="s">
        <v>1848</v>
      </c>
      <c r="C516" s="1056">
        <f t="shared" si="355"/>
        <v>264057</v>
      </c>
      <c r="D516" s="1056">
        <f t="shared" si="354"/>
        <v>244877.26</v>
      </c>
      <c r="E516" s="1104">
        <v>244877.26</v>
      </c>
      <c r="F516" s="1110">
        <v>0</v>
      </c>
      <c r="G516" s="1108">
        <v>0</v>
      </c>
      <c r="H516" s="1108">
        <v>0</v>
      </c>
      <c r="I516" s="1108">
        <v>0</v>
      </c>
      <c r="J516" s="1108">
        <v>0</v>
      </c>
      <c r="K516" s="1108">
        <v>0</v>
      </c>
      <c r="L516" s="1103">
        <v>0</v>
      </c>
      <c r="M516" s="1108">
        <v>0</v>
      </c>
      <c r="N516" s="1102">
        <v>0</v>
      </c>
      <c r="O516" s="1108">
        <v>0</v>
      </c>
      <c r="P516" s="1108">
        <v>0</v>
      </c>
      <c r="Q516" s="1108">
        <v>0</v>
      </c>
      <c r="R516" s="1108">
        <v>0</v>
      </c>
      <c r="S516" s="1108">
        <v>0</v>
      </c>
      <c r="T516" s="1108">
        <v>0</v>
      </c>
      <c r="U516" s="1110">
        <v>0</v>
      </c>
      <c r="V516" s="1104">
        <v>0</v>
      </c>
      <c r="W516" s="1110">
        <v>0</v>
      </c>
      <c r="X516" s="1108">
        <v>0</v>
      </c>
      <c r="Y516" s="1108">
        <v>0</v>
      </c>
      <c r="Z516" s="1108">
        <v>19179.740000000002</v>
      </c>
      <c r="AA516" s="1056">
        <v>0</v>
      </c>
    </row>
    <row r="517" spans="1:27" s="1064" customFormat="1" ht="102.75" customHeight="1">
      <c r="A517" s="1322">
        <v>39</v>
      </c>
      <c r="B517" s="1233" t="s">
        <v>1849</v>
      </c>
      <c r="C517" s="1056">
        <f t="shared" si="355"/>
        <v>376932</v>
      </c>
      <c r="D517" s="1056">
        <f t="shared" si="354"/>
        <v>349553.61</v>
      </c>
      <c r="E517" s="1104">
        <v>0</v>
      </c>
      <c r="F517" s="1108">
        <v>0</v>
      </c>
      <c r="G517" s="1108">
        <v>0</v>
      </c>
      <c r="H517" s="1108">
        <v>349553.61</v>
      </c>
      <c r="I517" s="1110">
        <v>0</v>
      </c>
      <c r="J517" s="1108">
        <v>0</v>
      </c>
      <c r="K517" s="1108">
        <v>0</v>
      </c>
      <c r="L517" s="1103">
        <v>0</v>
      </c>
      <c r="M517" s="1108">
        <v>0</v>
      </c>
      <c r="N517" s="1102">
        <v>0</v>
      </c>
      <c r="O517" s="1108">
        <v>0</v>
      </c>
      <c r="P517" s="1108">
        <v>0</v>
      </c>
      <c r="Q517" s="1108">
        <v>0</v>
      </c>
      <c r="R517" s="1108">
        <v>0</v>
      </c>
      <c r="S517" s="1108">
        <v>0</v>
      </c>
      <c r="T517" s="1108">
        <v>0</v>
      </c>
      <c r="U517" s="1108">
        <v>0</v>
      </c>
      <c r="V517" s="1104">
        <v>0</v>
      </c>
      <c r="W517" s="1108">
        <v>0</v>
      </c>
      <c r="X517" s="1108">
        <v>0</v>
      </c>
      <c r="Y517" s="1108">
        <v>0</v>
      </c>
      <c r="Z517" s="1108">
        <v>27378.39</v>
      </c>
      <c r="AA517" s="1056">
        <v>0</v>
      </c>
    </row>
    <row r="518" spans="1:27" s="1064" customFormat="1" ht="102.75" customHeight="1">
      <c r="A518" s="1322">
        <v>40</v>
      </c>
      <c r="B518" s="1233" t="s">
        <v>1850</v>
      </c>
      <c r="C518" s="1056">
        <f t="shared" si="355"/>
        <v>447464</v>
      </c>
      <c r="D518" s="1056">
        <f t="shared" si="354"/>
        <v>414962.53</v>
      </c>
      <c r="E518" s="1104">
        <v>0</v>
      </c>
      <c r="F518" s="1108">
        <v>0</v>
      </c>
      <c r="G518" s="1108">
        <v>0</v>
      </c>
      <c r="H518" s="1108">
        <v>414962.53</v>
      </c>
      <c r="I518" s="1110">
        <v>0</v>
      </c>
      <c r="J518" s="1108">
        <v>0</v>
      </c>
      <c r="K518" s="1108">
        <v>0</v>
      </c>
      <c r="L518" s="1103">
        <v>0</v>
      </c>
      <c r="M518" s="1108">
        <v>0</v>
      </c>
      <c r="N518" s="1102">
        <v>0</v>
      </c>
      <c r="O518" s="1108">
        <v>0</v>
      </c>
      <c r="P518" s="1108">
        <v>0</v>
      </c>
      <c r="Q518" s="1108">
        <v>0</v>
      </c>
      <c r="R518" s="1108">
        <v>0</v>
      </c>
      <c r="S518" s="1108">
        <v>0</v>
      </c>
      <c r="T518" s="1108">
        <v>0</v>
      </c>
      <c r="U518" s="1108">
        <v>0</v>
      </c>
      <c r="V518" s="1104">
        <v>0</v>
      </c>
      <c r="W518" s="1108">
        <v>0</v>
      </c>
      <c r="X518" s="1108">
        <v>0</v>
      </c>
      <c r="Y518" s="1108">
        <v>0</v>
      </c>
      <c r="Z518" s="1108">
        <v>32501.47</v>
      </c>
      <c r="AA518" s="1056">
        <v>0</v>
      </c>
    </row>
    <row r="519" spans="1:27" s="1064" customFormat="1" ht="102.75" customHeight="1">
      <c r="A519" s="1322">
        <v>41</v>
      </c>
      <c r="B519" s="1233" t="s">
        <v>1851</v>
      </c>
      <c r="C519" s="1056">
        <f t="shared" si="355"/>
        <v>26223875.760000002</v>
      </c>
      <c r="D519" s="1056">
        <f t="shared" si="354"/>
        <v>0</v>
      </c>
      <c r="E519" s="1104">
        <v>0</v>
      </c>
      <c r="F519" s="1108">
        <v>0</v>
      </c>
      <c r="G519" s="1108">
        <v>0</v>
      </c>
      <c r="H519" s="1108">
        <v>0</v>
      </c>
      <c r="I519" s="1108">
        <v>0</v>
      </c>
      <c r="J519" s="1108">
        <v>0</v>
      </c>
      <c r="K519" s="1108">
        <v>0</v>
      </c>
      <c r="L519" s="1103">
        <v>0</v>
      </c>
      <c r="M519" s="1108">
        <v>0</v>
      </c>
      <c r="N519" s="1102">
        <v>0</v>
      </c>
      <c r="O519" s="1108">
        <v>0</v>
      </c>
      <c r="P519" s="1108">
        <v>0</v>
      </c>
      <c r="Q519" s="1108">
        <v>0</v>
      </c>
      <c r="R519" s="1108">
        <v>0</v>
      </c>
      <c r="S519" s="1108">
        <v>0</v>
      </c>
      <c r="T519" s="1108">
        <v>0</v>
      </c>
      <c r="U519" s="1108">
        <v>4400</v>
      </c>
      <c r="V519" s="1108">
        <v>25553793.760000002</v>
      </c>
      <c r="W519" s="1110">
        <v>0</v>
      </c>
      <c r="X519" s="1108">
        <v>0</v>
      </c>
      <c r="Y519" s="1108">
        <v>0</v>
      </c>
      <c r="Z519" s="1108">
        <v>670082</v>
      </c>
      <c r="AA519" s="1056">
        <v>0</v>
      </c>
    </row>
    <row r="520" spans="1:27" s="1064" customFormat="1" ht="102.75" customHeight="1">
      <c r="A520" s="1322">
        <v>42</v>
      </c>
      <c r="B520" s="1233" t="s">
        <v>1852</v>
      </c>
      <c r="C520" s="1056">
        <f t="shared" si="355"/>
        <v>454703</v>
      </c>
      <c r="D520" s="1056">
        <f t="shared" si="354"/>
        <v>421675.73</v>
      </c>
      <c r="E520" s="1104">
        <v>421675.73</v>
      </c>
      <c r="F520" s="1110">
        <v>0</v>
      </c>
      <c r="G520" s="1108">
        <v>0</v>
      </c>
      <c r="H520" s="1108">
        <v>0</v>
      </c>
      <c r="I520" s="1108">
        <v>0</v>
      </c>
      <c r="J520" s="1108">
        <v>0</v>
      </c>
      <c r="K520" s="1108">
        <v>0</v>
      </c>
      <c r="L520" s="1103">
        <v>0</v>
      </c>
      <c r="M520" s="1108">
        <v>0</v>
      </c>
      <c r="N520" s="1102">
        <v>0</v>
      </c>
      <c r="O520" s="1108">
        <v>0</v>
      </c>
      <c r="P520" s="1108">
        <v>0</v>
      </c>
      <c r="Q520" s="1108">
        <v>0</v>
      </c>
      <c r="R520" s="1108">
        <v>0</v>
      </c>
      <c r="S520" s="1108">
        <v>0</v>
      </c>
      <c r="T520" s="1108">
        <v>0</v>
      </c>
      <c r="U520" s="1108">
        <v>0</v>
      </c>
      <c r="V520" s="1104">
        <v>0</v>
      </c>
      <c r="W520" s="1108">
        <v>0</v>
      </c>
      <c r="X520" s="1108">
        <v>0</v>
      </c>
      <c r="Y520" s="1108">
        <v>0</v>
      </c>
      <c r="Z520" s="1108">
        <v>33027.269999999997</v>
      </c>
      <c r="AA520" s="1056">
        <v>0</v>
      </c>
    </row>
    <row r="521" spans="1:27" s="1064" customFormat="1" ht="102.75" customHeight="1">
      <c r="A521" s="1322">
        <v>43</v>
      </c>
      <c r="B521" s="1233" t="s">
        <v>1853</v>
      </c>
      <c r="C521" s="1056">
        <f t="shared" si="355"/>
        <v>3635931.0000000005</v>
      </c>
      <c r="D521" s="1056">
        <f t="shared" si="354"/>
        <v>0</v>
      </c>
      <c r="E521" s="1104">
        <v>0</v>
      </c>
      <c r="F521" s="1108">
        <v>0</v>
      </c>
      <c r="G521" s="1108">
        <v>0</v>
      </c>
      <c r="H521" s="1108">
        <v>0</v>
      </c>
      <c r="I521" s="1108">
        <v>0</v>
      </c>
      <c r="J521" s="1108">
        <v>0</v>
      </c>
      <c r="K521" s="1108">
        <v>0</v>
      </c>
      <c r="L521" s="1103">
        <v>0</v>
      </c>
      <c r="M521" s="1108">
        <v>0</v>
      </c>
      <c r="N521" s="1102">
        <v>0</v>
      </c>
      <c r="O521" s="1108">
        <v>713.4</v>
      </c>
      <c r="P521" s="1108">
        <v>2084983.99</v>
      </c>
      <c r="Q521" s="1110">
        <v>0</v>
      </c>
      <c r="R521" s="1108">
        <v>0</v>
      </c>
      <c r="S521" s="1108">
        <v>921.24</v>
      </c>
      <c r="T521" s="1108">
        <v>1286851.79</v>
      </c>
      <c r="U521" s="1110">
        <v>0</v>
      </c>
      <c r="V521" s="1104">
        <v>0</v>
      </c>
      <c r="W521" s="1110">
        <v>0</v>
      </c>
      <c r="X521" s="1108">
        <v>0</v>
      </c>
      <c r="Y521" s="1108">
        <v>0</v>
      </c>
      <c r="Z521" s="1108">
        <v>264095.22000000003</v>
      </c>
      <c r="AA521" s="1056">
        <v>0</v>
      </c>
    </row>
    <row r="522" spans="1:27" s="1064" customFormat="1" ht="102.75" customHeight="1">
      <c r="A522" s="1322">
        <v>44</v>
      </c>
      <c r="B522" s="1233" t="s">
        <v>1854</v>
      </c>
      <c r="C522" s="1056">
        <f t="shared" si="355"/>
        <v>593036</v>
      </c>
      <c r="D522" s="1056">
        <f t="shared" si="354"/>
        <v>549960.93000000005</v>
      </c>
      <c r="E522" s="1104">
        <v>549960.93000000005</v>
      </c>
      <c r="F522" s="1110">
        <v>0</v>
      </c>
      <c r="G522" s="1108">
        <v>0</v>
      </c>
      <c r="H522" s="1108">
        <v>0</v>
      </c>
      <c r="I522" s="1108">
        <v>0</v>
      </c>
      <c r="J522" s="1108">
        <v>0</v>
      </c>
      <c r="K522" s="1108">
        <v>0</v>
      </c>
      <c r="L522" s="1103">
        <v>0</v>
      </c>
      <c r="M522" s="1108">
        <v>0</v>
      </c>
      <c r="N522" s="1102">
        <v>0</v>
      </c>
      <c r="O522" s="1108">
        <v>0</v>
      </c>
      <c r="P522" s="1108">
        <v>0</v>
      </c>
      <c r="Q522" s="1108">
        <v>0</v>
      </c>
      <c r="R522" s="1108">
        <v>0</v>
      </c>
      <c r="S522" s="1108">
        <v>0</v>
      </c>
      <c r="T522" s="1108">
        <v>0</v>
      </c>
      <c r="U522" s="1108">
        <v>0</v>
      </c>
      <c r="V522" s="1104">
        <v>0</v>
      </c>
      <c r="W522" s="1108">
        <v>0</v>
      </c>
      <c r="X522" s="1108">
        <v>0</v>
      </c>
      <c r="Y522" s="1108">
        <v>0</v>
      </c>
      <c r="Z522" s="1108">
        <v>43075.07</v>
      </c>
      <c r="AA522" s="1056">
        <v>0</v>
      </c>
    </row>
    <row r="523" spans="1:27" s="1064" customFormat="1" ht="102.75" customHeight="1">
      <c r="A523" s="1322">
        <v>45</v>
      </c>
      <c r="B523" s="1233" t="s">
        <v>1855</v>
      </c>
      <c r="C523" s="1056">
        <f t="shared" si="355"/>
        <v>948145</v>
      </c>
      <c r="D523" s="1056">
        <f t="shared" si="354"/>
        <v>879276.66</v>
      </c>
      <c r="E523" s="1104">
        <v>0</v>
      </c>
      <c r="F523" s="1108">
        <v>360705.18</v>
      </c>
      <c r="G523" s="1110">
        <v>0</v>
      </c>
      <c r="H523" s="1108">
        <v>316913.14</v>
      </c>
      <c r="I523" s="1110">
        <v>0</v>
      </c>
      <c r="J523" s="1108">
        <v>201658.34</v>
      </c>
      <c r="K523" s="1110">
        <v>0</v>
      </c>
      <c r="L523" s="1103">
        <v>0</v>
      </c>
      <c r="M523" s="1108">
        <v>0</v>
      </c>
      <c r="N523" s="1102">
        <v>0</v>
      </c>
      <c r="O523" s="1108">
        <v>0</v>
      </c>
      <c r="P523" s="1108">
        <v>0</v>
      </c>
      <c r="Q523" s="1108">
        <v>0</v>
      </c>
      <c r="R523" s="1108">
        <v>0</v>
      </c>
      <c r="S523" s="1108">
        <v>0</v>
      </c>
      <c r="T523" s="1108">
        <v>0</v>
      </c>
      <c r="U523" s="1108">
        <v>0</v>
      </c>
      <c r="V523" s="1104">
        <v>0</v>
      </c>
      <c r="W523" s="1108">
        <v>0</v>
      </c>
      <c r="X523" s="1108">
        <v>0</v>
      </c>
      <c r="Y523" s="1108">
        <v>0</v>
      </c>
      <c r="Z523" s="1108">
        <v>68868.34</v>
      </c>
      <c r="AA523" s="1056">
        <v>0</v>
      </c>
    </row>
    <row r="524" spans="1:27" s="1064" customFormat="1" ht="102.75" customHeight="1">
      <c r="A524" s="1322">
        <v>46</v>
      </c>
      <c r="B524" s="1233" t="s">
        <v>1856</v>
      </c>
      <c r="C524" s="1056">
        <f t="shared" si="355"/>
        <v>1431229</v>
      </c>
      <c r="D524" s="1056">
        <f t="shared" si="354"/>
        <v>1327272.32</v>
      </c>
      <c r="E524" s="1104">
        <v>322107.32</v>
      </c>
      <c r="F524" s="1110">
        <v>622790</v>
      </c>
      <c r="G524" s="1110">
        <v>0</v>
      </c>
      <c r="H524" s="1108">
        <v>0</v>
      </c>
      <c r="I524" s="1108">
        <v>382375</v>
      </c>
      <c r="J524" s="1110">
        <v>0</v>
      </c>
      <c r="K524" s="1108">
        <v>0</v>
      </c>
      <c r="L524" s="1103">
        <v>0</v>
      </c>
      <c r="M524" s="1108">
        <v>0</v>
      </c>
      <c r="N524" s="1102">
        <v>0</v>
      </c>
      <c r="O524" s="1108">
        <v>0</v>
      </c>
      <c r="P524" s="1108">
        <v>0</v>
      </c>
      <c r="Q524" s="1108">
        <v>0</v>
      </c>
      <c r="R524" s="1108">
        <v>0</v>
      </c>
      <c r="S524" s="1108">
        <v>0</v>
      </c>
      <c r="T524" s="1108">
        <v>0</v>
      </c>
      <c r="U524" s="1108">
        <v>0</v>
      </c>
      <c r="V524" s="1104">
        <v>0</v>
      </c>
      <c r="W524" s="1108">
        <v>0</v>
      </c>
      <c r="X524" s="1108">
        <v>0</v>
      </c>
      <c r="Y524" s="1108">
        <v>0</v>
      </c>
      <c r="Z524" s="1108">
        <v>103956.68</v>
      </c>
      <c r="AA524" s="1056">
        <v>0</v>
      </c>
    </row>
    <row r="525" spans="1:27" s="1064" customFormat="1" ht="102.75" customHeight="1">
      <c r="A525" s="1322">
        <v>47</v>
      </c>
      <c r="B525" s="1233" t="s">
        <v>1857</v>
      </c>
      <c r="C525" s="1056">
        <f t="shared" si="355"/>
        <v>3522195.05</v>
      </c>
      <c r="D525" s="1056">
        <f t="shared" si="354"/>
        <v>0</v>
      </c>
      <c r="E525" s="1104">
        <v>0</v>
      </c>
      <c r="F525" s="1108">
        <v>0</v>
      </c>
      <c r="G525" s="1108">
        <v>0</v>
      </c>
      <c r="H525" s="1108">
        <v>0</v>
      </c>
      <c r="I525" s="1108">
        <v>0</v>
      </c>
      <c r="J525" s="1108">
        <v>0</v>
      </c>
      <c r="K525" s="1108">
        <v>0</v>
      </c>
      <c r="L525" s="1103">
        <v>0</v>
      </c>
      <c r="M525" s="1108">
        <v>0</v>
      </c>
      <c r="N525" s="1102">
        <v>0</v>
      </c>
      <c r="O525" s="1108">
        <v>0</v>
      </c>
      <c r="P525" s="1108">
        <v>0</v>
      </c>
      <c r="Q525" s="1108">
        <v>0</v>
      </c>
      <c r="R525" s="1108">
        <v>0</v>
      </c>
      <c r="S525" s="1108">
        <v>1157.8499999999999</v>
      </c>
      <c r="T525" s="1108">
        <v>3395324.96</v>
      </c>
      <c r="U525" s="1110">
        <v>0</v>
      </c>
      <c r="V525" s="1104">
        <v>0</v>
      </c>
      <c r="W525" s="1110">
        <v>0</v>
      </c>
      <c r="X525" s="1108">
        <v>0</v>
      </c>
      <c r="Y525" s="1108">
        <v>0</v>
      </c>
      <c r="Z525" s="1108">
        <v>126870.09</v>
      </c>
      <c r="AA525" s="1056">
        <v>0</v>
      </c>
    </row>
    <row r="526" spans="1:27" s="1064" customFormat="1" ht="102.75" customHeight="1">
      <c r="A526" s="1322">
        <v>48</v>
      </c>
      <c r="B526" s="1233" t="s">
        <v>1858</v>
      </c>
      <c r="C526" s="1056">
        <f t="shared" si="355"/>
        <v>1459916</v>
      </c>
      <c r="D526" s="1056">
        <f t="shared" si="354"/>
        <v>0</v>
      </c>
      <c r="E526" s="1104">
        <v>0</v>
      </c>
      <c r="F526" s="1108">
        <v>0</v>
      </c>
      <c r="G526" s="1108">
        <v>0</v>
      </c>
      <c r="H526" s="1108">
        <v>0</v>
      </c>
      <c r="I526" s="1108">
        <v>0</v>
      </c>
      <c r="J526" s="1108">
        <v>0</v>
      </c>
      <c r="K526" s="1108">
        <v>0</v>
      </c>
      <c r="L526" s="1103">
        <v>0</v>
      </c>
      <c r="M526" s="1108">
        <v>0</v>
      </c>
      <c r="N526" s="1102">
        <v>0</v>
      </c>
      <c r="O526" s="1108">
        <v>578</v>
      </c>
      <c r="P526" s="1108">
        <v>1353875.25</v>
      </c>
      <c r="Q526" s="1110">
        <v>0</v>
      </c>
      <c r="R526" s="1108">
        <v>0</v>
      </c>
      <c r="S526" s="1108">
        <v>0</v>
      </c>
      <c r="T526" s="1108">
        <v>0</v>
      </c>
      <c r="U526" s="1108">
        <v>0</v>
      </c>
      <c r="V526" s="1104">
        <v>0</v>
      </c>
      <c r="W526" s="1108">
        <v>0</v>
      </c>
      <c r="X526" s="1108">
        <v>0</v>
      </c>
      <c r="Y526" s="1108">
        <v>0</v>
      </c>
      <c r="Z526" s="1108">
        <v>106040.75</v>
      </c>
      <c r="AA526" s="1056">
        <v>0</v>
      </c>
    </row>
    <row r="527" spans="1:27" s="1064" customFormat="1" ht="102.75" customHeight="1">
      <c r="A527" s="1322">
        <v>49</v>
      </c>
      <c r="B527" s="1233" t="s">
        <v>1859</v>
      </c>
      <c r="C527" s="1056">
        <f t="shared" si="355"/>
        <v>1168390</v>
      </c>
      <c r="D527" s="1056">
        <f t="shared" si="354"/>
        <v>0</v>
      </c>
      <c r="E527" s="1104">
        <v>0</v>
      </c>
      <c r="F527" s="1108">
        <v>0</v>
      </c>
      <c r="G527" s="1108">
        <v>0</v>
      </c>
      <c r="H527" s="1108">
        <v>0</v>
      </c>
      <c r="I527" s="1108">
        <v>0</v>
      </c>
      <c r="J527" s="1108">
        <v>0</v>
      </c>
      <c r="K527" s="1108">
        <v>0</v>
      </c>
      <c r="L527" s="1103">
        <v>0</v>
      </c>
      <c r="M527" s="1108">
        <v>0</v>
      </c>
      <c r="N527" s="1102">
        <v>0</v>
      </c>
      <c r="O527" s="1108">
        <v>0</v>
      </c>
      <c r="P527" s="1108">
        <v>0</v>
      </c>
      <c r="Q527" s="1108">
        <v>0</v>
      </c>
      <c r="R527" s="1108">
        <v>0</v>
      </c>
      <c r="S527" s="1108">
        <v>775</v>
      </c>
      <c r="T527" s="1108">
        <v>1083524.19</v>
      </c>
      <c r="U527" s="1110">
        <v>0</v>
      </c>
      <c r="V527" s="1104">
        <v>0</v>
      </c>
      <c r="W527" s="1110">
        <v>0</v>
      </c>
      <c r="X527" s="1108">
        <v>0</v>
      </c>
      <c r="Y527" s="1108">
        <v>0</v>
      </c>
      <c r="Z527" s="1108">
        <v>84865.81</v>
      </c>
      <c r="AA527" s="1056">
        <v>0</v>
      </c>
    </row>
    <row r="528" spans="1:27" s="1064" customFormat="1" ht="102.75" customHeight="1">
      <c r="A528" s="1322">
        <v>50</v>
      </c>
      <c r="B528" s="1233" t="s">
        <v>1860</v>
      </c>
      <c r="C528" s="1056">
        <f t="shared" si="355"/>
        <v>2540822</v>
      </c>
      <c r="D528" s="1056">
        <f t="shared" si="354"/>
        <v>0</v>
      </c>
      <c r="E528" s="1274">
        <v>0</v>
      </c>
      <c r="F528" s="1234">
        <v>0</v>
      </c>
      <c r="G528" s="1234">
        <v>0</v>
      </c>
      <c r="H528" s="1234">
        <v>0</v>
      </c>
      <c r="I528" s="1234">
        <v>0</v>
      </c>
      <c r="J528" s="1234">
        <v>0</v>
      </c>
      <c r="K528" s="1234">
        <v>0</v>
      </c>
      <c r="L528" s="1275">
        <v>0</v>
      </c>
      <c r="M528" s="1234">
        <v>0</v>
      </c>
      <c r="N528" s="1285">
        <v>0</v>
      </c>
      <c r="O528" s="1109">
        <v>0</v>
      </c>
      <c r="P528" s="1234">
        <v>0</v>
      </c>
      <c r="Q528" s="1234">
        <v>2950</v>
      </c>
      <c r="R528" s="1286">
        <v>2356269.83</v>
      </c>
      <c r="S528" s="1234">
        <v>0</v>
      </c>
      <c r="T528" s="1286">
        <v>0</v>
      </c>
      <c r="U528" s="1234">
        <v>0</v>
      </c>
      <c r="V528" s="1274">
        <v>0</v>
      </c>
      <c r="W528" s="1234">
        <v>0</v>
      </c>
      <c r="X528" s="1234">
        <v>0</v>
      </c>
      <c r="Y528" s="1234">
        <v>0</v>
      </c>
      <c r="Z528" s="1234">
        <v>184552.17</v>
      </c>
      <c r="AA528" s="1287">
        <v>0</v>
      </c>
    </row>
    <row r="529" spans="1:27" s="1064" customFormat="1" ht="102.75" customHeight="1">
      <c r="A529" s="1322">
        <v>51</v>
      </c>
      <c r="B529" s="1233" t="s">
        <v>1861</v>
      </c>
      <c r="C529" s="1056">
        <f t="shared" si="355"/>
        <v>2518802</v>
      </c>
      <c r="D529" s="1056">
        <f t="shared" si="354"/>
        <v>0</v>
      </c>
      <c r="E529" s="1274">
        <v>0</v>
      </c>
      <c r="F529" s="1234">
        <v>0</v>
      </c>
      <c r="G529" s="1234">
        <v>0</v>
      </c>
      <c r="H529" s="1234">
        <v>0</v>
      </c>
      <c r="I529" s="1234">
        <v>0</v>
      </c>
      <c r="J529" s="1234">
        <v>0</v>
      </c>
      <c r="K529" s="1234">
        <v>0</v>
      </c>
      <c r="L529" s="1275">
        <v>0</v>
      </c>
      <c r="M529" s="1234">
        <v>0</v>
      </c>
      <c r="N529" s="1285">
        <v>0</v>
      </c>
      <c r="O529" s="1109">
        <v>927</v>
      </c>
      <c r="P529" s="1234">
        <v>2335849</v>
      </c>
      <c r="Q529" s="1234">
        <v>0</v>
      </c>
      <c r="R529" s="1286">
        <v>0</v>
      </c>
      <c r="S529" s="1234">
        <v>0</v>
      </c>
      <c r="T529" s="1286">
        <v>0</v>
      </c>
      <c r="U529" s="1234">
        <v>0</v>
      </c>
      <c r="V529" s="1274">
        <v>0</v>
      </c>
      <c r="W529" s="1234">
        <v>0</v>
      </c>
      <c r="X529" s="1234">
        <v>0</v>
      </c>
      <c r="Y529" s="1234">
        <v>0</v>
      </c>
      <c r="Z529" s="1234">
        <v>182953</v>
      </c>
      <c r="AA529" s="1287">
        <v>0</v>
      </c>
    </row>
    <row r="530" spans="1:27" s="1064" customFormat="1" ht="102.75" customHeight="1">
      <c r="A530" s="1322">
        <v>52</v>
      </c>
      <c r="B530" s="1233" t="s">
        <v>1862</v>
      </c>
      <c r="C530" s="1056">
        <f t="shared" si="355"/>
        <v>1243453</v>
      </c>
      <c r="D530" s="1056">
        <f t="shared" si="354"/>
        <v>1153135</v>
      </c>
      <c r="E530" s="1274">
        <v>0</v>
      </c>
      <c r="F530" s="1234">
        <v>0</v>
      </c>
      <c r="G530" s="1234">
        <v>0</v>
      </c>
      <c r="H530" s="1234">
        <v>699364.1</v>
      </c>
      <c r="I530" s="1234">
        <v>0</v>
      </c>
      <c r="J530" s="1234">
        <v>453770.9</v>
      </c>
      <c r="K530" s="1234">
        <v>0</v>
      </c>
      <c r="L530" s="1275">
        <v>0</v>
      </c>
      <c r="M530" s="1234">
        <v>0</v>
      </c>
      <c r="N530" s="1285">
        <v>0</v>
      </c>
      <c r="O530" s="1109">
        <v>0</v>
      </c>
      <c r="P530" s="1234">
        <v>0</v>
      </c>
      <c r="Q530" s="1234">
        <v>0</v>
      </c>
      <c r="R530" s="1286">
        <v>0</v>
      </c>
      <c r="S530" s="1234">
        <v>0</v>
      </c>
      <c r="T530" s="1286">
        <v>0</v>
      </c>
      <c r="U530" s="1234">
        <v>0</v>
      </c>
      <c r="V530" s="1274">
        <v>0</v>
      </c>
      <c r="W530" s="1234">
        <v>0</v>
      </c>
      <c r="X530" s="1234">
        <v>0</v>
      </c>
      <c r="Y530" s="1234">
        <v>0</v>
      </c>
      <c r="Z530" s="1234">
        <v>90318</v>
      </c>
      <c r="AA530" s="1287">
        <v>0</v>
      </c>
    </row>
    <row r="531" spans="1:27" s="1064" customFormat="1" ht="102.75" customHeight="1">
      <c r="A531" s="1322">
        <v>53</v>
      </c>
      <c r="B531" s="1233" t="s">
        <v>1863</v>
      </c>
      <c r="C531" s="1056">
        <f t="shared" si="355"/>
        <v>1685452.2399999998</v>
      </c>
      <c r="D531" s="1056">
        <f t="shared" si="354"/>
        <v>1623138.5299999998</v>
      </c>
      <c r="E531" s="1274">
        <v>0</v>
      </c>
      <c r="F531" s="1234">
        <v>974002.59</v>
      </c>
      <c r="G531" s="1234">
        <v>0</v>
      </c>
      <c r="H531" s="1234">
        <v>210493.35</v>
      </c>
      <c r="I531" s="1234">
        <v>305538.83999999997</v>
      </c>
      <c r="J531" s="1234">
        <v>133103.75</v>
      </c>
      <c r="K531" s="1234">
        <v>0</v>
      </c>
      <c r="L531" s="1275">
        <v>0</v>
      </c>
      <c r="M531" s="1234">
        <v>0</v>
      </c>
      <c r="N531" s="1285">
        <v>0</v>
      </c>
      <c r="O531" s="1109">
        <v>0</v>
      </c>
      <c r="P531" s="1234">
        <v>0</v>
      </c>
      <c r="Q531" s="1234">
        <v>0</v>
      </c>
      <c r="R531" s="1286">
        <v>0</v>
      </c>
      <c r="S531" s="1234">
        <v>0</v>
      </c>
      <c r="T531" s="1286">
        <v>0</v>
      </c>
      <c r="U531" s="1234">
        <v>0</v>
      </c>
      <c r="V531" s="1274">
        <v>0</v>
      </c>
      <c r="W531" s="1234">
        <v>0</v>
      </c>
      <c r="X531" s="1234">
        <v>0</v>
      </c>
      <c r="Y531" s="1234">
        <v>0</v>
      </c>
      <c r="Z531" s="1234">
        <v>62313.71</v>
      </c>
      <c r="AA531" s="1287">
        <v>0</v>
      </c>
    </row>
    <row r="532" spans="1:27" s="1064" customFormat="1" ht="102.75" customHeight="1">
      <c r="A532" s="1322">
        <v>54</v>
      </c>
      <c r="B532" s="1233" t="s">
        <v>1864</v>
      </c>
      <c r="C532" s="1056">
        <f t="shared" si="355"/>
        <v>2676796.31</v>
      </c>
      <c r="D532" s="1056">
        <f t="shared" si="354"/>
        <v>221112.61</v>
      </c>
      <c r="E532" s="1274">
        <v>0</v>
      </c>
      <c r="F532" s="1234">
        <v>0</v>
      </c>
      <c r="G532" s="1234">
        <v>0</v>
      </c>
      <c r="H532" s="1234">
        <v>0</v>
      </c>
      <c r="I532" s="1234">
        <v>0</v>
      </c>
      <c r="J532" s="1234">
        <v>221112.61</v>
      </c>
      <c r="K532" s="1234">
        <v>0</v>
      </c>
      <c r="L532" s="1275">
        <v>0</v>
      </c>
      <c r="M532" s="1234">
        <v>0</v>
      </c>
      <c r="N532" s="1285">
        <v>0</v>
      </c>
      <c r="O532" s="1109">
        <v>0</v>
      </c>
      <c r="P532" s="1234">
        <v>0</v>
      </c>
      <c r="Q532" s="1234">
        <v>0</v>
      </c>
      <c r="R532" s="1286">
        <v>0</v>
      </c>
      <c r="S532" s="1234">
        <v>992.95</v>
      </c>
      <c r="T532" s="1286">
        <v>1404045.7</v>
      </c>
      <c r="U532" s="1234">
        <v>0</v>
      </c>
      <c r="V532" s="1274">
        <v>0</v>
      </c>
      <c r="W532" s="1234">
        <v>0</v>
      </c>
      <c r="X532" s="1234">
        <v>0</v>
      </c>
      <c r="Y532" s="1234">
        <v>0</v>
      </c>
      <c r="Z532" s="1234">
        <v>1051638</v>
      </c>
      <c r="AA532" s="1287">
        <v>0</v>
      </c>
    </row>
    <row r="533" spans="1:27" s="1064" customFormat="1" ht="102.75" customHeight="1">
      <c r="A533" s="1322">
        <v>55</v>
      </c>
      <c r="B533" s="1233" t="s">
        <v>1865</v>
      </c>
      <c r="C533" s="1056">
        <f t="shared" si="355"/>
        <v>899225</v>
      </c>
      <c r="D533" s="1056">
        <f t="shared" ref="D533:D567" si="356">SUM(E533:J533)</f>
        <v>833909.95</v>
      </c>
      <c r="E533" s="1274">
        <v>0</v>
      </c>
      <c r="F533" s="1234">
        <v>0</v>
      </c>
      <c r="G533" s="1234">
        <v>0</v>
      </c>
      <c r="H533" s="1234">
        <v>0</v>
      </c>
      <c r="I533" s="1234">
        <v>0</v>
      </c>
      <c r="J533" s="1234">
        <v>833909.95</v>
      </c>
      <c r="K533" s="1234">
        <v>0</v>
      </c>
      <c r="L533" s="1275">
        <v>0</v>
      </c>
      <c r="M533" s="1234">
        <v>0</v>
      </c>
      <c r="N533" s="1285">
        <v>0</v>
      </c>
      <c r="O533" s="1109">
        <v>0</v>
      </c>
      <c r="P533" s="1234">
        <v>0</v>
      </c>
      <c r="Q533" s="1234">
        <v>0</v>
      </c>
      <c r="R533" s="1286">
        <v>0</v>
      </c>
      <c r="S533" s="1234">
        <v>0</v>
      </c>
      <c r="T533" s="1286">
        <v>0</v>
      </c>
      <c r="U533" s="1234">
        <v>0</v>
      </c>
      <c r="V533" s="1274">
        <v>0</v>
      </c>
      <c r="W533" s="1234">
        <v>0</v>
      </c>
      <c r="X533" s="1234">
        <v>0</v>
      </c>
      <c r="Y533" s="1234">
        <v>0</v>
      </c>
      <c r="Z533" s="1234">
        <v>65315.05</v>
      </c>
      <c r="AA533" s="1287">
        <v>0</v>
      </c>
    </row>
    <row r="534" spans="1:27" s="1064" customFormat="1" ht="102.75" customHeight="1">
      <c r="A534" s="1322">
        <v>56</v>
      </c>
      <c r="B534" s="1233" t="s">
        <v>1866</v>
      </c>
      <c r="C534" s="1056">
        <f t="shared" si="355"/>
        <v>8338382</v>
      </c>
      <c r="D534" s="1056">
        <f t="shared" si="356"/>
        <v>7732725</v>
      </c>
      <c r="E534" s="1274">
        <v>0</v>
      </c>
      <c r="F534" s="1234">
        <v>7732725</v>
      </c>
      <c r="G534" s="1234">
        <v>0</v>
      </c>
      <c r="H534" s="1234">
        <v>0</v>
      </c>
      <c r="I534" s="1234">
        <v>0</v>
      </c>
      <c r="J534" s="1234">
        <v>0</v>
      </c>
      <c r="K534" s="1234">
        <v>0</v>
      </c>
      <c r="L534" s="1275">
        <v>0</v>
      </c>
      <c r="M534" s="1234">
        <v>0</v>
      </c>
      <c r="N534" s="1285">
        <v>0</v>
      </c>
      <c r="O534" s="1109">
        <v>0</v>
      </c>
      <c r="P534" s="1234">
        <v>0</v>
      </c>
      <c r="Q534" s="1234">
        <v>0</v>
      </c>
      <c r="R534" s="1286">
        <v>0</v>
      </c>
      <c r="S534" s="1234">
        <v>0</v>
      </c>
      <c r="T534" s="1286">
        <v>0</v>
      </c>
      <c r="U534" s="1234">
        <v>0</v>
      </c>
      <c r="V534" s="1274">
        <v>0</v>
      </c>
      <c r="W534" s="1234">
        <v>0</v>
      </c>
      <c r="X534" s="1234">
        <v>0</v>
      </c>
      <c r="Y534" s="1234">
        <v>0</v>
      </c>
      <c r="Z534" s="1234">
        <v>605657</v>
      </c>
      <c r="AA534" s="1287">
        <v>0</v>
      </c>
    </row>
    <row r="535" spans="1:27" s="1064" customFormat="1" ht="102.75" customHeight="1">
      <c r="A535" s="1322">
        <v>57</v>
      </c>
      <c r="B535" s="1233" t="s">
        <v>1867</v>
      </c>
      <c r="C535" s="1056">
        <f t="shared" si="355"/>
        <v>1750958</v>
      </c>
      <c r="D535" s="1056">
        <f t="shared" si="356"/>
        <v>0</v>
      </c>
      <c r="E535" s="1274">
        <v>0</v>
      </c>
      <c r="F535" s="1234">
        <v>0</v>
      </c>
      <c r="G535" s="1234">
        <v>0</v>
      </c>
      <c r="H535" s="1234">
        <v>0</v>
      </c>
      <c r="I535" s="1234">
        <v>0</v>
      </c>
      <c r="J535" s="1234">
        <v>0</v>
      </c>
      <c r="K535" s="1234">
        <v>0</v>
      </c>
      <c r="L535" s="1275">
        <v>0</v>
      </c>
      <c r="M535" s="1234">
        <v>0</v>
      </c>
      <c r="N535" s="1285">
        <v>0</v>
      </c>
      <c r="O535" s="1109">
        <v>0</v>
      </c>
      <c r="P535" s="1234">
        <v>0</v>
      </c>
      <c r="Q535" s="1234">
        <v>0</v>
      </c>
      <c r="R535" s="1286">
        <v>0</v>
      </c>
      <c r="S535" s="1234">
        <v>1142.5999999999999</v>
      </c>
      <c r="T535" s="1286">
        <v>1623777.47</v>
      </c>
      <c r="U535" s="1234">
        <v>0</v>
      </c>
      <c r="V535" s="1274">
        <v>0</v>
      </c>
      <c r="W535" s="1234">
        <v>0</v>
      </c>
      <c r="X535" s="1234">
        <v>0</v>
      </c>
      <c r="Y535" s="1234">
        <v>0</v>
      </c>
      <c r="Z535" s="1234">
        <v>127180.53</v>
      </c>
      <c r="AA535" s="1287">
        <v>0</v>
      </c>
    </row>
    <row r="536" spans="1:27" s="1064" customFormat="1" ht="102.75" customHeight="1">
      <c r="A536" s="1322">
        <v>58</v>
      </c>
      <c r="B536" s="1233" t="s">
        <v>1868</v>
      </c>
      <c r="C536" s="1056">
        <f t="shared" si="355"/>
        <v>982113</v>
      </c>
      <c r="D536" s="1056">
        <f t="shared" si="356"/>
        <v>0</v>
      </c>
      <c r="E536" s="1274">
        <v>0</v>
      </c>
      <c r="F536" s="1234">
        <v>0</v>
      </c>
      <c r="G536" s="1234">
        <v>0</v>
      </c>
      <c r="H536" s="1234">
        <v>0</v>
      </c>
      <c r="I536" s="1234">
        <v>0</v>
      </c>
      <c r="J536" s="1234">
        <v>0</v>
      </c>
      <c r="K536" s="1234">
        <v>0</v>
      </c>
      <c r="L536" s="1275">
        <v>0</v>
      </c>
      <c r="M536" s="1234">
        <v>0</v>
      </c>
      <c r="N536" s="1285">
        <v>0</v>
      </c>
      <c r="O536" s="1109">
        <v>0</v>
      </c>
      <c r="P536" s="1234">
        <v>0</v>
      </c>
      <c r="Q536" s="1234">
        <v>0</v>
      </c>
      <c r="R536" s="1286">
        <v>0</v>
      </c>
      <c r="S536" s="1234">
        <v>642.29999999999995</v>
      </c>
      <c r="T536" s="1286">
        <v>910777.39</v>
      </c>
      <c r="U536" s="1234">
        <v>0</v>
      </c>
      <c r="V536" s="1274">
        <v>0</v>
      </c>
      <c r="W536" s="1234">
        <v>0</v>
      </c>
      <c r="X536" s="1234">
        <v>0</v>
      </c>
      <c r="Y536" s="1234">
        <v>0</v>
      </c>
      <c r="Z536" s="1234">
        <v>71335.61</v>
      </c>
      <c r="AA536" s="1287">
        <v>0</v>
      </c>
    </row>
    <row r="537" spans="1:27" s="1064" customFormat="1" ht="102.75" customHeight="1">
      <c r="A537" s="1322">
        <v>59</v>
      </c>
      <c r="B537" s="1233" t="s">
        <v>1810</v>
      </c>
      <c r="C537" s="1056">
        <f t="shared" si="355"/>
        <v>14351824.439999999</v>
      </c>
      <c r="D537" s="1056">
        <f t="shared" si="356"/>
        <v>0</v>
      </c>
      <c r="E537" s="1274">
        <v>0</v>
      </c>
      <c r="F537" s="1234">
        <v>0</v>
      </c>
      <c r="G537" s="1234">
        <v>0</v>
      </c>
      <c r="H537" s="1234">
        <v>0</v>
      </c>
      <c r="I537" s="1234">
        <v>0</v>
      </c>
      <c r="J537" s="1234">
        <v>0</v>
      </c>
      <c r="K537" s="1234">
        <v>0</v>
      </c>
      <c r="L537" s="1275">
        <v>0</v>
      </c>
      <c r="M537" s="1234">
        <v>0</v>
      </c>
      <c r="N537" s="1285">
        <v>0</v>
      </c>
      <c r="O537" s="1109">
        <v>0</v>
      </c>
      <c r="P537" s="1234">
        <v>0</v>
      </c>
      <c r="Q537" s="1234">
        <v>0</v>
      </c>
      <c r="R537" s="1286">
        <v>0</v>
      </c>
      <c r="S537" s="1234">
        <v>0</v>
      </c>
      <c r="T537" s="1286">
        <v>0</v>
      </c>
      <c r="U537" s="1234">
        <v>2560</v>
      </c>
      <c r="V537" s="1286">
        <v>14145981.439999999</v>
      </c>
      <c r="W537" s="1234">
        <v>0</v>
      </c>
      <c r="X537" s="1234">
        <v>0</v>
      </c>
      <c r="Y537" s="1234">
        <v>0</v>
      </c>
      <c r="Z537" s="1234">
        <v>205843</v>
      </c>
      <c r="AA537" s="1287">
        <v>0</v>
      </c>
    </row>
    <row r="538" spans="1:27" s="1064" customFormat="1" ht="102.75" customHeight="1">
      <c r="A538" s="1322">
        <v>60</v>
      </c>
      <c r="B538" s="1233" t="s">
        <v>1869</v>
      </c>
      <c r="C538" s="1056">
        <f t="shared" si="355"/>
        <v>3679400</v>
      </c>
      <c r="D538" s="1056">
        <f t="shared" si="356"/>
        <v>3412147.41</v>
      </c>
      <c r="E538" s="1274">
        <v>0</v>
      </c>
      <c r="F538" s="1234">
        <v>0</v>
      </c>
      <c r="G538" s="1234">
        <v>0</v>
      </c>
      <c r="H538" s="1234">
        <v>3412147.41</v>
      </c>
      <c r="I538" s="1234">
        <v>0</v>
      </c>
      <c r="J538" s="1234">
        <v>0</v>
      </c>
      <c r="K538" s="1234">
        <v>0</v>
      </c>
      <c r="L538" s="1275">
        <v>0</v>
      </c>
      <c r="M538" s="1234">
        <v>0</v>
      </c>
      <c r="N538" s="1285">
        <v>0</v>
      </c>
      <c r="O538" s="1109">
        <v>0</v>
      </c>
      <c r="P538" s="1234">
        <v>0</v>
      </c>
      <c r="Q538" s="1234">
        <v>0</v>
      </c>
      <c r="R538" s="1286">
        <v>0</v>
      </c>
      <c r="S538" s="1234">
        <v>0</v>
      </c>
      <c r="T538" s="1286">
        <v>0</v>
      </c>
      <c r="U538" s="1234">
        <v>0</v>
      </c>
      <c r="V538" s="1274">
        <v>0</v>
      </c>
      <c r="W538" s="1234">
        <v>0</v>
      </c>
      <c r="X538" s="1234">
        <v>0</v>
      </c>
      <c r="Y538" s="1234">
        <v>0</v>
      </c>
      <c r="Z538" s="1234">
        <v>267252.59000000003</v>
      </c>
      <c r="AA538" s="1287">
        <v>0</v>
      </c>
    </row>
    <row r="539" spans="1:27" s="1064" customFormat="1" ht="102.75" customHeight="1">
      <c r="A539" s="1322">
        <v>61</v>
      </c>
      <c r="B539" s="1233" t="s">
        <v>1831</v>
      </c>
      <c r="C539" s="1056">
        <f t="shared" si="355"/>
        <v>1960392</v>
      </c>
      <c r="D539" s="1056">
        <f t="shared" si="356"/>
        <v>1817999.26</v>
      </c>
      <c r="E539" s="1274">
        <v>0</v>
      </c>
      <c r="F539" s="1234">
        <v>0</v>
      </c>
      <c r="G539" s="1234">
        <v>0</v>
      </c>
      <c r="H539" s="1234">
        <v>1817999.26</v>
      </c>
      <c r="I539" s="1234">
        <v>0</v>
      </c>
      <c r="J539" s="1234">
        <v>0</v>
      </c>
      <c r="K539" s="1234">
        <v>0</v>
      </c>
      <c r="L539" s="1275">
        <v>0</v>
      </c>
      <c r="M539" s="1234">
        <v>0</v>
      </c>
      <c r="N539" s="1285">
        <v>0</v>
      </c>
      <c r="O539" s="1109">
        <v>0</v>
      </c>
      <c r="P539" s="1234">
        <v>0</v>
      </c>
      <c r="Q539" s="1234">
        <v>0</v>
      </c>
      <c r="R539" s="1286">
        <v>0</v>
      </c>
      <c r="S539" s="1234">
        <v>0</v>
      </c>
      <c r="T539" s="1286">
        <v>0</v>
      </c>
      <c r="U539" s="1234">
        <v>0</v>
      </c>
      <c r="V539" s="1274">
        <v>0</v>
      </c>
      <c r="W539" s="1234">
        <v>0</v>
      </c>
      <c r="X539" s="1234">
        <v>0</v>
      </c>
      <c r="Y539" s="1234">
        <v>0</v>
      </c>
      <c r="Z539" s="1234">
        <v>142392.74</v>
      </c>
      <c r="AA539" s="1287">
        <v>0</v>
      </c>
    </row>
    <row r="540" spans="1:27" s="1064" customFormat="1" ht="102.75" customHeight="1">
      <c r="A540" s="1322">
        <v>62</v>
      </c>
      <c r="B540" s="1233" t="s">
        <v>1870</v>
      </c>
      <c r="C540" s="1056">
        <f t="shared" si="355"/>
        <v>5336490</v>
      </c>
      <c r="D540" s="1056">
        <f t="shared" si="356"/>
        <v>0</v>
      </c>
      <c r="E540" s="1274">
        <v>0</v>
      </c>
      <c r="F540" s="1234">
        <v>0</v>
      </c>
      <c r="G540" s="1234">
        <v>0</v>
      </c>
      <c r="H540" s="1234">
        <v>0</v>
      </c>
      <c r="I540" s="1234">
        <v>0</v>
      </c>
      <c r="J540" s="1234">
        <v>0</v>
      </c>
      <c r="K540" s="1234">
        <v>0</v>
      </c>
      <c r="L540" s="1275">
        <v>0</v>
      </c>
      <c r="M540" s="1234">
        <v>0</v>
      </c>
      <c r="N540" s="1285">
        <v>0</v>
      </c>
      <c r="O540" s="1109">
        <v>1964</v>
      </c>
      <c r="P540" s="1234">
        <v>4948875</v>
      </c>
      <c r="Q540" s="1234">
        <v>0</v>
      </c>
      <c r="R540" s="1286">
        <v>0</v>
      </c>
      <c r="S540" s="1234">
        <v>0</v>
      </c>
      <c r="T540" s="1286">
        <v>0</v>
      </c>
      <c r="U540" s="1234">
        <v>0</v>
      </c>
      <c r="V540" s="1274">
        <v>0</v>
      </c>
      <c r="W540" s="1234">
        <v>0</v>
      </c>
      <c r="X540" s="1234">
        <v>0</v>
      </c>
      <c r="Y540" s="1234">
        <v>0</v>
      </c>
      <c r="Z540" s="1234">
        <v>387615</v>
      </c>
      <c r="AA540" s="1287">
        <v>0</v>
      </c>
    </row>
    <row r="541" spans="1:27" s="1064" customFormat="1" ht="102.75" customHeight="1">
      <c r="A541" s="1322">
        <v>63</v>
      </c>
      <c r="B541" s="1233" t="s">
        <v>1871</v>
      </c>
      <c r="C541" s="1056">
        <f t="shared" si="355"/>
        <v>8790475.0800000001</v>
      </c>
      <c r="D541" s="1056">
        <f t="shared" si="356"/>
        <v>0</v>
      </c>
      <c r="E541" s="1274">
        <v>0</v>
      </c>
      <c r="F541" s="1234">
        <v>0</v>
      </c>
      <c r="G541" s="1234">
        <v>0</v>
      </c>
      <c r="H541" s="1234">
        <v>0</v>
      </c>
      <c r="I541" s="1234">
        <v>0</v>
      </c>
      <c r="J541" s="1234">
        <v>0</v>
      </c>
      <c r="K541" s="1234">
        <v>0</v>
      </c>
      <c r="L541" s="1275">
        <v>0</v>
      </c>
      <c r="M541" s="1234">
        <v>0</v>
      </c>
      <c r="N541" s="1285">
        <v>0</v>
      </c>
      <c r="O541" s="1109">
        <v>2738</v>
      </c>
      <c r="P541" s="1234">
        <v>8593930.9000000004</v>
      </c>
      <c r="Q541" s="1234">
        <v>0</v>
      </c>
      <c r="R541" s="1286">
        <v>0</v>
      </c>
      <c r="S541" s="1234">
        <v>0</v>
      </c>
      <c r="T541" s="1286">
        <v>0</v>
      </c>
      <c r="U541" s="1234">
        <v>0</v>
      </c>
      <c r="V541" s="1274">
        <v>0</v>
      </c>
      <c r="W541" s="1234">
        <v>0</v>
      </c>
      <c r="X541" s="1234">
        <v>0</v>
      </c>
      <c r="Y541" s="1234">
        <v>0</v>
      </c>
      <c r="Z541" s="1234">
        <v>196544.18</v>
      </c>
      <c r="AA541" s="1287">
        <v>0</v>
      </c>
    </row>
    <row r="542" spans="1:27" s="1064" customFormat="1" ht="102.75" customHeight="1">
      <c r="A542" s="1322">
        <v>64</v>
      </c>
      <c r="B542" s="1233" t="s">
        <v>1872</v>
      </c>
      <c r="C542" s="1056">
        <f t="shared" si="355"/>
        <v>36550059.109999999</v>
      </c>
      <c r="D542" s="1056">
        <f t="shared" si="356"/>
        <v>20722305.82</v>
      </c>
      <c r="E542" s="1274">
        <v>3009729.37</v>
      </c>
      <c r="F542" s="1234">
        <v>6098726.9900000002</v>
      </c>
      <c r="G542" s="1234">
        <v>2442178.16</v>
      </c>
      <c r="H542" s="1234">
        <v>3476437</v>
      </c>
      <c r="I542" s="1234">
        <v>3476437</v>
      </c>
      <c r="J542" s="1234">
        <v>2218797.2999999998</v>
      </c>
      <c r="K542" s="1234">
        <v>0</v>
      </c>
      <c r="L542" s="1275">
        <v>0</v>
      </c>
      <c r="M542" s="1234">
        <v>0</v>
      </c>
      <c r="N542" s="1285">
        <v>0</v>
      </c>
      <c r="O542" s="1109">
        <v>2800</v>
      </c>
      <c r="P542" s="1234">
        <v>13809308.369999999</v>
      </c>
      <c r="Q542" s="1234">
        <v>0</v>
      </c>
      <c r="R542" s="1286">
        <v>0</v>
      </c>
      <c r="S542" s="1234">
        <v>0</v>
      </c>
      <c r="T542" s="1286">
        <v>0</v>
      </c>
      <c r="U542" s="1234">
        <v>0</v>
      </c>
      <c r="V542" s="1274">
        <v>0</v>
      </c>
      <c r="W542" s="1234">
        <v>0</v>
      </c>
      <c r="X542" s="1234">
        <v>0</v>
      </c>
      <c r="Y542" s="1234">
        <v>0</v>
      </c>
      <c r="Z542" s="1234">
        <v>2018444.92</v>
      </c>
      <c r="AA542" s="1287">
        <v>0</v>
      </c>
    </row>
    <row r="543" spans="1:27" s="1064" customFormat="1" ht="102.75" customHeight="1">
      <c r="A543" s="1322">
        <v>65</v>
      </c>
      <c r="B543" s="1233" t="s">
        <v>1873</v>
      </c>
      <c r="C543" s="1056">
        <f t="shared" si="355"/>
        <v>1187834</v>
      </c>
      <c r="D543" s="1056">
        <f t="shared" si="356"/>
        <v>1101555.8899999999</v>
      </c>
      <c r="E543" s="1274">
        <v>0</v>
      </c>
      <c r="F543" s="1234">
        <v>0</v>
      </c>
      <c r="G543" s="1234">
        <v>0</v>
      </c>
      <c r="H543" s="1234">
        <v>0</v>
      </c>
      <c r="I543" s="1234">
        <v>0</v>
      </c>
      <c r="J543" s="1234">
        <v>1101555.8899999999</v>
      </c>
      <c r="K543" s="1234">
        <v>0</v>
      </c>
      <c r="L543" s="1275">
        <v>0</v>
      </c>
      <c r="M543" s="1234">
        <v>0</v>
      </c>
      <c r="N543" s="1285">
        <v>0</v>
      </c>
      <c r="O543" s="1109">
        <v>0</v>
      </c>
      <c r="P543" s="1234">
        <v>0</v>
      </c>
      <c r="Q543" s="1234">
        <v>0</v>
      </c>
      <c r="R543" s="1286">
        <v>0</v>
      </c>
      <c r="S543" s="1234">
        <v>0</v>
      </c>
      <c r="T543" s="1286">
        <v>0</v>
      </c>
      <c r="U543" s="1234">
        <v>0</v>
      </c>
      <c r="V543" s="1274">
        <v>0</v>
      </c>
      <c r="W543" s="1234">
        <v>0</v>
      </c>
      <c r="X543" s="1234">
        <v>0</v>
      </c>
      <c r="Y543" s="1234">
        <v>0</v>
      </c>
      <c r="Z543" s="1234">
        <v>86278.11</v>
      </c>
      <c r="AA543" s="1287">
        <v>0</v>
      </c>
    </row>
    <row r="544" spans="1:27" s="1064" customFormat="1" ht="102.75" customHeight="1">
      <c r="A544" s="1322">
        <v>66</v>
      </c>
      <c r="B544" s="1233" t="s">
        <v>1874</v>
      </c>
      <c r="C544" s="1056">
        <f t="shared" ref="C544:C607" si="357">D544+L544+N544+P544+R544+T544+V544+X544+Z544</f>
        <v>1721427</v>
      </c>
      <c r="D544" s="1056">
        <f t="shared" si="356"/>
        <v>1596391</v>
      </c>
      <c r="E544" s="1274">
        <v>0</v>
      </c>
      <c r="F544" s="1234">
        <v>1596391</v>
      </c>
      <c r="G544" s="1234">
        <v>0</v>
      </c>
      <c r="H544" s="1234">
        <v>0</v>
      </c>
      <c r="I544" s="1234">
        <v>0</v>
      </c>
      <c r="J544" s="1234">
        <v>0</v>
      </c>
      <c r="K544" s="1234">
        <v>0</v>
      </c>
      <c r="L544" s="1275">
        <v>0</v>
      </c>
      <c r="M544" s="1234">
        <v>0</v>
      </c>
      <c r="N544" s="1285">
        <v>0</v>
      </c>
      <c r="O544" s="1109">
        <v>0</v>
      </c>
      <c r="P544" s="1234">
        <v>0</v>
      </c>
      <c r="Q544" s="1234">
        <v>0</v>
      </c>
      <c r="R544" s="1286">
        <v>0</v>
      </c>
      <c r="S544" s="1234">
        <v>0</v>
      </c>
      <c r="T544" s="1286">
        <v>0</v>
      </c>
      <c r="U544" s="1234">
        <v>0</v>
      </c>
      <c r="V544" s="1274">
        <v>0</v>
      </c>
      <c r="W544" s="1234">
        <v>0</v>
      </c>
      <c r="X544" s="1234">
        <v>0</v>
      </c>
      <c r="Y544" s="1234">
        <v>0</v>
      </c>
      <c r="Z544" s="1234">
        <v>125036</v>
      </c>
      <c r="AA544" s="1287">
        <v>0</v>
      </c>
    </row>
    <row r="545" spans="1:27" s="1065" customFormat="1" ht="102.75" customHeight="1">
      <c r="A545" s="1322">
        <v>67</v>
      </c>
      <c r="B545" s="1233" t="s">
        <v>1875</v>
      </c>
      <c r="C545" s="1056">
        <f t="shared" si="357"/>
        <v>3470236</v>
      </c>
      <c r="D545" s="1056">
        <f t="shared" si="356"/>
        <v>3218176.01</v>
      </c>
      <c r="E545" s="1274">
        <v>0</v>
      </c>
      <c r="F545" s="1234">
        <v>0</v>
      </c>
      <c r="G545" s="1234">
        <v>0</v>
      </c>
      <c r="H545" s="1234">
        <v>1959959.4</v>
      </c>
      <c r="I545" s="1234">
        <v>0</v>
      </c>
      <c r="J545" s="1234">
        <v>1258216.6100000001</v>
      </c>
      <c r="K545" s="1234">
        <v>0</v>
      </c>
      <c r="L545" s="1275">
        <v>0</v>
      </c>
      <c r="M545" s="1234">
        <v>0</v>
      </c>
      <c r="N545" s="1285">
        <v>0</v>
      </c>
      <c r="O545" s="1109">
        <v>0</v>
      </c>
      <c r="P545" s="1234">
        <v>0</v>
      </c>
      <c r="Q545" s="1234">
        <v>0</v>
      </c>
      <c r="R545" s="1286">
        <v>0</v>
      </c>
      <c r="S545" s="1234">
        <v>0</v>
      </c>
      <c r="T545" s="1286">
        <v>0</v>
      </c>
      <c r="U545" s="1234">
        <v>0</v>
      </c>
      <c r="V545" s="1274">
        <v>0</v>
      </c>
      <c r="W545" s="1234">
        <v>0</v>
      </c>
      <c r="X545" s="1234">
        <v>0</v>
      </c>
      <c r="Y545" s="1234">
        <v>0</v>
      </c>
      <c r="Z545" s="1234">
        <v>252059.99</v>
      </c>
      <c r="AA545" s="1287">
        <v>0</v>
      </c>
    </row>
    <row r="546" spans="1:27" s="1065" customFormat="1" ht="102.75" customHeight="1">
      <c r="A546" s="1322">
        <v>68</v>
      </c>
      <c r="B546" s="1233" t="s">
        <v>1876</v>
      </c>
      <c r="C546" s="1056">
        <f t="shared" si="357"/>
        <v>3275213</v>
      </c>
      <c r="D546" s="1056">
        <f t="shared" si="356"/>
        <v>3037298.45</v>
      </c>
      <c r="E546" s="1274">
        <v>0</v>
      </c>
      <c r="F546" s="1234">
        <v>0</v>
      </c>
      <c r="G546" s="1234">
        <v>0</v>
      </c>
      <c r="H546" s="1234">
        <v>1849306.57</v>
      </c>
      <c r="I546" s="1234">
        <v>0</v>
      </c>
      <c r="J546" s="1234">
        <v>1187991.8799999999</v>
      </c>
      <c r="K546" s="1234">
        <v>0</v>
      </c>
      <c r="L546" s="1275">
        <v>0</v>
      </c>
      <c r="M546" s="1234">
        <v>0</v>
      </c>
      <c r="N546" s="1285">
        <v>0</v>
      </c>
      <c r="O546" s="1109">
        <v>0</v>
      </c>
      <c r="P546" s="1234">
        <v>0</v>
      </c>
      <c r="Q546" s="1234">
        <v>0</v>
      </c>
      <c r="R546" s="1286">
        <v>0</v>
      </c>
      <c r="S546" s="1234">
        <v>0</v>
      </c>
      <c r="T546" s="1286">
        <v>0</v>
      </c>
      <c r="U546" s="1234">
        <v>0</v>
      </c>
      <c r="V546" s="1274">
        <v>0</v>
      </c>
      <c r="W546" s="1234">
        <v>0</v>
      </c>
      <c r="X546" s="1234">
        <v>0</v>
      </c>
      <c r="Y546" s="1234">
        <v>0</v>
      </c>
      <c r="Z546" s="1234">
        <v>237914.55</v>
      </c>
      <c r="AA546" s="1287">
        <v>0</v>
      </c>
    </row>
    <row r="547" spans="1:27" s="1065" customFormat="1" ht="102.75" customHeight="1">
      <c r="A547" s="1322">
        <v>69</v>
      </c>
      <c r="B547" s="1233" t="s">
        <v>1877</v>
      </c>
      <c r="C547" s="1056">
        <f t="shared" si="357"/>
        <v>1502478</v>
      </c>
      <c r="D547" s="1056">
        <f t="shared" si="356"/>
        <v>1393345.77</v>
      </c>
      <c r="E547" s="1274">
        <v>1393345.77</v>
      </c>
      <c r="F547" s="1234">
        <v>0</v>
      </c>
      <c r="G547" s="1234">
        <v>0</v>
      </c>
      <c r="H547" s="1234">
        <v>0</v>
      </c>
      <c r="I547" s="1234">
        <v>0</v>
      </c>
      <c r="J547" s="1234">
        <v>0</v>
      </c>
      <c r="K547" s="1234">
        <v>0</v>
      </c>
      <c r="L547" s="1275">
        <v>0</v>
      </c>
      <c r="M547" s="1234">
        <v>0</v>
      </c>
      <c r="N547" s="1285">
        <v>0</v>
      </c>
      <c r="O547" s="1109">
        <v>0</v>
      </c>
      <c r="P547" s="1234">
        <v>0</v>
      </c>
      <c r="Q547" s="1234">
        <v>0</v>
      </c>
      <c r="R547" s="1286">
        <v>0</v>
      </c>
      <c r="S547" s="1234">
        <v>0</v>
      </c>
      <c r="T547" s="1286">
        <v>0</v>
      </c>
      <c r="U547" s="1234">
        <v>0</v>
      </c>
      <c r="V547" s="1274">
        <v>0</v>
      </c>
      <c r="W547" s="1234">
        <v>0</v>
      </c>
      <c r="X547" s="1234">
        <v>0</v>
      </c>
      <c r="Y547" s="1234">
        <v>0</v>
      </c>
      <c r="Z547" s="1234">
        <v>109132.23</v>
      </c>
      <c r="AA547" s="1287">
        <v>0</v>
      </c>
    </row>
    <row r="548" spans="1:27" s="1065" customFormat="1" ht="102.75" customHeight="1">
      <c r="A548" s="1322">
        <v>70</v>
      </c>
      <c r="B548" s="1233" t="s">
        <v>1878</v>
      </c>
      <c r="C548" s="1056">
        <f t="shared" si="357"/>
        <v>5603275.5800000001</v>
      </c>
      <c r="D548" s="1056">
        <f t="shared" si="356"/>
        <v>0</v>
      </c>
      <c r="E548" s="1274">
        <v>0</v>
      </c>
      <c r="F548" s="1234">
        <v>0</v>
      </c>
      <c r="G548" s="1234">
        <v>0</v>
      </c>
      <c r="H548" s="1234">
        <v>0</v>
      </c>
      <c r="I548" s="1234">
        <v>0</v>
      </c>
      <c r="J548" s="1234">
        <v>0</v>
      </c>
      <c r="K548" s="1234">
        <v>0</v>
      </c>
      <c r="L548" s="1275">
        <v>0</v>
      </c>
      <c r="M548" s="1234">
        <v>0</v>
      </c>
      <c r="N548" s="1285">
        <v>0</v>
      </c>
      <c r="O548" s="1109">
        <v>0</v>
      </c>
      <c r="P548" s="1234">
        <v>0</v>
      </c>
      <c r="Q548" s="1234">
        <v>0</v>
      </c>
      <c r="R548" s="1286">
        <v>0</v>
      </c>
      <c r="S548" s="1234">
        <v>1772</v>
      </c>
      <c r="T548" s="1286">
        <v>5196282.62</v>
      </c>
      <c r="U548" s="1234">
        <v>0</v>
      </c>
      <c r="V548" s="1274">
        <v>0</v>
      </c>
      <c r="W548" s="1234">
        <v>0</v>
      </c>
      <c r="X548" s="1234">
        <v>0</v>
      </c>
      <c r="Y548" s="1234">
        <v>0</v>
      </c>
      <c r="Z548" s="1234">
        <v>406992.96</v>
      </c>
      <c r="AA548" s="1287">
        <v>0</v>
      </c>
    </row>
    <row r="549" spans="1:27" s="1065" customFormat="1" ht="102.75" customHeight="1">
      <c r="A549" s="1322">
        <v>71</v>
      </c>
      <c r="B549" s="1233" t="s">
        <v>1801</v>
      </c>
      <c r="C549" s="1056">
        <f t="shared" si="357"/>
        <v>780672</v>
      </c>
      <c r="D549" s="1056">
        <f t="shared" si="356"/>
        <v>0</v>
      </c>
      <c r="E549" s="1274">
        <v>0</v>
      </c>
      <c r="F549" s="1234">
        <v>0</v>
      </c>
      <c r="G549" s="1234">
        <v>0</v>
      </c>
      <c r="H549" s="1234">
        <v>0</v>
      </c>
      <c r="I549" s="1234">
        <v>0</v>
      </c>
      <c r="J549" s="1234">
        <v>0</v>
      </c>
      <c r="K549" s="1234">
        <v>0</v>
      </c>
      <c r="L549" s="1275">
        <v>0</v>
      </c>
      <c r="M549" s="1234">
        <v>0</v>
      </c>
      <c r="N549" s="1285">
        <v>0</v>
      </c>
      <c r="O549" s="1109">
        <v>0</v>
      </c>
      <c r="P549" s="1234">
        <v>0</v>
      </c>
      <c r="Q549" s="1234">
        <v>0</v>
      </c>
      <c r="R549" s="1286">
        <v>0</v>
      </c>
      <c r="S549" s="1234">
        <v>501.6</v>
      </c>
      <c r="T549" s="1286">
        <v>723968.02</v>
      </c>
      <c r="U549" s="1234">
        <v>0</v>
      </c>
      <c r="V549" s="1274">
        <v>0</v>
      </c>
      <c r="W549" s="1234">
        <v>0</v>
      </c>
      <c r="X549" s="1234">
        <v>0</v>
      </c>
      <c r="Y549" s="1234">
        <v>0</v>
      </c>
      <c r="Z549" s="1234">
        <v>56703.98</v>
      </c>
      <c r="AA549" s="1287">
        <v>0</v>
      </c>
    </row>
    <row r="550" spans="1:27" s="1065" customFormat="1" ht="102.75" customHeight="1">
      <c r="A550" s="1322">
        <v>72</v>
      </c>
      <c r="B550" s="1233" t="s">
        <v>1859</v>
      </c>
      <c r="C550" s="1056">
        <f t="shared" si="357"/>
        <v>1864763</v>
      </c>
      <c r="D550" s="1056">
        <f t="shared" si="356"/>
        <v>1729316.26</v>
      </c>
      <c r="E550" s="1274">
        <v>0</v>
      </c>
      <c r="F550" s="1234">
        <v>922234.99</v>
      </c>
      <c r="G550" s="1234">
        <v>0</v>
      </c>
      <c r="H550" s="1234">
        <v>807081.27</v>
      </c>
      <c r="I550" s="1234">
        <v>0</v>
      </c>
      <c r="J550" s="1234">
        <v>0</v>
      </c>
      <c r="K550" s="1234">
        <v>0</v>
      </c>
      <c r="L550" s="1275">
        <v>0</v>
      </c>
      <c r="M550" s="1234">
        <v>0</v>
      </c>
      <c r="N550" s="1285">
        <v>0</v>
      </c>
      <c r="O550" s="1109">
        <v>0</v>
      </c>
      <c r="P550" s="1234">
        <v>0</v>
      </c>
      <c r="Q550" s="1234">
        <v>0</v>
      </c>
      <c r="R550" s="1286">
        <v>0</v>
      </c>
      <c r="S550" s="1234">
        <v>0</v>
      </c>
      <c r="T550" s="1286">
        <v>0</v>
      </c>
      <c r="U550" s="1234">
        <v>0</v>
      </c>
      <c r="V550" s="1274">
        <v>0</v>
      </c>
      <c r="W550" s="1234">
        <v>0</v>
      </c>
      <c r="X550" s="1234">
        <v>0</v>
      </c>
      <c r="Y550" s="1234">
        <v>0</v>
      </c>
      <c r="Z550" s="1234">
        <v>135446.74</v>
      </c>
      <c r="AA550" s="1287">
        <v>0</v>
      </c>
    </row>
    <row r="551" spans="1:27" s="1065" customFormat="1" ht="102.75" customHeight="1">
      <c r="A551" s="1322">
        <v>73</v>
      </c>
      <c r="B551" s="1233" t="s">
        <v>1786</v>
      </c>
      <c r="C551" s="1056">
        <f t="shared" si="357"/>
        <v>2627267</v>
      </c>
      <c r="D551" s="1056">
        <f t="shared" si="356"/>
        <v>2436436</v>
      </c>
      <c r="E551" s="1274">
        <v>0</v>
      </c>
      <c r="F551" s="1234">
        <v>1509591</v>
      </c>
      <c r="G551" s="1234">
        <v>0</v>
      </c>
      <c r="H551" s="1234">
        <v>0</v>
      </c>
      <c r="I551" s="1234">
        <v>926845</v>
      </c>
      <c r="J551" s="1234">
        <v>0</v>
      </c>
      <c r="K551" s="1234">
        <v>0</v>
      </c>
      <c r="L551" s="1275">
        <v>0</v>
      </c>
      <c r="M551" s="1234">
        <v>0</v>
      </c>
      <c r="N551" s="1285">
        <v>0</v>
      </c>
      <c r="O551" s="1109">
        <v>0</v>
      </c>
      <c r="P551" s="1234">
        <v>0</v>
      </c>
      <c r="Q551" s="1234">
        <v>0</v>
      </c>
      <c r="R551" s="1286">
        <v>0</v>
      </c>
      <c r="S551" s="1234">
        <v>0</v>
      </c>
      <c r="T551" s="1286">
        <v>0</v>
      </c>
      <c r="U551" s="1234">
        <v>0</v>
      </c>
      <c r="V551" s="1274">
        <v>0</v>
      </c>
      <c r="W551" s="1234">
        <v>0</v>
      </c>
      <c r="X551" s="1234">
        <v>0</v>
      </c>
      <c r="Y551" s="1234">
        <v>0</v>
      </c>
      <c r="Z551" s="1234">
        <v>190831</v>
      </c>
      <c r="AA551" s="1287">
        <v>0</v>
      </c>
    </row>
    <row r="552" spans="1:27" s="1065" customFormat="1" ht="102.75" customHeight="1">
      <c r="A552" s="1322">
        <v>74</v>
      </c>
      <c r="B552" s="1233" t="s">
        <v>1879</v>
      </c>
      <c r="C552" s="1056">
        <f t="shared" si="357"/>
        <v>193341</v>
      </c>
      <c r="D552" s="1056">
        <f t="shared" si="356"/>
        <v>179297.71</v>
      </c>
      <c r="E552" s="1274">
        <v>0</v>
      </c>
      <c r="F552" s="1234">
        <v>0</v>
      </c>
      <c r="G552" s="1234">
        <v>0</v>
      </c>
      <c r="H552" s="1234">
        <v>179297.71</v>
      </c>
      <c r="I552" s="1234">
        <v>0</v>
      </c>
      <c r="J552" s="1234">
        <v>0</v>
      </c>
      <c r="K552" s="1234">
        <v>0</v>
      </c>
      <c r="L552" s="1275">
        <v>0</v>
      </c>
      <c r="M552" s="1234">
        <v>0</v>
      </c>
      <c r="N552" s="1285">
        <v>0</v>
      </c>
      <c r="O552" s="1109">
        <v>0</v>
      </c>
      <c r="P552" s="1234">
        <v>0</v>
      </c>
      <c r="Q552" s="1234">
        <v>0</v>
      </c>
      <c r="R552" s="1286">
        <v>0</v>
      </c>
      <c r="S552" s="1234">
        <v>0</v>
      </c>
      <c r="T552" s="1286">
        <v>0</v>
      </c>
      <c r="U552" s="1234">
        <v>0</v>
      </c>
      <c r="V552" s="1274">
        <v>0</v>
      </c>
      <c r="W552" s="1234">
        <v>0</v>
      </c>
      <c r="X552" s="1234">
        <v>0</v>
      </c>
      <c r="Y552" s="1234">
        <v>0</v>
      </c>
      <c r="Z552" s="1234">
        <v>14043.29</v>
      </c>
      <c r="AA552" s="1287">
        <v>0</v>
      </c>
    </row>
    <row r="553" spans="1:27" s="1064" customFormat="1" ht="102.75" customHeight="1">
      <c r="A553" s="1322">
        <v>75</v>
      </c>
      <c r="B553" s="1233" t="s">
        <v>1880</v>
      </c>
      <c r="C553" s="1056">
        <f t="shared" si="357"/>
        <v>2610618</v>
      </c>
      <c r="D553" s="1056">
        <f t="shared" si="356"/>
        <v>2420996.21</v>
      </c>
      <c r="E553" s="1274">
        <v>2420996.21</v>
      </c>
      <c r="F553" s="1234">
        <v>0</v>
      </c>
      <c r="G553" s="1234">
        <v>0</v>
      </c>
      <c r="H553" s="1234">
        <v>0</v>
      </c>
      <c r="I553" s="1234">
        <v>0</v>
      </c>
      <c r="J553" s="1234">
        <v>0</v>
      </c>
      <c r="K553" s="1234">
        <v>0</v>
      </c>
      <c r="L553" s="1275">
        <v>0</v>
      </c>
      <c r="M553" s="1234">
        <v>0</v>
      </c>
      <c r="N553" s="1285">
        <v>0</v>
      </c>
      <c r="O553" s="1109">
        <v>0</v>
      </c>
      <c r="P553" s="1234">
        <v>0</v>
      </c>
      <c r="Q553" s="1234">
        <v>0</v>
      </c>
      <c r="R553" s="1286">
        <v>0</v>
      </c>
      <c r="S553" s="1234">
        <v>0</v>
      </c>
      <c r="T553" s="1286">
        <v>0</v>
      </c>
      <c r="U553" s="1234">
        <v>0</v>
      </c>
      <c r="V553" s="1274">
        <v>0</v>
      </c>
      <c r="W553" s="1234">
        <v>0</v>
      </c>
      <c r="X553" s="1234">
        <v>0</v>
      </c>
      <c r="Y553" s="1234">
        <v>0</v>
      </c>
      <c r="Z553" s="1234">
        <v>189621.79</v>
      </c>
      <c r="AA553" s="1287">
        <v>0</v>
      </c>
    </row>
    <row r="554" spans="1:27" s="1064" customFormat="1" ht="102.75" customHeight="1">
      <c r="A554" s="1322">
        <v>76</v>
      </c>
      <c r="B554" s="1233" t="s">
        <v>1881</v>
      </c>
      <c r="C554" s="1056">
        <f t="shared" si="357"/>
        <v>1300391</v>
      </c>
      <c r="D554" s="1056">
        <f t="shared" si="356"/>
        <v>0</v>
      </c>
      <c r="E554" s="1274">
        <v>0</v>
      </c>
      <c r="F554" s="1234">
        <v>0</v>
      </c>
      <c r="G554" s="1234">
        <v>0</v>
      </c>
      <c r="H554" s="1234">
        <v>0</v>
      </c>
      <c r="I554" s="1234">
        <v>0</v>
      </c>
      <c r="J554" s="1234">
        <v>0</v>
      </c>
      <c r="K554" s="1234">
        <v>0</v>
      </c>
      <c r="L554" s="1275">
        <v>0</v>
      </c>
      <c r="M554" s="1234">
        <v>0</v>
      </c>
      <c r="N554" s="1285">
        <v>0</v>
      </c>
      <c r="O554" s="1109">
        <v>0</v>
      </c>
      <c r="P554" s="1234">
        <v>0</v>
      </c>
      <c r="Q554" s="1234">
        <v>0</v>
      </c>
      <c r="R554" s="1286">
        <v>0</v>
      </c>
      <c r="S554" s="1234">
        <v>853.25</v>
      </c>
      <c r="T554" s="1286">
        <v>1205937.32</v>
      </c>
      <c r="U554" s="1234">
        <v>0</v>
      </c>
      <c r="V554" s="1274">
        <v>0</v>
      </c>
      <c r="W554" s="1234">
        <v>0</v>
      </c>
      <c r="X554" s="1234">
        <v>0</v>
      </c>
      <c r="Y554" s="1234">
        <v>0</v>
      </c>
      <c r="Z554" s="1234">
        <v>94453.68</v>
      </c>
      <c r="AA554" s="1287">
        <v>0</v>
      </c>
    </row>
    <row r="555" spans="1:27" s="1064" customFormat="1" ht="102.75" customHeight="1">
      <c r="A555" s="1322">
        <v>77</v>
      </c>
      <c r="B555" s="1233" t="s">
        <v>1882</v>
      </c>
      <c r="C555" s="1056">
        <f t="shared" si="357"/>
        <v>7569129.8099999996</v>
      </c>
      <c r="D555" s="1056">
        <f t="shared" si="356"/>
        <v>537728.06000000006</v>
      </c>
      <c r="E555" s="1274">
        <v>0</v>
      </c>
      <c r="F555" s="1234">
        <v>0</v>
      </c>
      <c r="G555" s="1234">
        <v>0</v>
      </c>
      <c r="H555" s="1234">
        <v>0</v>
      </c>
      <c r="I555" s="1234">
        <v>0</v>
      </c>
      <c r="J555" s="1234">
        <v>537728.06000000006</v>
      </c>
      <c r="K555" s="1234">
        <v>0</v>
      </c>
      <c r="L555" s="1275">
        <v>0</v>
      </c>
      <c r="M555" s="1234">
        <v>0</v>
      </c>
      <c r="N555" s="1285">
        <v>0</v>
      </c>
      <c r="O555" s="1109">
        <v>1268</v>
      </c>
      <c r="P555" s="1234">
        <v>6702328.0499999998</v>
      </c>
      <c r="Q555" s="1234">
        <v>0</v>
      </c>
      <c r="R555" s="1286">
        <v>0</v>
      </c>
      <c r="S555" s="1234">
        <v>0</v>
      </c>
      <c r="T555" s="1286">
        <v>0</v>
      </c>
      <c r="U555" s="1234">
        <v>0</v>
      </c>
      <c r="V555" s="1274">
        <v>0</v>
      </c>
      <c r="W555" s="1234">
        <v>0</v>
      </c>
      <c r="X555" s="1234">
        <v>0</v>
      </c>
      <c r="Y555" s="1234">
        <v>0</v>
      </c>
      <c r="Z555" s="1234">
        <v>329073.7</v>
      </c>
      <c r="AA555" s="1287">
        <v>0</v>
      </c>
    </row>
    <row r="556" spans="1:27" s="1064" customFormat="1" ht="102.75" customHeight="1">
      <c r="A556" s="1322">
        <v>78</v>
      </c>
      <c r="B556" s="1233" t="s">
        <v>1883</v>
      </c>
      <c r="C556" s="1056">
        <f t="shared" si="357"/>
        <v>4100705</v>
      </c>
      <c r="D556" s="1056">
        <f t="shared" si="356"/>
        <v>3802851</v>
      </c>
      <c r="E556" s="1274">
        <v>0</v>
      </c>
      <c r="F556" s="1234">
        <v>0</v>
      </c>
      <c r="G556" s="1234">
        <v>0</v>
      </c>
      <c r="H556" s="1234">
        <v>2317758.21</v>
      </c>
      <c r="I556" s="1234">
        <v>0</v>
      </c>
      <c r="J556" s="1234">
        <v>1485092.79</v>
      </c>
      <c r="K556" s="1234">
        <v>0</v>
      </c>
      <c r="L556" s="1275">
        <v>0</v>
      </c>
      <c r="M556" s="1234">
        <v>0</v>
      </c>
      <c r="N556" s="1285">
        <v>0</v>
      </c>
      <c r="O556" s="1109">
        <v>0</v>
      </c>
      <c r="P556" s="1234">
        <v>0</v>
      </c>
      <c r="Q556" s="1234">
        <v>0</v>
      </c>
      <c r="R556" s="1286">
        <v>0</v>
      </c>
      <c r="S556" s="1234">
        <v>0</v>
      </c>
      <c r="T556" s="1286">
        <v>0</v>
      </c>
      <c r="U556" s="1234">
        <v>0</v>
      </c>
      <c r="V556" s="1274">
        <v>0</v>
      </c>
      <c r="W556" s="1234">
        <v>0</v>
      </c>
      <c r="X556" s="1234">
        <v>0</v>
      </c>
      <c r="Y556" s="1234">
        <v>0</v>
      </c>
      <c r="Z556" s="1234">
        <v>297854</v>
      </c>
      <c r="AA556" s="1287">
        <v>0</v>
      </c>
    </row>
    <row r="557" spans="1:27" s="1064" customFormat="1" ht="102.75" customHeight="1">
      <c r="A557" s="1322">
        <v>79</v>
      </c>
      <c r="B557" s="1233" t="s">
        <v>1841</v>
      </c>
      <c r="C557" s="1056">
        <f t="shared" si="357"/>
        <v>467928</v>
      </c>
      <c r="D557" s="1056">
        <f t="shared" si="356"/>
        <v>0</v>
      </c>
      <c r="E557" s="1274">
        <v>0</v>
      </c>
      <c r="F557" s="1234">
        <v>0</v>
      </c>
      <c r="G557" s="1234">
        <v>0</v>
      </c>
      <c r="H557" s="1234">
        <v>0</v>
      </c>
      <c r="I557" s="1234">
        <v>0</v>
      </c>
      <c r="J557" s="1234">
        <v>0</v>
      </c>
      <c r="K557" s="1234">
        <v>0</v>
      </c>
      <c r="L557" s="1275">
        <v>0</v>
      </c>
      <c r="M557" s="1234">
        <v>0</v>
      </c>
      <c r="N557" s="1285">
        <v>0</v>
      </c>
      <c r="O557" s="1109">
        <v>0</v>
      </c>
      <c r="P557" s="1234">
        <v>0</v>
      </c>
      <c r="Q557" s="1234">
        <v>0</v>
      </c>
      <c r="R557" s="1286">
        <v>0</v>
      </c>
      <c r="S557" s="1234">
        <v>294.7</v>
      </c>
      <c r="T557" s="1286">
        <v>433248.3</v>
      </c>
      <c r="U557" s="1234">
        <v>0</v>
      </c>
      <c r="V557" s="1274">
        <v>0</v>
      </c>
      <c r="W557" s="1234">
        <v>0</v>
      </c>
      <c r="X557" s="1234">
        <v>0</v>
      </c>
      <c r="Y557" s="1234">
        <v>0</v>
      </c>
      <c r="Z557" s="1234">
        <v>34679.699999999997</v>
      </c>
      <c r="AA557" s="1287">
        <v>0</v>
      </c>
    </row>
    <row r="558" spans="1:27" s="1064" customFormat="1" ht="102.75" customHeight="1">
      <c r="A558" s="1322">
        <v>80</v>
      </c>
      <c r="B558" s="1233" t="s">
        <v>1884</v>
      </c>
      <c r="C558" s="1056">
        <f t="shared" si="357"/>
        <v>720823</v>
      </c>
      <c r="D558" s="1056">
        <f t="shared" si="356"/>
        <v>0</v>
      </c>
      <c r="E558" s="1274">
        <v>0</v>
      </c>
      <c r="F558" s="1234">
        <v>0</v>
      </c>
      <c r="G558" s="1234">
        <v>0</v>
      </c>
      <c r="H558" s="1234">
        <v>0</v>
      </c>
      <c r="I558" s="1234">
        <v>0</v>
      </c>
      <c r="J558" s="1234">
        <v>0</v>
      </c>
      <c r="K558" s="1234">
        <v>0</v>
      </c>
      <c r="L558" s="1275">
        <v>0</v>
      </c>
      <c r="M558" s="1234">
        <v>0</v>
      </c>
      <c r="N558" s="1285">
        <v>0</v>
      </c>
      <c r="O558" s="1109">
        <v>0</v>
      </c>
      <c r="P558" s="1234">
        <v>0</v>
      </c>
      <c r="Q558" s="1234">
        <v>0</v>
      </c>
      <c r="R558" s="1286">
        <v>0</v>
      </c>
      <c r="S558" s="1234">
        <v>469.8</v>
      </c>
      <c r="T558" s="1286">
        <v>668466.14</v>
      </c>
      <c r="U558" s="1234">
        <v>0</v>
      </c>
      <c r="V558" s="1274">
        <v>0</v>
      </c>
      <c r="W558" s="1234">
        <v>0</v>
      </c>
      <c r="X558" s="1234">
        <v>0</v>
      </c>
      <c r="Y558" s="1234">
        <v>0</v>
      </c>
      <c r="Z558" s="1234">
        <v>52356.86</v>
      </c>
      <c r="AA558" s="1287">
        <v>0</v>
      </c>
    </row>
    <row r="559" spans="1:27" s="1064" customFormat="1" ht="102.75" customHeight="1">
      <c r="A559" s="1322">
        <v>81</v>
      </c>
      <c r="B559" s="1233" t="s">
        <v>1885</v>
      </c>
      <c r="C559" s="1056">
        <f t="shared" si="357"/>
        <v>691750</v>
      </c>
      <c r="D559" s="1056">
        <f t="shared" si="356"/>
        <v>641504.86</v>
      </c>
      <c r="E559" s="1274">
        <v>0</v>
      </c>
      <c r="F559" s="1234">
        <v>0</v>
      </c>
      <c r="G559" s="1234">
        <v>0</v>
      </c>
      <c r="H559" s="1234">
        <v>390239.9</v>
      </c>
      <c r="I559" s="1234">
        <v>0</v>
      </c>
      <c r="J559" s="1234">
        <v>251264.96</v>
      </c>
      <c r="K559" s="1234">
        <v>0</v>
      </c>
      <c r="L559" s="1275">
        <v>0</v>
      </c>
      <c r="M559" s="1234">
        <v>0</v>
      </c>
      <c r="N559" s="1285">
        <v>0</v>
      </c>
      <c r="O559" s="1109">
        <v>0</v>
      </c>
      <c r="P559" s="1234">
        <v>0</v>
      </c>
      <c r="Q559" s="1234">
        <v>0</v>
      </c>
      <c r="R559" s="1286">
        <v>0</v>
      </c>
      <c r="S559" s="1234">
        <v>0</v>
      </c>
      <c r="T559" s="1286">
        <v>0</v>
      </c>
      <c r="U559" s="1234">
        <v>0</v>
      </c>
      <c r="V559" s="1274">
        <v>0</v>
      </c>
      <c r="W559" s="1234">
        <v>0</v>
      </c>
      <c r="X559" s="1234">
        <v>0</v>
      </c>
      <c r="Y559" s="1234">
        <v>0</v>
      </c>
      <c r="Z559" s="1234">
        <v>50245.14</v>
      </c>
      <c r="AA559" s="1287">
        <v>0</v>
      </c>
    </row>
    <row r="560" spans="1:27" s="1064" customFormat="1" ht="102.75" customHeight="1">
      <c r="A560" s="1322">
        <v>82</v>
      </c>
      <c r="B560" s="1233" t="s">
        <v>1886</v>
      </c>
      <c r="C560" s="1056">
        <f t="shared" si="357"/>
        <v>1443400</v>
      </c>
      <c r="D560" s="1056">
        <f t="shared" si="356"/>
        <v>1338558.8899999999</v>
      </c>
      <c r="E560" s="1274">
        <v>0</v>
      </c>
      <c r="F560" s="1234">
        <v>0</v>
      </c>
      <c r="G560" s="1234">
        <v>0</v>
      </c>
      <c r="H560" s="1234">
        <v>0</v>
      </c>
      <c r="I560" s="1234">
        <v>0</v>
      </c>
      <c r="J560" s="1234">
        <v>1338558.8899999999</v>
      </c>
      <c r="K560" s="1234">
        <v>0</v>
      </c>
      <c r="L560" s="1275">
        <v>0</v>
      </c>
      <c r="M560" s="1234">
        <v>0</v>
      </c>
      <c r="N560" s="1285">
        <v>0</v>
      </c>
      <c r="O560" s="1109">
        <v>0</v>
      </c>
      <c r="P560" s="1234">
        <v>0</v>
      </c>
      <c r="Q560" s="1234">
        <v>0</v>
      </c>
      <c r="R560" s="1286">
        <v>0</v>
      </c>
      <c r="S560" s="1234">
        <v>0</v>
      </c>
      <c r="T560" s="1286">
        <v>0</v>
      </c>
      <c r="U560" s="1234">
        <v>0</v>
      </c>
      <c r="V560" s="1274">
        <v>0</v>
      </c>
      <c r="W560" s="1234">
        <v>0</v>
      </c>
      <c r="X560" s="1234">
        <v>0</v>
      </c>
      <c r="Y560" s="1234">
        <v>0</v>
      </c>
      <c r="Z560" s="1234">
        <v>104841.11</v>
      </c>
      <c r="AA560" s="1287">
        <v>0</v>
      </c>
    </row>
    <row r="561" spans="1:27" s="1064" customFormat="1" ht="102.75" customHeight="1">
      <c r="A561" s="1322">
        <v>83</v>
      </c>
      <c r="B561" s="1233" t="s">
        <v>1887</v>
      </c>
      <c r="C561" s="1056">
        <f t="shared" si="357"/>
        <v>1194865</v>
      </c>
      <c r="D561" s="1056">
        <f t="shared" si="356"/>
        <v>0</v>
      </c>
      <c r="E561" s="1274">
        <v>0</v>
      </c>
      <c r="F561" s="1234">
        <v>0</v>
      </c>
      <c r="G561" s="1234">
        <v>0</v>
      </c>
      <c r="H561" s="1234">
        <v>0</v>
      </c>
      <c r="I561" s="1234">
        <v>0</v>
      </c>
      <c r="J561" s="1234">
        <v>0</v>
      </c>
      <c r="K561" s="1234">
        <v>0</v>
      </c>
      <c r="L561" s="1275">
        <v>0</v>
      </c>
      <c r="M561" s="1234">
        <v>0</v>
      </c>
      <c r="N561" s="1235">
        <v>0</v>
      </c>
      <c r="O561" s="1109">
        <v>0</v>
      </c>
      <c r="P561" s="1109">
        <v>0</v>
      </c>
      <c r="Q561" s="1234">
        <v>820</v>
      </c>
      <c r="R561" s="1286">
        <v>1108076</v>
      </c>
      <c r="S561" s="1234">
        <v>0</v>
      </c>
      <c r="T561" s="1286">
        <v>0</v>
      </c>
      <c r="U561" s="1234">
        <v>0</v>
      </c>
      <c r="V561" s="1274">
        <v>0</v>
      </c>
      <c r="W561" s="1234">
        <v>0</v>
      </c>
      <c r="X561" s="1234">
        <v>0</v>
      </c>
      <c r="Y561" s="1234">
        <v>0</v>
      </c>
      <c r="Z561" s="1234">
        <v>86789</v>
      </c>
      <c r="AA561" s="1287">
        <v>0</v>
      </c>
    </row>
    <row r="562" spans="1:27" s="1064" customFormat="1" ht="102.75" customHeight="1">
      <c r="A562" s="1322">
        <v>84</v>
      </c>
      <c r="B562" s="1233" t="s">
        <v>1888</v>
      </c>
      <c r="C562" s="1056">
        <f t="shared" si="357"/>
        <v>483674</v>
      </c>
      <c r="D562" s="1056">
        <f t="shared" si="356"/>
        <v>448542</v>
      </c>
      <c r="E562" s="1274">
        <v>0</v>
      </c>
      <c r="F562" s="1234">
        <v>448542</v>
      </c>
      <c r="G562" s="1234">
        <v>0</v>
      </c>
      <c r="H562" s="1234">
        <v>0</v>
      </c>
      <c r="I562" s="1234">
        <v>0</v>
      </c>
      <c r="J562" s="1234">
        <v>0</v>
      </c>
      <c r="K562" s="1234">
        <v>0</v>
      </c>
      <c r="L562" s="1275">
        <v>0</v>
      </c>
      <c r="M562" s="1234">
        <v>0</v>
      </c>
      <c r="N562" s="1235">
        <v>0</v>
      </c>
      <c r="O562" s="1109">
        <v>0</v>
      </c>
      <c r="P562" s="1109">
        <v>0</v>
      </c>
      <c r="Q562" s="1234">
        <v>0</v>
      </c>
      <c r="R562" s="1286">
        <v>0</v>
      </c>
      <c r="S562" s="1234">
        <v>0</v>
      </c>
      <c r="T562" s="1286">
        <v>0</v>
      </c>
      <c r="U562" s="1234">
        <v>0</v>
      </c>
      <c r="V562" s="1274">
        <v>0</v>
      </c>
      <c r="W562" s="1234">
        <v>0</v>
      </c>
      <c r="X562" s="1234">
        <v>0</v>
      </c>
      <c r="Y562" s="1234">
        <v>0</v>
      </c>
      <c r="Z562" s="1234">
        <v>35132</v>
      </c>
      <c r="AA562" s="1287">
        <v>0</v>
      </c>
    </row>
    <row r="563" spans="1:27" s="1064" customFormat="1" ht="102.75" customHeight="1">
      <c r="A563" s="1322">
        <v>85</v>
      </c>
      <c r="B563" s="1233" t="s">
        <v>1889</v>
      </c>
      <c r="C563" s="1056">
        <f t="shared" si="357"/>
        <v>1418463</v>
      </c>
      <c r="D563" s="1056">
        <f t="shared" si="356"/>
        <v>1319189.76</v>
      </c>
      <c r="E563" s="1274">
        <v>0</v>
      </c>
      <c r="F563" s="1234">
        <v>0</v>
      </c>
      <c r="G563" s="1234">
        <v>0</v>
      </c>
      <c r="H563" s="1234">
        <v>798198.96</v>
      </c>
      <c r="I563" s="1234">
        <v>0</v>
      </c>
      <c r="J563" s="1234">
        <v>520990.8</v>
      </c>
      <c r="K563" s="1234">
        <v>0</v>
      </c>
      <c r="L563" s="1275">
        <v>0</v>
      </c>
      <c r="M563" s="1234">
        <v>0</v>
      </c>
      <c r="N563" s="1235">
        <v>0</v>
      </c>
      <c r="O563" s="1109">
        <v>0</v>
      </c>
      <c r="P563" s="1109">
        <v>0</v>
      </c>
      <c r="Q563" s="1234">
        <v>0</v>
      </c>
      <c r="R563" s="1286">
        <v>0</v>
      </c>
      <c r="S563" s="1234">
        <v>0</v>
      </c>
      <c r="T563" s="1286">
        <v>0</v>
      </c>
      <c r="U563" s="1234">
        <v>0</v>
      </c>
      <c r="V563" s="1274">
        <v>0</v>
      </c>
      <c r="W563" s="1234">
        <v>0</v>
      </c>
      <c r="X563" s="1234">
        <v>0</v>
      </c>
      <c r="Y563" s="1234">
        <v>0</v>
      </c>
      <c r="Z563" s="1234">
        <v>99273.239999999991</v>
      </c>
      <c r="AA563" s="1287">
        <v>0</v>
      </c>
    </row>
    <row r="564" spans="1:27" s="1064" customFormat="1" ht="102.75" customHeight="1">
      <c r="A564" s="1322">
        <v>86</v>
      </c>
      <c r="B564" s="1233" t="s">
        <v>1859</v>
      </c>
      <c r="C564" s="1056">
        <f t="shared" si="357"/>
        <v>72530</v>
      </c>
      <c r="D564" s="1056">
        <f t="shared" si="356"/>
        <v>0</v>
      </c>
      <c r="E564" s="1274">
        <v>0</v>
      </c>
      <c r="F564" s="1109">
        <v>0</v>
      </c>
      <c r="G564" s="1109">
        <v>0</v>
      </c>
      <c r="H564" s="1109">
        <v>0</v>
      </c>
      <c r="I564" s="1109">
        <v>0</v>
      </c>
      <c r="J564" s="1109">
        <v>0</v>
      </c>
      <c r="K564" s="1109">
        <v>0</v>
      </c>
      <c r="L564" s="1275">
        <v>0</v>
      </c>
      <c r="M564" s="1109">
        <v>0</v>
      </c>
      <c r="N564" s="1239">
        <v>0</v>
      </c>
      <c r="O564" s="1109">
        <v>0</v>
      </c>
      <c r="P564" s="1286">
        <v>0</v>
      </c>
      <c r="Q564" s="1109">
        <v>0</v>
      </c>
      <c r="R564" s="1109">
        <v>0</v>
      </c>
      <c r="S564" s="1109">
        <v>0</v>
      </c>
      <c r="T564" s="1286">
        <v>0</v>
      </c>
      <c r="U564" s="1109">
        <v>0</v>
      </c>
      <c r="V564" s="1274">
        <v>0</v>
      </c>
      <c r="W564" s="1109"/>
      <c r="X564" s="1288"/>
      <c r="Y564" s="1289">
        <v>0</v>
      </c>
      <c r="Z564" s="1109">
        <v>72530</v>
      </c>
      <c r="AA564" s="1109">
        <v>0</v>
      </c>
    </row>
    <row r="565" spans="1:27" s="1064" customFormat="1" ht="102.75" customHeight="1">
      <c r="A565" s="1322">
        <v>87</v>
      </c>
      <c r="B565" s="1233" t="s">
        <v>1890</v>
      </c>
      <c r="C565" s="1056">
        <f t="shared" si="357"/>
        <v>454777</v>
      </c>
      <c r="D565" s="1056">
        <f t="shared" si="356"/>
        <v>0</v>
      </c>
      <c r="E565" s="1274">
        <v>0</v>
      </c>
      <c r="F565" s="1234">
        <v>0</v>
      </c>
      <c r="G565" s="1109">
        <v>0</v>
      </c>
      <c r="H565" s="1109">
        <v>0</v>
      </c>
      <c r="I565" s="1234">
        <v>0</v>
      </c>
      <c r="J565" s="1234">
        <v>0</v>
      </c>
      <c r="K565" s="1109">
        <v>0</v>
      </c>
      <c r="L565" s="1275">
        <v>0</v>
      </c>
      <c r="M565" s="1109">
        <v>0</v>
      </c>
      <c r="N565" s="1285">
        <v>0</v>
      </c>
      <c r="O565" s="1109">
        <v>114</v>
      </c>
      <c r="P565" s="1286">
        <v>421744</v>
      </c>
      <c r="Q565" s="1109">
        <v>0</v>
      </c>
      <c r="R565" s="1286">
        <v>0</v>
      </c>
      <c r="S565" s="1109">
        <v>0</v>
      </c>
      <c r="T565" s="1286">
        <v>0</v>
      </c>
      <c r="U565" s="1109">
        <v>0</v>
      </c>
      <c r="V565" s="1274">
        <v>0</v>
      </c>
      <c r="W565" s="1109">
        <v>0</v>
      </c>
      <c r="X565" s="1109">
        <v>0</v>
      </c>
      <c r="Y565" s="1109">
        <v>0</v>
      </c>
      <c r="Z565" s="1109">
        <v>33033</v>
      </c>
      <c r="AA565" s="1287">
        <v>0</v>
      </c>
    </row>
    <row r="566" spans="1:27" s="1064" customFormat="1" ht="102.75" customHeight="1">
      <c r="A566" s="1322">
        <v>88</v>
      </c>
      <c r="B566" s="1233" t="s">
        <v>1891</v>
      </c>
      <c r="C566" s="1056">
        <f t="shared" si="357"/>
        <v>372974</v>
      </c>
      <c r="D566" s="1056">
        <f t="shared" si="356"/>
        <v>345883</v>
      </c>
      <c r="E566" s="1274"/>
      <c r="F566" s="1109"/>
      <c r="G566" s="1109">
        <v>345883</v>
      </c>
      <c r="H566" s="1109"/>
      <c r="I566" s="1109"/>
      <c r="J566" s="1109"/>
      <c r="K566" s="1109">
        <v>0</v>
      </c>
      <c r="L566" s="1275">
        <v>0</v>
      </c>
      <c r="M566" s="1109">
        <v>0</v>
      </c>
      <c r="N566" s="1285">
        <v>0</v>
      </c>
      <c r="O566" s="1109">
        <v>0</v>
      </c>
      <c r="P566" s="1286">
        <v>0</v>
      </c>
      <c r="Q566" s="1109">
        <v>0</v>
      </c>
      <c r="R566" s="1109">
        <v>0</v>
      </c>
      <c r="S566" s="1109">
        <v>0</v>
      </c>
      <c r="T566" s="1109">
        <v>0</v>
      </c>
      <c r="U566" s="1109">
        <v>0</v>
      </c>
      <c r="V566" s="1274">
        <v>0</v>
      </c>
      <c r="W566" s="1109">
        <v>0</v>
      </c>
      <c r="X566" s="1109">
        <v>0</v>
      </c>
      <c r="Y566" s="1109">
        <v>0</v>
      </c>
      <c r="Z566" s="1109">
        <v>27091</v>
      </c>
      <c r="AA566" s="1287">
        <v>0</v>
      </c>
    </row>
    <row r="567" spans="1:27" s="1064" customFormat="1" ht="102.75" customHeight="1">
      <c r="A567" s="1322">
        <v>89</v>
      </c>
      <c r="B567" s="1233" t="s">
        <v>1892</v>
      </c>
      <c r="C567" s="1056">
        <f t="shared" si="357"/>
        <v>243748</v>
      </c>
      <c r="D567" s="1056">
        <f t="shared" si="356"/>
        <v>226043</v>
      </c>
      <c r="E567" s="1274">
        <v>0</v>
      </c>
      <c r="F567" s="1109">
        <v>0</v>
      </c>
      <c r="G567" s="1109">
        <v>226043</v>
      </c>
      <c r="H567" s="1109">
        <v>0</v>
      </c>
      <c r="I567" s="1109">
        <v>0</v>
      </c>
      <c r="J567" s="1109">
        <v>0</v>
      </c>
      <c r="K567" s="1109">
        <v>0</v>
      </c>
      <c r="L567" s="1275">
        <v>0</v>
      </c>
      <c r="M567" s="1109">
        <v>0</v>
      </c>
      <c r="N567" s="1285">
        <v>0</v>
      </c>
      <c r="O567" s="1109">
        <v>0</v>
      </c>
      <c r="P567" s="1286">
        <v>0</v>
      </c>
      <c r="Q567" s="1286">
        <v>0</v>
      </c>
      <c r="R567" s="1286">
        <v>0</v>
      </c>
      <c r="S567" s="1109">
        <v>0</v>
      </c>
      <c r="T567" s="1286">
        <v>0</v>
      </c>
      <c r="U567" s="1286">
        <v>0</v>
      </c>
      <c r="V567" s="1274">
        <v>0</v>
      </c>
      <c r="W567" s="1286">
        <v>0</v>
      </c>
      <c r="X567" s="1109">
        <v>0</v>
      </c>
      <c r="Y567" s="1286">
        <v>0</v>
      </c>
      <c r="Z567" s="1109">
        <v>17705</v>
      </c>
      <c r="AA567" s="1287">
        <v>0</v>
      </c>
    </row>
    <row r="568" spans="1:27" s="1067" customFormat="1" ht="102.75" customHeight="1">
      <c r="A568" s="1322">
        <v>90</v>
      </c>
      <c r="B568" s="1233" t="s">
        <v>1893</v>
      </c>
      <c r="C568" s="1056">
        <f t="shared" si="357"/>
        <v>6420744.0499999998</v>
      </c>
      <c r="D568" s="1056">
        <f t="shared" ref="D568:D592" si="358">SUM(E568:J568)</f>
        <v>2303006.5099999998</v>
      </c>
      <c r="E568" s="1274">
        <v>0</v>
      </c>
      <c r="F568" s="1109">
        <v>1406791.38</v>
      </c>
      <c r="G568" s="1109">
        <v>183048</v>
      </c>
      <c r="H568" s="1109">
        <v>261721</v>
      </c>
      <c r="I568" s="1109">
        <v>0</v>
      </c>
      <c r="J568" s="1109">
        <v>451446.13</v>
      </c>
      <c r="K568" s="1109">
        <v>0</v>
      </c>
      <c r="L568" s="1275">
        <v>0</v>
      </c>
      <c r="M568" s="1109">
        <v>0</v>
      </c>
      <c r="N568" s="1285">
        <v>0</v>
      </c>
      <c r="O568" s="1109">
        <v>545.20000000000005</v>
      </c>
      <c r="P568" s="1286">
        <v>3697041.87</v>
      </c>
      <c r="Q568" s="1109">
        <v>0</v>
      </c>
      <c r="R568" s="1286">
        <v>0</v>
      </c>
      <c r="S568" s="1109">
        <v>0</v>
      </c>
      <c r="T568" s="1286">
        <v>0</v>
      </c>
      <c r="U568" s="1109">
        <v>0</v>
      </c>
      <c r="V568" s="1286">
        <v>0</v>
      </c>
      <c r="W568" s="1109">
        <v>0</v>
      </c>
      <c r="X568" s="1109">
        <v>0</v>
      </c>
      <c r="Y568" s="1109">
        <v>0</v>
      </c>
      <c r="Z568" s="1109">
        <v>420695.67000000004</v>
      </c>
      <c r="AA568" s="1287">
        <v>0</v>
      </c>
    </row>
    <row r="569" spans="1:27" s="1067" customFormat="1" ht="102.75" customHeight="1">
      <c r="A569" s="1322">
        <v>91</v>
      </c>
      <c r="B569" s="1233" t="s">
        <v>1894</v>
      </c>
      <c r="C569" s="1056">
        <f t="shared" si="357"/>
        <v>405378</v>
      </c>
      <c r="D569" s="1056">
        <f t="shared" si="358"/>
        <v>375934</v>
      </c>
      <c r="E569" s="1274">
        <v>67061</v>
      </c>
      <c r="F569" s="1109">
        <v>127023</v>
      </c>
      <c r="G569" s="1109">
        <v>54546</v>
      </c>
      <c r="H569" s="1109">
        <v>77989</v>
      </c>
      <c r="I569" s="1109">
        <v>0</v>
      </c>
      <c r="J569" s="1109">
        <v>49315</v>
      </c>
      <c r="K569" s="1109">
        <v>0</v>
      </c>
      <c r="L569" s="1275">
        <v>0</v>
      </c>
      <c r="M569" s="1109">
        <v>0</v>
      </c>
      <c r="N569" s="1285">
        <v>0</v>
      </c>
      <c r="O569" s="1109">
        <v>0</v>
      </c>
      <c r="P569" s="1286">
        <v>0</v>
      </c>
      <c r="Q569" s="1109">
        <v>0</v>
      </c>
      <c r="R569" s="1286">
        <v>0</v>
      </c>
      <c r="S569" s="1109">
        <v>0</v>
      </c>
      <c r="T569" s="1286">
        <v>0</v>
      </c>
      <c r="U569" s="1109">
        <v>0</v>
      </c>
      <c r="V569" s="1274">
        <v>0</v>
      </c>
      <c r="W569" s="1109">
        <v>0</v>
      </c>
      <c r="X569" s="1109">
        <v>0</v>
      </c>
      <c r="Y569" s="1109">
        <v>0</v>
      </c>
      <c r="Z569" s="1109">
        <v>29444</v>
      </c>
      <c r="AA569" s="1287">
        <v>0</v>
      </c>
    </row>
    <row r="570" spans="1:27" s="1067" customFormat="1" ht="141.75" customHeight="1">
      <c r="A570" s="1322">
        <v>92</v>
      </c>
      <c r="B570" s="1233" t="s">
        <v>1895</v>
      </c>
      <c r="C570" s="1056">
        <f t="shared" si="357"/>
        <v>278635</v>
      </c>
      <c r="D570" s="1056">
        <f t="shared" si="358"/>
        <v>258396</v>
      </c>
      <c r="E570" s="1274">
        <v>0</v>
      </c>
      <c r="F570" s="1109">
        <v>0</v>
      </c>
      <c r="G570" s="1109">
        <v>258396</v>
      </c>
      <c r="H570" s="1109">
        <v>0</v>
      </c>
      <c r="I570" s="1109">
        <v>0</v>
      </c>
      <c r="J570" s="1109">
        <v>0</v>
      </c>
      <c r="K570" s="1109">
        <v>0</v>
      </c>
      <c r="L570" s="1275">
        <v>0</v>
      </c>
      <c r="M570" s="1109">
        <v>0</v>
      </c>
      <c r="N570" s="1285">
        <v>0</v>
      </c>
      <c r="O570" s="1109">
        <v>0</v>
      </c>
      <c r="P570" s="1286">
        <v>0</v>
      </c>
      <c r="Q570" s="1109">
        <v>0</v>
      </c>
      <c r="R570" s="1286">
        <v>0</v>
      </c>
      <c r="S570" s="1109">
        <v>0</v>
      </c>
      <c r="T570" s="1286">
        <v>0</v>
      </c>
      <c r="U570" s="1109">
        <v>0</v>
      </c>
      <c r="V570" s="1274">
        <v>0</v>
      </c>
      <c r="W570" s="1109">
        <v>0</v>
      </c>
      <c r="X570" s="1109">
        <v>0</v>
      </c>
      <c r="Y570" s="1109">
        <v>0</v>
      </c>
      <c r="Z570" s="1109">
        <v>20239</v>
      </c>
      <c r="AA570" s="1287">
        <v>0</v>
      </c>
    </row>
    <row r="571" spans="1:27" s="1064" customFormat="1" ht="141.75" customHeight="1">
      <c r="A571" s="1322">
        <v>93</v>
      </c>
      <c r="B571" s="1233" t="s">
        <v>1896</v>
      </c>
      <c r="C571" s="1056">
        <f t="shared" si="357"/>
        <v>283306</v>
      </c>
      <c r="D571" s="1056">
        <f t="shared" si="358"/>
        <v>262728</v>
      </c>
      <c r="E571" s="1274">
        <v>0</v>
      </c>
      <c r="F571" s="1109">
        <v>0</v>
      </c>
      <c r="G571" s="1109">
        <v>262728</v>
      </c>
      <c r="H571" s="1109">
        <v>0</v>
      </c>
      <c r="I571" s="1109">
        <v>0</v>
      </c>
      <c r="J571" s="1109">
        <v>0</v>
      </c>
      <c r="K571" s="1109">
        <v>0</v>
      </c>
      <c r="L571" s="1275">
        <v>0</v>
      </c>
      <c r="M571" s="1109">
        <v>0</v>
      </c>
      <c r="N571" s="1285">
        <v>0</v>
      </c>
      <c r="O571" s="1285">
        <v>0</v>
      </c>
      <c r="P571" s="1285">
        <v>0</v>
      </c>
      <c r="Q571" s="1285">
        <v>0</v>
      </c>
      <c r="R571" s="1285">
        <v>0</v>
      </c>
      <c r="S571" s="1285">
        <v>0</v>
      </c>
      <c r="T571" s="1285">
        <v>0</v>
      </c>
      <c r="U571" s="1285">
        <v>0</v>
      </c>
      <c r="V571" s="1274">
        <v>0</v>
      </c>
      <c r="W571" s="1285">
        <v>0</v>
      </c>
      <c r="X571" s="1109">
        <v>0</v>
      </c>
      <c r="Y571" s="1285">
        <v>0</v>
      </c>
      <c r="Z571" s="1109">
        <v>20578</v>
      </c>
      <c r="AA571" s="1287">
        <v>0</v>
      </c>
    </row>
    <row r="572" spans="1:27" s="1064" customFormat="1" ht="102.75" customHeight="1">
      <c r="A572" s="1322">
        <v>94</v>
      </c>
      <c r="B572" s="1233" t="s">
        <v>1897</v>
      </c>
      <c r="C572" s="1056">
        <f t="shared" si="357"/>
        <v>569891</v>
      </c>
      <c r="D572" s="1056">
        <f t="shared" si="358"/>
        <v>528497</v>
      </c>
      <c r="E572" s="1274">
        <v>0</v>
      </c>
      <c r="F572" s="1109">
        <v>0</v>
      </c>
      <c r="G572" s="1109">
        <v>528497</v>
      </c>
      <c r="H572" s="1109">
        <v>0</v>
      </c>
      <c r="I572" s="1109">
        <v>0</v>
      </c>
      <c r="J572" s="1109">
        <v>0</v>
      </c>
      <c r="K572" s="1109">
        <v>0</v>
      </c>
      <c r="L572" s="1275">
        <v>0</v>
      </c>
      <c r="M572" s="1109">
        <v>0</v>
      </c>
      <c r="N572" s="1285">
        <v>0</v>
      </c>
      <c r="O572" s="1109">
        <v>0</v>
      </c>
      <c r="P572" s="1286">
        <v>0</v>
      </c>
      <c r="Q572" s="1109">
        <v>0</v>
      </c>
      <c r="R572" s="1286">
        <v>0</v>
      </c>
      <c r="S572" s="1109">
        <v>0</v>
      </c>
      <c r="T572" s="1286">
        <v>0</v>
      </c>
      <c r="U572" s="1109">
        <v>0</v>
      </c>
      <c r="V572" s="1274">
        <v>0</v>
      </c>
      <c r="W572" s="1109">
        <v>0</v>
      </c>
      <c r="X572" s="1109">
        <v>0</v>
      </c>
      <c r="Y572" s="1109">
        <v>0</v>
      </c>
      <c r="Z572" s="1109">
        <v>41394</v>
      </c>
      <c r="AA572" s="1287">
        <v>0</v>
      </c>
    </row>
    <row r="573" spans="1:27" s="1064" customFormat="1" ht="102.75" customHeight="1">
      <c r="A573" s="1322">
        <v>95</v>
      </c>
      <c r="B573" s="1233" t="s">
        <v>1898</v>
      </c>
      <c r="C573" s="1056">
        <f t="shared" si="357"/>
        <v>1376298</v>
      </c>
      <c r="D573" s="1056">
        <f t="shared" si="358"/>
        <v>0</v>
      </c>
      <c r="E573" s="1274">
        <v>0</v>
      </c>
      <c r="F573" s="1109">
        <v>0</v>
      </c>
      <c r="G573" s="1109">
        <v>0</v>
      </c>
      <c r="H573" s="1109">
        <v>0</v>
      </c>
      <c r="I573" s="1109">
        <v>0</v>
      </c>
      <c r="J573" s="1109">
        <v>0</v>
      </c>
      <c r="K573" s="1109">
        <v>0</v>
      </c>
      <c r="L573" s="1275">
        <v>0</v>
      </c>
      <c r="M573" s="1109">
        <v>0</v>
      </c>
      <c r="N573" s="1285">
        <v>0</v>
      </c>
      <c r="O573" s="1109">
        <v>1087</v>
      </c>
      <c r="P573" s="1286">
        <v>1276331</v>
      </c>
      <c r="Q573" s="1109">
        <v>0</v>
      </c>
      <c r="R573" s="1286">
        <v>0</v>
      </c>
      <c r="S573" s="1109">
        <v>0</v>
      </c>
      <c r="T573" s="1286">
        <v>0</v>
      </c>
      <c r="U573" s="1109">
        <v>0</v>
      </c>
      <c r="V573" s="1274">
        <v>0</v>
      </c>
      <c r="W573" s="1109">
        <v>0</v>
      </c>
      <c r="X573" s="1109">
        <v>0</v>
      </c>
      <c r="Y573" s="1109">
        <v>0</v>
      </c>
      <c r="Z573" s="1109">
        <v>99967</v>
      </c>
      <c r="AA573" s="1287">
        <v>0</v>
      </c>
    </row>
    <row r="574" spans="1:27" s="1064" customFormat="1" ht="102.75" customHeight="1">
      <c r="A574" s="1322">
        <v>96</v>
      </c>
      <c r="B574" s="1233" t="s">
        <v>1899</v>
      </c>
      <c r="C574" s="1056">
        <f t="shared" si="357"/>
        <v>1890004</v>
      </c>
      <c r="D574" s="1056">
        <f t="shared" si="358"/>
        <v>1546420</v>
      </c>
      <c r="E574" s="1274">
        <v>0</v>
      </c>
      <c r="F574" s="1234">
        <v>0</v>
      </c>
      <c r="G574" s="1109">
        <v>1546420</v>
      </c>
      <c r="H574" s="1109">
        <v>0</v>
      </c>
      <c r="I574" s="1234">
        <v>0</v>
      </c>
      <c r="J574" s="1234">
        <v>0</v>
      </c>
      <c r="K574" s="1109">
        <v>0</v>
      </c>
      <c r="L574" s="1275">
        <v>0</v>
      </c>
      <c r="M574" s="1109">
        <v>0</v>
      </c>
      <c r="N574" s="1285">
        <v>0</v>
      </c>
      <c r="O574" s="1109">
        <v>0</v>
      </c>
      <c r="P574" s="1109">
        <v>0</v>
      </c>
      <c r="Q574" s="1109">
        <v>0</v>
      </c>
      <c r="R574" s="1286">
        <v>0</v>
      </c>
      <c r="S574" s="1109">
        <v>0</v>
      </c>
      <c r="T574" s="1286">
        <v>0</v>
      </c>
      <c r="U574" s="1109">
        <v>0</v>
      </c>
      <c r="V574" s="1274">
        <v>0</v>
      </c>
      <c r="W574" s="1109">
        <v>0</v>
      </c>
      <c r="X574" s="1109">
        <v>0</v>
      </c>
      <c r="Y574" s="1109">
        <v>0</v>
      </c>
      <c r="Z574" s="1109">
        <v>343584</v>
      </c>
      <c r="AA574" s="1287">
        <v>0</v>
      </c>
    </row>
    <row r="575" spans="1:27" s="1064" customFormat="1" ht="102.75" customHeight="1">
      <c r="A575" s="1322">
        <v>97</v>
      </c>
      <c r="B575" s="1233" t="s">
        <v>1900</v>
      </c>
      <c r="C575" s="1056">
        <f t="shared" si="357"/>
        <v>3793797</v>
      </c>
      <c r="D575" s="1056">
        <f t="shared" si="358"/>
        <v>0</v>
      </c>
      <c r="E575" s="1274">
        <v>0</v>
      </c>
      <c r="F575" s="1109">
        <v>0</v>
      </c>
      <c r="G575" s="1109">
        <v>0</v>
      </c>
      <c r="H575" s="1109">
        <v>0</v>
      </c>
      <c r="I575" s="1109">
        <v>0</v>
      </c>
      <c r="J575" s="1109">
        <v>0</v>
      </c>
      <c r="K575" s="1109">
        <v>0</v>
      </c>
      <c r="L575" s="1275">
        <v>0</v>
      </c>
      <c r="M575" s="1109">
        <v>0</v>
      </c>
      <c r="N575" s="1290">
        <v>0</v>
      </c>
      <c r="O575" s="1109">
        <v>951</v>
      </c>
      <c r="P575" s="1286">
        <v>3518235</v>
      </c>
      <c r="Q575" s="1109">
        <v>0</v>
      </c>
      <c r="R575" s="1286">
        <v>0</v>
      </c>
      <c r="S575" s="1109">
        <v>0</v>
      </c>
      <c r="T575" s="1286">
        <v>0</v>
      </c>
      <c r="U575" s="1109">
        <v>0</v>
      </c>
      <c r="V575" s="1274">
        <v>0</v>
      </c>
      <c r="W575" s="1109">
        <v>0</v>
      </c>
      <c r="X575" s="1109">
        <v>0</v>
      </c>
      <c r="Y575" s="1109">
        <v>0</v>
      </c>
      <c r="Z575" s="1109">
        <v>275562</v>
      </c>
      <c r="AA575" s="1287">
        <v>0</v>
      </c>
    </row>
    <row r="576" spans="1:27" s="1064" customFormat="1" ht="102.75" customHeight="1">
      <c r="A576" s="1322">
        <v>98</v>
      </c>
      <c r="B576" s="1233" t="s">
        <v>1901</v>
      </c>
      <c r="C576" s="1056">
        <f t="shared" si="357"/>
        <v>1193601</v>
      </c>
      <c r="D576" s="1056">
        <f t="shared" si="358"/>
        <v>1106904</v>
      </c>
      <c r="E576" s="1274">
        <v>0</v>
      </c>
      <c r="F576" s="1109">
        <v>0</v>
      </c>
      <c r="G576" s="1109">
        <v>0</v>
      </c>
      <c r="H576" s="1109">
        <v>1106904</v>
      </c>
      <c r="I576" s="1234">
        <v>0</v>
      </c>
      <c r="J576" s="1109">
        <v>0</v>
      </c>
      <c r="K576" s="1109">
        <v>0</v>
      </c>
      <c r="L576" s="1275">
        <v>0</v>
      </c>
      <c r="M576" s="1109">
        <v>0</v>
      </c>
      <c r="N576" s="1239">
        <v>0</v>
      </c>
      <c r="O576" s="1109">
        <v>0</v>
      </c>
      <c r="P576" s="1286">
        <v>0</v>
      </c>
      <c r="Q576" s="1109">
        <v>0</v>
      </c>
      <c r="R576" s="1109">
        <v>0</v>
      </c>
      <c r="S576" s="1109">
        <v>0</v>
      </c>
      <c r="T576" s="1286">
        <v>0</v>
      </c>
      <c r="U576" s="1109">
        <v>0</v>
      </c>
      <c r="V576" s="1274">
        <v>0</v>
      </c>
      <c r="W576" s="1109">
        <v>0</v>
      </c>
      <c r="X576" s="1109">
        <v>0</v>
      </c>
      <c r="Y576" s="1109">
        <v>0</v>
      </c>
      <c r="Z576" s="1109">
        <v>86697</v>
      </c>
      <c r="AA576" s="1287">
        <v>0</v>
      </c>
    </row>
    <row r="577" spans="1:27" s="1064" customFormat="1" ht="102.75" customHeight="1">
      <c r="A577" s="1322">
        <v>99</v>
      </c>
      <c r="B577" s="1233" t="s">
        <v>1902</v>
      </c>
      <c r="C577" s="1056">
        <f t="shared" si="357"/>
        <v>5609542</v>
      </c>
      <c r="D577" s="1056">
        <f t="shared" si="358"/>
        <v>5202094</v>
      </c>
      <c r="E577" s="1274">
        <v>0</v>
      </c>
      <c r="F577" s="1109">
        <v>2139355</v>
      </c>
      <c r="G577" s="1109">
        <v>918665</v>
      </c>
      <c r="H577" s="1109">
        <v>0</v>
      </c>
      <c r="I577" s="1109">
        <v>1313501</v>
      </c>
      <c r="J577" s="1109">
        <v>830573</v>
      </c>
      <c r="K577" s="1109">
        <v>0</v>
      </c>
      <c r="L577" s="1275">
        <v>0</v>
      </c>
      <c r="M577" s="1109">
        <v>0</v>
      </c>
      <c r="N577" s="1285">
        <v>0</v>
      </c>
      <c r="O577" s="1109">
        <v>0</v>
      </c>
      <c r="P577" s="1286">
        <v>0</v>
      </c>
      <c r="Q577" s="1109">
        <v>0</v>
      </c>
      <c r="R577" s="1286">
        <v>0</v>
      </c>
      <c r="S577" s="1109">
        <v>0</v>
      </c>
      <c r="T577" s="1286">
        <v>0</v>
      </c>
      <c r="U577" s="1286">
        <v>0</v>
      </c>
      <c r="V577" s="1286">
        <v>0</v>
      </c>
      <c r="W577" s="1109">
        <v>0</v>
      </c>
      <c r="X577" s="1109">
        <v>0</v>
      </c>
      <c r="Y577" s="1109">
        <v>0</v>
      </c>
      <c r="Z577" s="1109">
        <v>407448</v>
      </c>
      <c r="AA577" s="1287">
        <v>0</v>
      </c>
    </row>
    <row r="578" spans="1:27" s="1064" customFormat="1" ht="102.75" customHeight="1">
      <c r="A578" s="1322">
        <v>100</v>
      </c>
      <c r="B578" s="1233" t="s">
        <v>1903</v>
      </c>
      <c r="C578" s="1056">
        <f t="shared" si="357"/>
        <v>3159503</v>
      </c>
      <c r="D578" s="1056">
        <f t="shared" si="358"/>
        <v>0</v>
      </c>
      <c r="E578" s="1274">
        <v>0</v>
      </c>
      <c r="F578" s="1109">
        <v>0</v>
      </c>
      <c r="G578" s="1109">
        <v>0</v>
      </c>
      <c r="H578" s="1109">
        <v>0</v>
      </c>
      <c r="I578" s="1109">
        <v>0</v>
      </c>
      <c r="J578" s="1109">
        <v>0</v>
      </c>
      <c r="K578" s="1109">
        <v>0</v>
      </c>
      <c r="L578" s="1275">
        <v>0</v>
      </c>
      <c r="M578" s="1109">
        <v>0</v>
      </c>
      <c r="N578" s="1285">
        <v>0</v>
      </c>
      <c r="O578" s="1109">
        <v>792</v>
      </c>
      <c r="P578" s="1286">
        <v>2930013</v>
      </c>
      <c r="Q578" s="1109">
        <v>0</v>
      </c>
      <c r="R578" s="1286">
        <v>0</v>
      </c>
      <c r="S578" s="1109">
        <v>0</v>
      </c>
      <c r="T578" s="1286">
        <v>0</v>
      </c>
      <c r="U578" s="1109">
        <v>0</v>
      </c>
      <c r="V578" s="1274">
        <v>0</v>
      </c>
      <c r="W578" s="1109">
        <v>0</v>
      </c>
      <c r="X578" s="1109">
        <v>0</v>
      </c>
      <c r="Y578" s="1109">
        <v>0</v>
      </c>
      <c r="Z578" s="1109">
        <v>229490</v>
      </c>
      <c r="AA578" s="1287">
        <v>0</v>
      </c>
    </row>
    <row r="579" spans="1:27" s="1064" customFormat="1" ht="102.75" customHeight="1">
      <c r="A579" s="1322">
        <v>101</v>
      </c>
      <c r="B579" s="1233" t="s">
        <v>1904</v>
      </c>
      <c r="C579" s="1056">
        <f t="shared" si="357"/>
        <v>1527891</v>
      </c>
      <c r="D579" s="1056">
        <f t="shared" si="358"/>
        <v>0</v>
      </c>
      <c r="E579" s="1274">
        <v>0</v>
      </c>
      <c r="F579" s="1234">
        <v>0</v>
      </c>
      <c r="G579" s="1234">
        <v>0</v>
      </c>
      <c r="H579" s="1234">
        <v>0</v>
      </c>
      <c r="I579" s="1234">
        <v>0</v>
      </c>
      <c r="J579" s="1234">
        <v>0</v>
      </c>
      <c r="K579" s="1234">
        <v>0</v>
      </c>
      <c r="L579" s="1275">
        <v>0</v>
      </c>
      <c r="M579" s="1234">
        <v>0</v>
      </c>
      <c r="N579" s="1285">
        <v>0</v>
      </c>
      <c r="O579" s="1109">
        <v>413</v>
      </c>
      <c r="P579" s="1286">
        <v>1416913</v>
      </c>
      <c r="Q579" s="1109">
        <v>0</v>
      </c>
      <c r="R579" s="1286">
        <v>0</v>
      </c>
      <c r="S579" s="1286">
        <v>0</v>
      </c>
      <c r="T579" s="1286">
        <v>0</v>
      </c>
      <c r="U579" s="1286">
        <v>0</v>
      </c>
      <c r="V579" s="1274">
        <v>0</v>
      </c>
      <c r="W579" s="1286">
        <v>0</v>
      </c>
      <c r="X579" s="1109">
        <v>0</v>
      </c>
      <c r="Y579" s="1286">
        <v>0</v>
      </c>
      <c r="Z579" s="1109">
        <v>110978</v>
      </c>
      <c r="AA579" s="1287">
        <v>0</v>
      </c>
    </row>
    <row r="580" spans="1:27" s="1064" customFormat="1" ht="102.75" customHeight="1">
      <c r="A580" s="1322">
        <v>102</v>
      </c>
      <c r="B580" s="1233" t="s">
        <v>1905</v>
      </c>
      <c r="C580" s="1056">
        <f t="shared" si="357"/>
        <v>5568593</v>
      </c>
      <c r="D580" s="1056">
        <f t="shared" si="358"/>
        <v>5164119</v>
      </c>
      <c r="E580" s="1274">
        <v>0</v>
      </c>
      <c r="F580" s="1234">
        <v>0</v>
      </c>
      <c r="G580" s="1109">
        <v>5164119</v>
      </c>
      <c r="H580" s="1109">
        <v>0</v>
      </c>
      <c r="I580" s="1234">
        <v>0</v>
      </c>
      <c r="J580" s="1234">
        <v>0</v>
      </c>
      <c r="K580" s="1109">
        <v>0</v>
      </c>
      <c r="L580" s="1275">
        <v>0</v>
      </c>
      <c r="M580" s="1109">
        <v>0</v>
      </c>
      <c r="N580" s="1285">
        <v>0</v>
      </c>
      <c r="O580" s="1109">
        <v>0</v>
      </c>
      <c r="P580" s="1109">
        <v>0</v>
      </c>
      <c r="Q580" s="1109">
        <v>0</v>
      </c>
      <c r="R580" s="1286">
        <v>0</v>
      </c>
      <c r="S580" s="1109">
        <v>0</v>
      </c>
      <c r="T580" s="1286">
        <v>0</v>
      </c>
      <c r="U580" s="1109">
        <v>0</v>
      </c>
      <c r="V580" s="1274">
        <v>0</v>
      </c>
      <c r="W580" s="1109">
        <v>0</v>
      </c>
      <c r="X580" s="1109">
        <v>0</v>
      </c>
      <c r="Y580" s="1109">
        <v>0</v>
      </c>
      <c r="Z580" s="1109">
        <v>404474</v>
      </c>
      <c r="AA580" s="1287">
        <v>0</v>
      </c>
    </row>
    <row r="581" spans="1:27" s="1064" customFormat="1" ht="102.75" customHeight="1">
      <c r="A581" s="1322">
        <v>103</v>
      </c>
      <c r="B581" s="1233" t="s">
        <v>1906</v>
      </c>
      <c r="C581" s="1056">
        <f t="shared" si="357"/>
        <v>1527891</v>
      </c>
      <c r="D581" s="1056">
        <f t="shared" si="358"/>
        <v>0</v>
      </c>
      <c r="E581" s="1274">
        <v>0</v>
      </c>
      <c r="F581" s="1234">
        <v>0</v>
      </c>
      <c r="G581" s="1234">
        <v>0</v>
      </c>
      <c r="H581" s="1234">
        <v>0</v>
      </c>
      <c r="I581" s="1234">
        <v>0</v>
      </c>
      <c r="J581" s="1234">
        <v>0</v>
      </c>
      <c r="K581" s="1234">
        <v>0</v>
      </c>
      <c r="L581" s="1275">
        <v>0</v>
      </c>
      <c r="M581" s="1234">
        <v>0</v>
      </c>
      <c r="N581" s="1285">
        <v>0</v>
      </c>
      <c r="O581" s="1109">
        <v>413</v>
      </c>
      <c r="P581" s="1286">
        <v>1416913</v>
      </c>
      <c r="Q581" s="1109">
        <v>0</v>
      </c>
      <c r="R581" s="1286">
        <v>0</v>
      </c>
      <c r="S581" s="1286">
        <v>0</v>
      </c>
      <c r="T581" s="1286">
        <v>0</v>
      </c>
      <c r="U581" s="1286">
        <v>0</v>
      </c>
      <c r="V581" s="1274">
        <v>0</v>
      </c>
      <c r="W581" s="1286">
        <v>0</v>
      </c>
      <c r="X581" s="1109">
        <v>0</v>
      </c>
      <c r="Y581" s="1286">
        <v>0</v>
      </c>
      <c r="Z581" s="1109">
        <v>110978</v>
      </c>
      <c r="AA581" s="1287">
        <v>0</v>
      </c>
    </row>
    <row r="582" spans="1:27" s="1064" customFormat="1" ht="102.75" customHeight="1">
      <c r="A582" s="1322">
        <v>104</v>
      </c>
      <c r="B582" s="1233" t="s">
        <v>1907</v>
      </c>
      <c r="C582" s="1056">
        <f t="shared" si="357"/>
        <v>207695</v>
      </c>
      <c r="D582" s="1056">
        <f t="shared" si="358"/>
        <v>192609</v>
      </c>
      <c r="E582" s="1274">
        <v>0</v>
      </c>
      <c r="F582" s="1234">
        <v>0</v>
      </c>
      <c r="G582" s="1109">
        <v>192609</v>
      </c>
      <c r="H582" s="1109">
        <v>0</v>
      </c>
      <c r="I582" s="1109">
        <v>0</v>
      </c>
      <c r="J582" s="1109">
        <v>0</v>
      </c>
      <c r="K582" s="1109">
        <v>0</v>
      </c>
      <c r="L582" s="1275">
        <v>0</v>
      </c>
      <c r="M582" s="1109">
        <v>0</v>
      </c>
      <c r="N582" s="1285">
        <v>0</v>
      </c>
      <c r="O582" s="1109">
        <v>0</v>
      </c>
      <c r="P582" s="1286">
        <v>0</v>
      </c>
      <c r="Q582" s="1109">
        <v>0</v>
      </c>
      <c r="R582" s="1286">
        <v>0</v>
      </c>
      <c r="S582" s="1109">
        <v>0</v>
      </c>
      <c r="T582" s="1286">
        <v>0</v>
      </c>
      <c r="U582" s="1109">
        <v>0</v>
      </c>
      <c r="V582" s="1274">
        <v>0</v>
      </c>
      <c r="W582" s="1109">
        <v>0</v>
      </c>
      <c r="X582" s="1109">
        <v>0</v>
      </c>
      <c r="Y582" s="1109">
        <v>0</v>
      </c>
      <c r="Z582" s="1109">
        <v>15086</v>
      </c>
      <c r="AA582" s="1287">
        <v>0</v>
      </c>
    </row>
    <row r="583" spans="1:27" s="1064" customFormat="1" ht="102.75" customHeight="1">
      <c r="A583" s="1322">
        <v>105</v>
      </c>
      <c r="B583" s="1233" t="s">
        <v>1908</v>
      </c>
      <c r="C583" s="1056">
        <f t="shared" si="357"/>
        <v>143558</v>
      </c>
      <c r="D583" s="1056">
        <f t="shared" si="358"/>
        <v>0</v>
      </c>
      <c r="E583" s="1291">
        <v>0</v>
      </c>
      <c r="F583" s="1109">
        <v>0</v>
      </c>
      <c r="G583" s="1109">
        <v>0</v>
      </c>
      <c r="H583" s="1109">
        <v>0</v>
      </c>
      <c r="I583" s="1109">
        <v>0</v>
      </c>
      <c r="J583" s="1109">
        <v>0</v>
      </c>
      <c r="K583" s="1109">
        <v>0</v>
      </c>
      <c r="L583" s="1109">
        <v>0</v>
      </c>
      <c r="M583" s="1109">
        <v>0</v>
      </c>
      <c r="N583" s="1109">
        <v>0</v>
      </c>
      <c r="O583" s="1109">
        <v>0</v>
      </c>
      <c r="P583" s="1109">
        <v>0</v>
      </c>
      <c r="Q583" s="1109">
        <v>0</v>
      </c>
      <c r="R583" s="1109">
        <v>0</v>
      </c>
      <c r="S583" s="1109">
        <v>0</v>
      </c>
      <c r="T583" s="1109">
        <v>0</v>
      </c>
      <c r="U583" s="1109">
        <v>0</v>
      </c>
      <c r="V583" s="1109">
        <v>0</v>
      </c>
      <c r="W583" s="1109"/>
      <c r="X583" s="1292"/>
      <c r="Y583" s="1279">
        <v>0</v>
      </c>
      <c r="Z583" s="1109">
        <v>143558</v>
      </c>
      <c r="AA583" s="1291">
        <v>0</v>
      </c>
    </row>
    <row r="584" spans="1:27" s="1067" customFormat="1" ht="102.75" customHeight="1">
      <c r="A584" s="1322">
        <v>106</v>
      </c>
      <c r="B584" s="1233" t="s">
        <v>1909</v>
      </c>
      <c r="C584" s="1056">
        <f t="shared" si="357"/>
        <v>1223262</v>
      </c>
      <c r="D584" s="1056">
        <f t="shared" si="358"/>
        <v>0</v>
      </c>
      <c r="E584" s="1291">
        <v>0</v>
      </c>
      <c r="F584" s="1109">
        <v>0</v>
      </c>
      <c r="G584" s="1109">
        <v>0</v>
      </c>
      <c r="H584" s="1109">
        <v>0</v>
      </c>
      <c r="I584" s="1109">
        <v>0</v>
      </c>
      <c r="J584" s="1109">
        <v>0</v>
      </c>
      <c r="K584" s="1109">
        <v>0</v>
      </c>
      <c r="L584" s="1109">
        <v>0</v>
      </c>
      <c r="M584" s="1109">
        <v>0</v>
      </c>
      <c r="N584" s="1109">
        <v>0</v>
      </c>
      <c r="O584" s="1109">
        <v>450.2</v>
      </c>
      <c r="P584" s="1109">
        <v>1134411</v>
      </c>
      <c r="Q584" s="1109">
        <v>0</v>
      </c>
      <c r="R584" s="1109">
        <v>0</v>
      </c>
      <c r="S584" s="1109">
        <v>0</v>
      </c>
      <c r="T584" s="1109">
        <v>0</v>
      </c>
      <c r="U584" s="1109">
        <v>0</v>
      </c>
      <c r="V584" s="1109">
        <v>0</v>
      </c>
      <c r="W584" s="1109">
        <v>0</v>
      </c>
      <c r="X584" s="1109">
        <v>0</v>
      </c>
      <c r="Y584" s="1109">
        <v>0</v>
      </c>
      <c r="Z584" s="1109">
        <v>88851</v>
      </c>
      <c r="AA584" s="1291">
        <v>0</v>
      </c>
    </row>
    <row r="585" spans="1:27" s="1067" customFormat="1" ht="102.75" customHeight="1">
      <c r="A585" s="1322">
        <v>107</v>
      </c>
      <c r="B585" s="1233" t="s">
        <v>1910</v>
      </c>
      <c r="C585" s="1056">
        <f t="shared" si="357"/>
        <v>4010101</v>
      </c>
      <c r="D585" s="1056">
        <f t="shared" si="358"/>
        <v>0</v>
      </c>
      <c r="E585" s="1291">
        <v>0</v>
      </c>
      <c r="F585" s="1109">
        <v>0</v>
      </c>
      <c r="G585" s="1109">
        <v>0</v>
      </c>
      <c r="H585" s="1109">
        <v>0</v>
      </c>
      <c r="I585" s="1109">
        <v>0</v>
      </c>
      <c r="J585" s="1109">
        <v>0</v>
      </c>
      <c r="K585" s="1109">
        <v>0</v>
      </c>
      <c r="L585" s="1109">
        <v>0</v>
      </c>
      <c r="M585" s="1109">
        <v>0</v>
      </c>
      <c r="N585" s="1109">
        <v>0</v>
      </c>
      <c r="O585" s="1109">
        <v>0</v>
      </c>
      <c r="P585" s="1109">
        <v>0</v>
      </c>
      <c r="Q585" s="1109">
        <v>0</v>
      </c>
      <c r="R585" s="1109">
        <v>0</v>
      </c>
      <c r="S585" s="1109">
        <v>1507</v>
      </c>
      <c r="T585" s="1109">
        <v>3718828</v>
      </c>
      <c r="U585" s="1109">
        <v>0</v>
      </c>
      <c r="V585" s="1109">
        <v>0</v>
      </c>
      <c r="W585" s="1109">
        <v>0</v>
      </c>
      <c r="X585" s="1109">
        <v>0</v>
      </c>
      <c r="Y585" s="1109">
        <v>0</v>
      </c>
      <c r="Z585" s="1109">
        <v>291273</v>
      </c>
      <c r="AA585" s="1291">
        <v>0</v>
      </c>
    </row>
    <row r="586" spans="1:27" s="1067" customFormat="1" ht="102.75" customHeight="1">
      <c r="A586" s="1322">
        <v>108</v>
      </c>
      <c r="B586" s="1233" t="s">
        <v>1911</v>
      </c>
      <c r="C586" s="1056">
        <f t="shared" si="357"/>
        <v>1272992</v>
      </c>
      <c r="D586" s="1056">
        <f t="shared" si="358"/>
        <v>1180528</v>
      </c>
      <c r="E586" s="1291">
        <v>0</v>
      </c>
      <c r="F586" s="1109">
        <v>0</v>
      </c>
      <c r="G586" s="1109">
        <v>1180528</v>
      </c>
      <c r="H586" s="1109">
        <v>0</v>
      </c>
      <c r="I586" s="1109">
        <v>0</v>
      </c>
      <c r="J586" s="1109">
        <v>0</v>
      </c>
      <c r="K586" s="1109">
        <v>0</v>
      </c>
      <c r="L586" s="1109">
        <v>0</v>
      </c>
      <c r="M586" s="1109">
        <v>0</v>
      </c>
      <c r="N586" s="1109">
        <v>0</v>
      </c>
      <c r="O586" s="1109">
        <v>0</v>
      </c>
      <c r="P586" s="1109">
        <v>0</v>
      </c>
      <c r="Q586" s="1109">
        <v>0</v>
      </c>
      <c r="R586" s="1109">
        <v>0</v>
      </c>
      <c r="S586" s="1109">
        <v>0</v>
      </c>
      <c r="T586" s="1109">
        <v>0</v>
      </c>
      <c r="U586" s="1109">
        <v>0</v>
      </c>
      <c r="V586" s="1109">
        <v>0</v>
      </c>
      <c r="W586" s="1109">
        <v>0</v>
      </c>
      <c r="X586" s="1109">
        <v>0</v>
      </c>
      <c r="Y586" s="1109">
        <v>0</v>
      </c>
      <c r="Z586" s="1109">
        <v>92464</v>
      </c>
      <c r="AA586" s="1291">
        <v>0</v>
      </c>
    </row>
    <row r="587" spans="1:27" s="1067" customFormat="1" ht="102.75" customHeight="1">
      <c r="A587" s="1322">
        <v>109</v>
      </c>
      <c r="B587" s="1233" t="s">
        <v>1912</v>
      </c>
      <c r="C587" s="1056">
        <f t="shared" si="357"/>
        <v>223253</v>
      </c>
      <c r="D587" s="1056">
        <f t="shared" si="358"/>
        <v>207037</v>
      </c>
      <c r="E587" s="1291">
        <v>0</v>
      </c>
      <c r="F587" s="1109">
        <v>0</v>
      </c>
      <c r="G587" s="1109">
        <v>0</v>
      </c>
      <c r="H587" s="1109">
        <v>0</v>
      </c>
      <c r="I587" s="1109">
        <v>0</v>
      </c>
      <c r="J587" s="1109">
        <v>207037</v>
      </c>
      <c r="K587" s="1109">
        <v>0</v>
      </c>
      <c r="L587" s="1109">
        <v>0</v>
      </c>
      <c r="M587" s="1109">
        <v>0</v>
      </c>
      <c r="N587" s="1109">
        <v>0</v>
      </c>
      <c r="O587" s="1109">
        <v>0</v>
      </c>
      <c r="P587" s="1109">
        <v>0</v>
      </c>
      <c r="Q587" s="1109">
        <v>0</v>
      </c>
      <c r="R587" s="1109">
        <v>0</v>
      </c>
      <c r="S587" s="1109">
        <v>0</v>
      </c>
      <c r="T587" s="1109">
        <v>0</v>
      </c>
      <c r="U587" s="1109">
        <v>0</v>
      </c>
      <c r="V587" s="1109">
        <v>0</v>
      </c>
      <c r="W587" s="1109">
        <v>0</v>
      </c>
      <c r="X587" s="1109">
        <v>0</v>
      </c>
      <c r="Y587" s="1109">
        <v>0</v>
      </c>
      <c r="Z587" s="1109">
        <v>16216</v>
      </c>
      <c r="AA587" s="1291">
        <v>0</v>
      </c>
    </row>
    <row r="588" spans="1:27" s="1064" customFormat="1" ht="102.75" customHeight="1">
      <c r="A588" s="1322">
        <v>110</v>
      </c>
      <c r="B588" s="1233" t="s">
        <v>1913</v>
      </c>
      <c r="C588" s="1056">
        <f t="shared" si="357"/>
        <v>9902493.3900000006</v>
      </c>
      <c r="D588" s="1056">
        <f t="shared" si="358"/>
        <v>0</v>
      </c>
      <c r="E588" s="1291">
        <v>0</v>
      </c>
      <c r="F588" s="1109">
        <v>0</v>
      </c>
      <c r="G588" s="1109">
        <v>0</v>
      </c>
      <c r="H588" s="1109">
        <v>0</v>
      </c>
      <c r="I588" s="1109">
        <v>0</v>
      </c>
      <c r="J588" s="1109">
        <v>0</v>
      </c>
      <c r="K588" s="1109">
        <v>0</v>
      </c>
      <c r="L588" s="1109">
        <v>0</v>
      </c>
      <c r="M588" s="1109">
        <v>0</v>
      </c>
      <c r="N588" s="1109">
        <v>0</v>
      </c>
      <c r="O588" s="1109">
        <v>2800</v>
      </c>
      <c r="P588" s="1109">
        <v>9349885.3900000006</v>
      </c>
      <c r="Q588" s="1109">
        <v>0</v>
      </c>
      <c r="R588" s="1109">
        <v>0</v>
      </c>
      <c r="S588" s="1109">
        <v>0</v>
      </c>
      <c r="T588" s="1109">
        <v>0</v>
      </c>
      <c r="U588" s="1109">
        <v>0</v>
      </c>
      <c r="V588" s="1109">
        <v>0</v>
      </c>
      <c r="W588" s="1109">
        <v>0</v>
      </c>
      <c r="X588" s="1109">
        <v>0</v>
      </c>
      <c r="Y588" s="1109">
        <v>0</v>
      </c>
      <c r="Z588" s="1109">
        <v>552608</v>
      </c>
      <c r="AA588" s="1291">
        <v>0</v>
      </c>
    </row>
    <row r="589" spans="1:27" s="1064" customFormat="1" ht="102.75" customHeight="1">
      <c r="A589" s="1322">
        <v>111</v>
      </c>
      <c r="B589" s="1233" t="s">
        <v>1914</v>
      </c>
      <c r="C589" s="1056">
        <f t="shared" si="357"/>
        <v>3642204</v>
      </c>
      <c r="D589" s="1056">
        <f t="shared" si="358"/>
        <v>0</v>
      </c>
      <c r="E589" s="1291">
        <v>0</v>
      </c>
      <c r="F589" s="1109">
        <v>0</v>
      </c>
      <c r="G589" s="1109">
        <v>0</v>
      </c>
      <c r="H589" s="1109">
        <v>0</v>
      </c>
      <c r="I589" s="1109">
        <v>0</v>
      </c>
      <c r="J589" s="1109">
        <v>0</v>
      </c>
      <c r="K589" s="1109">
        <v>0</v>
      </c>
      <c r="L589" s="1109">
        <v>0</v>
      </c>
      <c r="M589" s="1109">
        <v>0</v>
      </c>
      <c r="N589" s="1109">
        <v>0</v>
      </c>
      <c r="O589" s="1109">
        <v>913</v>
      </c>
      <c r="P589" s="1109">
        <v>3377653</v>
      </c>
      <c r="Q589" s="1109">
        <v>0</v>
      </c>
      <c r="R589" s="1109">
        <v>0</v>
      </c>
      <c r="S589" s="1109">
        <v>0</v>
      </c>
      <c r="T589" s="1109">
        <v>0</v>
      </c>
      <c r="U589" s="1109">
        <v>0</v>
      </c>
      <c r="V589" s="1109">
        <v>0</v>
      </c>
      <c r="W589" s="1109">
        <v>0</v>
      </c>
      <c r="X589" s="1109">
        <v>0</v>
      </c>
      <c r="Y589" s="1109">
        <v>0</v>
      </c>
      <c r="Z589" s="1109">
        <v>264551</v>
      </c>
      <c r="AA589" s="1291">
        <v>0</v>
      </c>
    </row>
    <row r="590" spans="1:27" s="1064" customFormat="1" ht="102.75" customHeight="1">
      <c r="A590" s="1322">
        <v>112</v>
      </c>
      <c r="B590" s="1233" t="s">
        <v>1915</v>
      </c>
      <c r="C590" s="1056">
        <f t="shared" si="357"/>
        <v>1661291</v>
      </c>
      <c r="D590" s="1056">
        <f t="shared" si="358"/>
        <v>0</v>
      </c>
      <c r="E590" s="1291">
        <v>0</v>
      </c>
      <c r="F590" s="1109">
        <v>0</v>
      </c>
      <c r="G590" s="1109">
        <v>0</v>
      </c>
      <c r="H590" s="1109">
        <v>0</v>
      </c>
      <c r="I590" s="1109">
        <v>0</v>
      </c>
      <c r="J590" s="1109">
        <v>0</v>
      </c>
      <c r="K590" s="1109">
        <v>0</v>
      </c>
      <c r="L590" s="1109">
        <v>0</v>
      </c>
      <c r="M590" s="1109">
        <v>0</v>
      </c>
      <c r="N590" s="1109">
        <v>0</v>
      </c>
      <c r="O590" s="1109">
        <v>340.1</v>
      </c>
      <c r="P590" s="1109">
        <v>1540623</v>
      </c>
      <c r="Q590" s="1109">
        <v>0</v>
      </c>
      <c r="R590" s="1109">
        <v>0</v>
      </c>
      <c r="S590" s="1109">
        <v>0</v>
      </c>
      <c r="T590" s="1109">
        <v>0</v>
      </c>
      <c r="U590" s="1109">
        <v>0</v>
      </c>
      <c r="V590" s="1109">
        <v>0</v>
      </c>
      <c r="W590" s="1109">
        <v>0</v>
      </c>
      <c r="X590" s="1109">
        <v>0</v>
      </c>
      <c r="Y590" s="1109">
        <v>0</v>
      </c>
      <c r="Z590" s="1109">
        <v>120668</v>
      </c>
      <c r="AA590" s="1291">
        <v>0</v>
      </c>
    </row>
    <row r="591" spans="1:27" s="1064" customFormat="1" ht="102.75" customHeight="1">
      <c r="A591" s="1322">
        <v>113</v>
      </c>
      <c r="B591" s="1233" t="s">
        <v>1916</v>
      </c>
      <c r="C591" s="1056">
        <f t="shared" si="357"/>
        <v>495540</v>
      </c>
      <c r="D591" s="1056">
        <f t="shared" si="358"/>
        <v>191554</v>
      </c>
      <c r="E591" s="1291">
        <v>0</v>
      </c>
      <c r="F591" s="1109">
        <v>0</v>
      </c>
      <c r="G591" s="1109">
        <v>0</v>
      </c>
      <c r="H591" s="1109">
        <v>191554</v>
      </c>
      <c r="I591" s="1109">
        <v>0</v>
      </c>
      <c r="J591" s="1109">
        <v>0</v>
      </c>
      <c r="K591" s="1109">
        <v>0</v>
      </c>
      <c r="L591" s="1109">
        <v>0</v>
      </c>
      <c r="M591" s="1109">
        <v>0</v>
      </c>
      <c r="N591" s="1109">
        <v>0</v>
      </c>
      <c r="O591" s="1109">
        <v>0</v>
      </c>
      <c r="P591" s="1109">
        <v>0</v>
      </c>
      <c r="Q591" s="1109">
        <v>0</v>
      </c>
      <c r="R591" s="1109">
        <v>0</v>
      </c>
      <c r="S591" s="1109">
        <v>108.6</v>
      </c>
      <c r="T591" s="1109">
        <v>267993</v>
      </c>
      <c r="U591" s="1109">
        <v>0</v>
      </c>
      <c r="V591" s="1109">
        <v>0</v>
      </c>
      <c r="W591" s="1109">
        <v>0</v>
      </c>
      <c r="X591" s="1109">
        <v>0</v>
      </c>
      <c r="Y591" s="1109">
        <v>0</v>
      </c>
      <c r="Z591" s="1109">
        <v>35993</v>
      </c>
      <c r="AA591" s="1291">
        <v>0</v>
      </c>
    </row>
    <row r="592" spans="1:27" s="1064" customFormat="1" ht="102.75" customHeight="1">
      <c r="A592" s="1322">
        <v>114</v>
      </c>
      <c r="B592" s="1233" t="s">
        <v>1917</v>
      </c>
      <c r="C592" s="1056">
        <f t="shared" si="357"/>
        <v>2869710</v>
      </c>
      <c r="D592" s="1056">
        <f t="shared" si="358"/>
        <v>0</v>
      </c>
      <c r="E592" s="1291">
        <v>0</v>
      </c>
      <c r="F592" s="1109">
        <v>0</v>
      </c>
      <c r="G592" s="1109">
        <v>0</v>
      </c>
      <c r="H592" s="1109">
        <v>0</v>
      </c>
      <c r="I592" s="1109">
        <v>0</v>
      </c>
      <c r="J592" s="1109">
        <v>0</v>
      </c>
      <c r="K592" s="1109">
        <v>0</v>
      </c>
      <c r="L592" s="1109">
        <v>0</v>
      </c>
      <c r="M592" s="1109">
        <v>0</v>
      </c>
      <c r="N592" s="1109">
        <v>0</v>
      </c>
      <c r="O592" s="1109">
        <v>0</v>
      </c>
      <c r="P592" s="1109">
        <v>0</v>
      </c>
      <c r="Q592" s="1109">
        <v>0</v>
      </c>
      <c r="R592" s="1109">
        <v>0</v>
      </c>
      <c r="S592" s="1109">
        <v>1078.44</v>
      </c>
      <c r="T592" s="1109">
        <v>2661269</v>
      </c>
      <c r="U592" s="1109">
        <v>0</v>
      </c>
      <c r="V592" s="1109">
        <v>0</v>
      </c>
      <c r="W592" s="1109">
        <v>0</v>
      </c>
      <c r="X592" s="1109">
        <v>0</v>
      </c>
      <c r="Y592" s="1109">
        <v>0</v>
      </c>
      <c r="Z592" s="1109">
        <v>208441</v>
      </c>
      <c r="AA592" s="1291">
        <v>0</v>
      </c>
    </row>
    <row r="593" spans="1:27" s="1064" customFormat="1" ht="102.75" customHeight="1">
      <c r="A593" s="1322">
        <v>115</v>
      </c>
      <c r="B593" s="1233" t="s">
        <v>1918</v>
      </c>
      <c r="C593" s="1056">
        <f t="shared" si="357"/>
        <v>197678</v>
      </c>
      <c r="D593" s="1056">
        <f t="shared" ref="D593:D636" si="359">SUM(E593:J593)</f>
        <v>0</v>
      </c>
      <c r="E593" s="1291">
        <v>0</v>
      </c>
      <c r="F593" s="1109">
        <v>0</v>
      </c>
      <c r="G593" s="1109">
        <v>0</v>
      </c>
      <c r="H593" s="1109">
        <v>0</v>
      </c>
      <c r="I593" s="1109">
        <v>0</v>
      </c>
      <c r="J593" s="1109">
        <v>0</v>
      </c>
      <c r="K593" s="1109">
        <v>0</v>
      </c>
      <c r="L593" s="1109">
        <v>0</v>
      </c>
      <c r="M593" s="1109">
        <v>0</v>
      </c>
      <c r="N593" s="1109">
        <v>0</v>
      </c>
      <c r="O593" s="1109">
        <v>0</v>
      </c>
      <c r="P593" s="1109">
        <v>0</v>
      </c>
      <c r="Q593" s="1109">
        <v>0</v>
      </c>
      <c r="R593" s="1109">
        <v>0</v>
      </c>
      <c r="S593" s="1109">
        <v>0</v>
      </c>
      <c r="T593" s="1109">
        <v>0</v>
      </c>
      <c r="U593" s="1109">
        <v>0</v>
      </c>
      <c r="V593" s="1109">
        <v>0</v>
      </c>
      <c r="W593" s="1109"/>
      <c r="X593" s="1292"/>
      <c r="Y593" s="1279">
        <v>0</v>
      </c>
      <c r="Z593" s="1109">
        <v>197678</v>
      </c>
      <c r="AA593" s="1291">
        <v>0</v>
      </c>
    </row>
    <row r="594" spans="1:27" s="1064" customFormat="1" ht="102.75" customHeight="1">
      <c r="A594" s="1322">
        <v>116</v>
      </c>
      <c r="B594" s="1233" t="s">
        <v>1919</v>
      </c>
      <c r="C594" s="1056">
        <f t="shared" si="357"/>
        <v>1532993</v>
      </c>
      <c r="D594" s="1056">
        <f t="shared" si="359"/>
        <v>0</v>
      </c>
      <c r="E594" s="1291">
        <v>0</v>
      </c>
      <c r="F594" s="1109">
        <v>0</v>
      </c>
      <c r="G594" s="1109">
        <v>0</v>
      </c>
      <c r="H594" s="1109">
        <v>0</v>
      </c>
      <c r="I594" s="1109">
        <v>0</v>
      </c>
      <c r="J594" s="1109">
        <v>0</v>
      </c>
      <c r="K594" s="1109">
        <v>0</v>
      </c>
      <c r="L594" s="1109">
        <v>0</v>
      </c>
      <c r="M594" s="1109">
        <v>0</v>
      </c>
      <c r="N594" s="1109">
        <v>0</v>
      </c>
      <c r="O594" s="1109">
        <v>0</v>
      </c>
      <c r="P594" s="1109">
        <v>0</v>
      </c>
      <c r="Q594" s="1109">
        <v>0</v>
      </c>
      <c r="R594" s="1109">
        <v>0</v>
      </c>
      <c r="S594" s="1109">
        <v>576.1</v>
      </c>
      <c r="T594" s="1109">
        <v>1421644</v>
      </c>
      <c r="U594" s="1109">
        <v>0</v>
      </c>
      <c r="V594" s="1109">
        <v>0</v>
      </c>
      <c r="W594" s="1109">
        <v>0</v>
      </c>
      <c r="X594" s="1109">
        <v>0</v>
      </c>
      <c r="Y594" s="1109">
        <v>0</v>
      </c>
      <c r="Z594" s="1109">
        <v>111349</v>
      </c>
      <c r="AA594" s="1291">
        <v>0</v>
      </c>
    </row>
    <row r="595" spans="1:27" s="1064" customFormat="1" ht="102.75" customHeight="1">
      <c r="A595" s="1322">
        <v>117</v>
      </c>
      <c r="B595" s="1233" t="s">
        <v>1920</v>
      </c>
      <c r="C595" s="1056">
        <f t="shared" si="357"/>
        <v>1996706.0319999999</v>
      </c>
      <c r="D595" s="1056">
        <f t="shared" si="359"/>
        <v>1851675.632</v>
      </c>
      <c r="E595" s="1291">
        <v>0</v>
      </c>
      <c r="F595" s="1109">
        <v>0</v>
      </c>
      <c r="G595" s="1109">
        <v>0</v>
      </c>
      <c r="H595" s="1109">
        <v>1851675.632</v>
      </c>
      <c r="I595" s="1109">
        <v>0</v>
      </c>
      <c r="J595" s="1109">
        <v>0</v>
      </c>
      <c r="K595" s="1109">
        <v>0</v>
      </c>
      <c r="L595" s="1109">
        <v>0</v>
      </c>
      <c r="M595" s="1109">
        <v>0</v>
      </c>
      <c r="N595" s="1109">
        <v>0</v>
      </c>
      <c r="O595" s="1109">
        <v>0</v>
      </c>
      <c r="P595" s="1109">
        <v>0</v>
      </c>
      <c r="Q595" s="1109">
        <v>0</v>
      </c>
      <c r="R595" s="1109">
        <v>0</v>
      </c>
      <c r="S595" s="1109">
        <v>0</v>
      </c>
      <c r="T595" s="1109">
        <v>0</v>
      </c>
      <c r="U595" s="1109">
        <v>0</v>
      </c>
      <c r="V595" s="1109">
        <v>0</v>
      </c>
      <c r="W595" s="1109">
        <v>0</v>
      </c>
      <c r="X595" s="1109">
        <v>0</v>
      </c>
      <c r="Y595" s="1109">
        <v>0</v>
      </c>
      <c r="Z595" s="1109">
        <v>145030.39999999999</v>
      </c>
      <c r="AA595" s="1291">
        <v>0</v>
      </c>
    </row>
    <row r="596" spans="1:27" s="1064" customFormat="1" ht="102.75" customHeight="1">
      <c r="A596" s="1322">
        <v>118</v>
      </c>
      <c r="B596" s="1233" t="s">
        <v>1921</v>
      </c>
      <c r="C596" s="1056">
        <f t="shared" si="357"/>
        <v>2589668</v>
      </c>
      <c r="D596" s="1056">
        <f t="shared" si="359"/>
        <v>0</v>
      </c>
      <c r="E596" s="1291">
        <v>0</v>
      </c>
      <c r="F596" s="1109">
        <v>0</v>
      </c>
      <c r="G596" s="1109">
        <v>0</v>
      </c>
      <c r="H596" s="1109">
        <v>0</v>
      </c>
      <c r="I596" s="1109">
        <v>0</v>
      </c>
      <c r="J596" s="1109">
        <v>0</v>
      </c>
      <c r="K596" s="1109">
        <v>0</v>
      </c>
      <c r="L596" s="1109">
        <v>0</v>
      </c>
      <c r="M596" s="1109">
        <v>0</v>
      </c>
      <c r="N596" s="1109">
        <v>0</v>
      </c>
      <c r="O596" s="1109">
        <v>0</v>
      </c>
      <c r="P596" s="1109">
        <v>0</v>
      </c>
      <c r="Q596" s="1109">
        <v>0</v>
      </c>
      <c r="R596" s="1109">
        <v>0</v>
      </c>
      <c r="S596" s="1109">
        <v>973.2</v>
      </c>
      <c r="T596" s="1109">
        <v>2401568</v>
      </c>
      <c r="U596" s="1109">
        <v>0</v>
      </c>
      <c r="V596" s="1109">
        <v>0</v>
      </c>
      <c r="W596" s="1109">
        <v>0</v>
      </c>
      <c r="X596" s="1109">
        <v>0</v>
      </c>
      <c r="Y596" s="1109">
        <v>0</v>
      </c>
      <c r="Z596" s="1109">
        <v>188100</v>
      </c>
      <c r="AA596" s="1291">
        <v>0</v>
      </c>
    </row>
    <row r="597" spans="1:27" s="1064" customFormat="1" ht="102.75" customHeight="1">
      <c r="A597" s="1322">
        <v>119</v>
      </c>
      <c r="B597" s="1233" t="s">
        <v>1922</v>
      </c>
      <c r="C597" s="1056">
        <f t="shared" si="357"/>
        <v>2672049</v>
      </c>
      <c r="D597" s="1056">
        <f t="shared" si="359"/>
        <v>0</v>
      </c>
      <c r="E597" s="1291">
        <v>0</v>
      </c>
      <c r="F597" s="1109">
        <v>0</v>
      </c>
      <c r="G597" s="1109">
        <v>0</v>
      </c>
      <c r="H597" s="1109">
        <v>0</v>
      </c>
      <c r="I597" s="1109">
        <v>0</v>
      </c>
      <c r="J597" s="1109">
        <v>0</v>
      </c>
      <c r="K597" s="1109">
        <v>0</v>
      </c>
      <c r="L597" s="1109">
        <v>0</v>
      </c>
      <c r="M597" s="1109">
        <v>0</v>
      </c>
      <c r="N597" s="1109">
        <v>0</v>
      </c>
      <c r="O597" s="1109">
        <v>983.4</v>
      </c>
      <c r="P597" s="1109">
        <v>2477965</v>
      </c>
      <c r="Q597" s="1109">
        <v>0</v>
      </c>
      <c r="R597" s="1109">
        <v>0</v>
      </c>
      <c r="S597" s="1109">
        <v>0</v>
      </c>
      <c r="T597" s="1109">
        <v>0</v>
      </c>
      <c r="U597" s="1109">
        <v>0</v>
      </c>
      <c r="V597" s="1109">
        <v>0</v>
      </c>
      <c r="W597" s="1109">
        <v>0</v>
      </c>
      <c r="X597" s="1109">
        <v>0</v>
      </c>
      <c r="Y597" s="1109">
        <v>0</v>
      </c>
      <c r="Z597" s="1109">
        <v>194084</v>
      </c>
      <c r="AA597" s="1291">
        <v>0</v>
      </c>
    </row>
    <row r="598" spans="1:27" s="1064" customFormat="1" ht="102.75" customHeight="1">
      <c r="A598" s="1322">
        <v>120</v>
      </c>
      <c r="B598" s="1233" t="s">
        <v>1923</v>
      </c>
      <c r="C598" s="1056">
        <f t="shared" si="357"/>
        <v>2635861</v>
      </c>
      <c r="D598" s="1056">
        <f t="shared" si="359"/>
        <v>2444406</v>
      </c>
      <c r="E598" s="1291">
        <v>0</v>
      </c>
      <c r="F598" s="1109">
        <v>2444406</v>
      </c>
      <c r="G598" s="1109">
        <v>0</v>
      </c>
      <c r="H598" s="1109">
        <v>0</v>
      </c>
      <c r="I598" s="1109">
        <v>0</v>
      </c>
      <c r="J598" s="1109">
        <v>0</v>
      </c>
      <c r="K598" s="1109">
        <v>0</v>
      </c>
      <c r="L598" s="1109">
        <v>0</v>
      </c>
      <c r="M598" s="1109">
        <v>0</v>
      </c>
      <c r="N598" s="1109">
        <v>0</v>
      </c>
      <c r="O598" s="1109">
        <v>0</v>
      </c>
      <c r="P598" s="1109">
        <v>0</v>
      </c>
      <c r="Q598" s="1109">
        <v>0</v>
      </c>
      <c r="R598" s="1109">
        <v>0</v>
      </c>
      <c r="S598" s="1109">
        <v>0</v>
      </c>
      <c r="T598" s="1109">
        <v>0</v>
      </c>
      <c r="U598" s="1109">
        <v>0</v>
      </c>
      <c r="V598" s="1109">
        <v>0</v>
      </c>
      <c r="W598" s="1109">
        <v>0</v>
      </c>
      <c r="X598" s="1109">
        <v>0</v>
      </c>
      <c r="Y598" s="1109">
        <v>0</v>
      </c>
      <c r="Z598" s="1109">
        <v>191455</v>
      </c>
      <c r="AA598" s="1291">
        <v>0</v>
      </c>
    </row>
    <row r="599" spans="1:27" s="1064" customFormat="1" ht="102.75" customHeight="1">
      <c r="A599" s="1322">
        <v>121</v>
      </c>
      <c r="B599" s="1233" t="s">
        <v>1849</v>
      </c>
      <c r="C599" s="1056">
        <f t="shared" si="357"/>
        <v>272683</v>
      </c>
      <c r="D599" s="1056">
        <f t="shared" si="359"/>
        <v>252877</v>
      </c>
      <c r="E599" s="1291">
        <v>0</v>
      </c>
      <c r="F599" s="1291">
        <v>0</v>
      </c>
      <c r="G599" s="1291">
        <v>0</v>
      </c>
      <c r="H599" s="1291">
        <v>0</v>
      </c>
      <c r="I599" s="1291">
        <v>0</v>
      </c>
      <c r="J599" s="1291">
        <v>252877</v>
      </c>
      <c r="K599" s="1291">
        <v>0</v>
      </c>
      <c r="L599" s="1291">
        <v>0</v>
      </c>
      <c r="M599" s="1291">
        <v>0</v>
      </c>
      <c r="N599" s="1291">
        <v>0</v>
      </c>
      <c r="O599" s="1291">
        <v>0</v>
      </c>
      <c r="P599" s="1291">
        <v>0</v>
      </c>
      <c r="Q599" s="1291">
        <v>0</v>
      </c>
      <c r="R599" s="1291">
        <v>0</v>
      </c>
      <c r="S599" s="1291">
        <v>0</v>
      </c>
      <c r="T599" s="1291">
        <v>0</v>
      </c>
      <c r="U599" s="1291">
        <v>0</v>
      </c>
      <c r="V599" s="1291">
        <v>0</v>
      </c>
      <c r="W599" s="1291">
        <v>0</v>
      </c>
      <c r="X599" s="1291">
        <v>0</v>
      </c>
      <c r="Y599" s="1291">
        <v>0</v>
      </c>
      <c r="Z599" s="1291">
        <v>19806</v>
      </c>
      <c r="AA599" s="1291">
        <v>0</v>
      </c>
    </row>
    <row r="600" spans="1:27" s="1064" customFormat="1" ht="102.75" customHeight="1">
      <c r="A600" s="1322">
        <v>122</v>
      </c>
      <c r="B600" s="1233" t="s">
        <v>1924</v>
      </c>
      <c r="C600" s="1056">
        <f t="shared" si="357"/>
        <v>1275755</v>
      </c>
      <c r="D600" s="1056">
        <f t="shared" si="359"/>
        <v>0</v>
      </c>
      <c r="E600" s="1291">
        <v>0</v>
      </c>
      <c r="F600" s="1291">
        <v>0</v>
      </c>
      <c r="G600" s="1291">
        <v>0</v>
      </c>
      <c r="H600" s="1291">
        <v>0</v>
      </c>
      <c r="I600" s="1291">
        <v>0</v>
      </c>
      <c r="J600" s="1291">
        <v>0</v>
      </c>
      <c r="K600" s="1291">
        <v>0</v>
      </c>
      <c r="L600" s="1291">
        <v>0</v>
      </c>
      <c r="M600" s="1291">
        <v>0</v>
      </c>
      <c r="N600" s="1291">
        <v>0</v>
      </c>
      <c r="O600" s="1291">
        <v>0</v>
      </c>
      <c r="P600" s="1291">
        <v>0</v>
      </c>
      <c r="Q600" s="1291">
        <v>0</v>
      </c>
      <c r="R600" s="1291">
        <v>0</v>
      </c>
      <c r="S600" s="1291">
        <v>479.43</v>
      </c>
      <c r="T600" s="1291">
        <v>1183091</v>
      </c>
      <c r="U600" s="1291">
        <v>0</v>
      </c>
      <c r="V600" s="1291">
        <v>0</v>
      </c>
      <c r="W600" s="1291">
        <v>0</v>
      </c>
      <c r="X600" s="1291">
        <v>0</v>
      </c>
      <c r="Y600" s="1291">
        <v>0</v>
      </c>
      <c r="Z600" s="1291">
        <v>92664</v>
      </c>
      <c r="AA600" s="1291">
        <v>0</v>
      </c>
    </row>
    <row r="601" spans="1:27" s="1080" customFormat="1" ht="102.75" customHeight="1">
      <c r="A601" s="1322">
        <v>123</v>
      </c>
      <c r="B601" s="1233" t="s">
        <v>1925</v>
      </c>
      <c r="C601" s="1056">
        <f t="shared" si="357"/>
        <v>2658432.25</v>
      </c>
      <c r="D601" s="1056">
        <f t="shared" si="359"/>
        <v>0</v>
      </c>
      <c r="E601" s="1291">
        <v>0</v>
      </c>
      <c r="F601" s="1291">
        <v>0</v>
      </c>
      <c r="G601" s="1291">
        <v>0</v>
      </c>
      <c r="H601" s="1291">
        <v>0</v>
      </c>
      <c r="I601" s="1291">
        <v>0</v>
      </c>
      <c r="J601" s="1291">
        <v>0</v>
      </c>
      <c r="K601" s="1291">
        <v>0</v>
      </c>
      <c r="L601" s="1291">
        <v>0</v>
      </c>
      <c r="M601" s="1291">
        <v>0</v>
      </c>
      <c r="N601" s="1291">
        <v>0</v>
      </c>
      <c r="O601" s="1291">
        <v>623.53</v>
      </c>
      <c r="P601" s="1291">
        <v>2465337.48</v>
      </c>
      <c r="Q601" s="1291">
        <v>0</v>
      </c>
      <c r="R601" s="1291">
        <v>0</v>
      </c>
      <c r="S601" s="1291">
        <v>0</v>
      </c>
      <c r="T601" s="1291">
        <v>0</v>
      </c>
      <c r="U601" s="1291">
        <v>0</v>
      </c>
      <c r="V601" s="1291">
        <v>0</v>
      </c>
      <c r="W601" s="1291">
        <v>0</v>
      </c>
      <c r="X601" s="1291">
        <v>0</v>
      </c>
      <c r="Y601" s="1291">
        <v>0</v>
      </c>
      <c r="Z601" s="1291">
        <v>193094.77</v>
      </c>
      <c r="AA601" s="1291">
        <v>0</v>
      </c>
    </row>
    <row r="602" spans="1:27" s="1064" customFormat="1" ht="102.75" customHeight="1">
      <c r="A602" s="1322">
        <v>124</v>
      </c>
      <c r="B602" s="1233" t="s">
        <v>1926</v>
      </c>
      <c r="C602" s="1056">
        <f t="shared" si="357"/>
        <v>6099267</v>
      </c>
      <c r="D602" s="1056">
        <f t="shared" si="359"/>
        <v>0</v>
      </c>
      <c r="E602" s="1291">
        <v>0</v>
      </c>
      <c r="F602" s="1291">
        <v>0</v>
      </c>
      <c r="G602" s="1291">
        <v>0</v>
      </c>
      <c r="H602" s="1291">
        <v>0</v>
      </c>
      <c r="I602" s="1291">
        <v>0</v>
      </c>
      <c r="J602" s="1291">
        <v>0</v>
      </c>
      <c r="K602" s="1291">
        <v>0</v>
      </c>
      <c r="L602" s="1291">
        <v>0</v>
      </c>
      <c r="M602" s="1291">
        <v>0</v>
      </c>
      <c r="N602" s="1291">
        <v>0</v>
      </c>
      <c r="O602" s="1291">
        <v>0</v>
      </c>
      <c r="P602" s="1291">
        <v>0</v>
      </c>
      <c r="Q602" s="1291">
        <v>0</v>
      </c>
      <c r="R602" s="1291">
        <v>0</v>
      </c>
      <c r="S602" s="1291">
        <v>0</v>
      </c>
      <c r="T602" s="1291">
        <v>0</v>
      </c>
      <c r="U602" s="1291">
        <v>1180</v>
      </c>
      <c r="V602" s="1291">
        <v>5656248</v>
      </c>
      <c r="W602" s="1291">
        <v>0</v>
      </c>
      <c r="X602" s="1291">
        <v>0</v>
      </c>
      <c r="Y602" s="1291">
        <v>0</v>
      </c>
      <c r="Z602" s="1291">
        <v>443019</v>
      </c>
      <c r="AA602" s="1291">
        <v>0</v>
      </c>
    </row>
    <row r="603" spans="1:27" s="1064" customFormat="1" ht="102.75" customHeight="1">
      <c r="A603" s="1322">
        <v>125</v>
      </c>
      <c r="B603" s="1233" t="s">
        <v>1927</v>
      </c>
      <c r="C603" s="1056">
        <f t="shared" si="357"/>
        <v>13068971</v>
      </c>
      <c r="D603" s="1056">
        <f t="shared" si="359"/>
        <v>0</v>
      </c>
      <c r="E603" s="1291">
        <v>0</v>
      </c>
      <c r="F603" s="1291">
        <v>0</v>
      </c>
      <c r="G603" s="1291">
        <v>0</v>
      </c>
      <c r="H603" s="1291">
        <v>0</v>
      </c>
      <c r="I603" s="1291">
        <v>0</v>
      </c>
      <c r="J603" s="1291">
        <v>0</v>
      </c>
      <c r="K603" s="1291">
        <v>0</v>
      </c>
      <c r="L603" s="1291">
        <v>0</v>
      </c>
      <c r="M603" s="1291">
        <v>0</v>
      </c>
      <c r="N603" s="1291">
        <v>0</v>
      </c>
      <c r="O603" s="1291">
        <v>0</v>
      </c>
      <c r="P603" s="1291">
        <v>0</v>
      </c>
      <c r="Q603" s="1291">
        <v>0</v>
      </c>
      <c r="R603" s="1291">
        <v>0</v>
      </c>
      <c r="S603" s="1291">
        <v>0</v>
      </c>
      <c r="T603" s="1291">
        <v>0</v>
      </c>
      <c r="U603" s="1291">
        <v>2528.4</v>
      </c>
      <c r="V603" s="1291">
        <v>12119709</v>
      </c>
      <c r="W603" s="1291">
        <v>0</v>
      </c>
      <c r="X603" s="1291">
        <v>0</v>
      </c>
      <c r="Y603" s="1291">
        <v>0</v>
      </c>
      <c r="Z603" s="1291">
        <v>949262</v>
      </c>
      <c r="AA603" s="1291">
        <v>0</v>
      </c>
    </row>
    <row r="604" spans="1:27" s="1064" customFormat="1" ht="102.75" customHeight="1">
      <c r="A604" s="1322">
        <v>126</v>
      </c>
      <c r="B604" s="1233" t="s">
        <v>1928</v>
      </c>
      <c r="C604" s="1056">
        <f t="shared" si="357"/>
        <v>486594</v>
      </c>
      <c r="D604" s="1056">
        <f t="shared" si="359"/>
        <v>451250</v>
      </c>
      <c r="E604" s="1291">
        <v>0</v>
      </c>
      <c r="F604" s="1291">
        <v>0</v>
      </c>
      <c r="G604" s="1291">
        <v>451250</v>
      </c>
      <c r="H604" s="1291">
        <v>0</v>
      </c>
      <c r="I604" s="1291">
        <v>0</v>
      </c>
      <c r="J604" s="1291">
        <v>0</v>
      </c>
      <c r="K604" s="1291">
        <v>0</v>
      </c>
      <c r="L604" s="1291">
        <v>0</v>
      </c>
      <c r="M604" s="1291">
        <v>0</v>
      </c>
      <c r="N604" s="1291">
        <v>0</v>
      </c>
      <c r="O604" s="1291">
        <v>0</v>
      </c>
      <c r="P604" s="1291">
        <v>0</v>
      </c>
      <c r="Q604" s="1291">
        <v>0</v>
      </c>
      <c r="R604" s="1291">
        <v>0</v>
      </c>
      <c r="S604" s="1291">
        <v>0</v>
      </c>
      <c r="T604" s="1291">
        <v>0</v>
      </c>
      <c r="U604" s="1291">
        <v>0</v>
      </c>
      <c r="V604" s="1291">
        <v>0</v>
      </c>
      <c r="W604" s="1291">
        <v>0</v>
      </c>
      <c r="X604" s="1291">
        <v>0</v>
      </c>
      <c r="Y604" s="1291">
        <v>0</v>
      </c>
      <c r="Z604" s="1291">
        <v>35344</v>
      </c>
      <c r="AA604" s="1291">
        <v>0</v>
      </c>
    </row>
    <row r="605" spans="1:27" s="1064" customFormat="1" ht="102.75" customHeight="1">
      <c r="A605" s="1322">
        <v>127</v>
      </c>
      <c r="B605" s="1233" t="s">
        <v>1929</v>
      </c>
      <c r="C605" s="1056">
        <f t="shared" si="357"/>
        <v>5258538</v>
      </c>
      <c r="D605" s="1056">
        <f t="shared" si="359"/>
        <v>4876585</v>
      </c>
      <c r="E605" s="1291">
        <v>4876585</v>
      </c>
      <c r="F605" s="1291">
        <v>0</v>
      </c>
      <c r="G605" s="1291">
        <v>0</v>
      </c>
      <c r="H605" s="1291">
        <v>0</v>
      </c>
      <c r="I605" s="1291">
        <v>0</v>
      </c>
      <c r="J605" s="1291">
        <v>0</v>
      </c>
      <c r="K605" s="1291">
        <v>0</v>
      </c>
      <c r="L605" s="1291">
        <v>0</v>
      </c>
      <c r="M605" s="1291">
        <v>0</v>
      </c>
      <c r="N605" s="1291">
        <v>0</v>
      </c>
      <c r="O605" s="1291">
        <v>0</v>
      </c>
      <c r="P605" s="1291">
        <v>0</v>
      </c>
      <c r="Q605" s="1291">
        <v>0</v>
      </c>
      <c r="R605" s="1291">
        <v>0</v>
      </c>
      <c r="S605" s="1291">
        <v>0</v>
      </c>
      <c r="T605" s="1291">
        <v>0</v>
      </c>
      <c r="U605" s="1291">
        <v>0</v>
      </c>
      <c r="V605" s="1291">
        <v>0</v>
      </c>
      <c r="W605" s="1291">
        <v>0</v>
      </c>
      <c r="X605" s="1291">
        <v>0</v>
      </c>
      <c r="Y605" s="1291">
        <v>0</v>
      </c>
      <c r="Z605" s="1291">
        <v>381953</v>
      </c>
      <c r="AA605" s="1291">
        <v>0</v>
      </c>
    </row>
    <row r="606" spans="1:27" s="1064" customFormat="1" ht="102.75" customHeight="1">
      <c r="A606" s="1322">
        <v>128</v>
      </c>
      <c r="B606" s="1233" t="s">
        <v>1930</v>
      </c>
      <c r="C606" s="1056">
        <f t="shared" si="357"/>
        <v>2423166</v>
      </c>
      <c r="D606" s="1056">
        <f t="shared" si="359"/>
        <v>0</v>
      </c>
      <c r="E606" s="1291">
        <v>0</v>
      </c>
      <c r="F606" s="1291">
        <v>0</v>
      </c>
      <c r="G606" s="1291">
        <v>0</v>
      </c>
      <c r="H606" s="1291">
        <v>0</v>
      </c>
      <c r="I606" s="1291">
        <v>0</v>
      </c>
      <c r="J606" s="1291">
        <v>0</v>
      </c>
      <c r="K606" s="1291">
        <v>0</v>
      </c>
      <c r="L606" s="1291">
        <v>0</v>
      </c>
      <c r="M606" s="1291">
        <v>0</v>
      </c>
      <c r="N606" s="1291">
        <v>0</v>
      </c>
      <c r="O606" s="1291">
        <v>0</v>
      </c>
      <c r="P606" s="1291">
        <v>0</v>
      </c>
      <c r="Q606" s="1291">
        <v>0</v>
      </c>
      <c r="R606" s="1291">
        <v>0</v>
      </c>
      <c r="S606" s="1291">
        <v>0</v>
      </c>
      <c r="T606" s="1291">
        <v>0</v>
      </c>
      <c r="U606" s="1291">
        <v>486.8</v>
      </c>
      <c r="V606" s="1291">
        <v>2247160</v>
      </c>
      <c r="W606" s="1291">
        <v>0</v>
      </c>
      <c r="X606" s="1291">
        <v>0</v>
      </c>
      <c r="Y606" s="1291">
        <v>0</v>
      </c>
      <c r="Z606" s="1291">
        <v>176006</v>
      </c>
      <c r="AA606" s="1291">
        <v>0</v>
      </c>
    </row>
    <row r="607" spans="1:27" s="1064" customFormat="1" ht="102.75" customHeight="1">
      <c r="A607" s="1322">
        <v>129</v>
      </c>
      <c r="B607" s="1233" t="s">
        <v>1931</v>
      </c>
      <c r="C607" s="1056">
        <f t="shared" si="357"/>
        <v>701336</v>
      </c>
      <c r="D607" s="1056">
        <f t="shared" si="359"/>
        <v>650395</v>
      </c>
      <c r="E607" s="1291">
        <v>0</v>
      </c>
      <c r="F607" s="1291">
        <v>0</v>
      </c>
      <c r="G607" s="1291">
        <v>0</v>
      </c>
      <c r="H607" s="1291">
        <v>0</v>
      </c>
      <c r="I607" s="1291">
        <v>0</v>
      </c>
      <c r="J607" s="1291">
        <v>650395</v>
      </c>
      <c r="K607" s="1291">
        <v>0</v>
      </c>
      <c r="L607" s="1291">
        <v>0</v>
      </c>
      <c r="M607" s="1291">
        <v>0</v>
      </c>
      <c r="N607" s="1291">
        <v>0</v>
      </c>
      <c r="O607" s="1291">
        <v>0</v>
      </c>
      <c r="P607" s="1291">
        <v>0</v>
      </c>
      <c r="Q607" s="1291">
        <v>0</v>
      </c>
      <c r="R607" s="1291">
        <v>0</v>
      </c>
      <c r="S607" s="1291">
        <v>0</v>
      </c>
      <c r="T607" s="1291">
        <v>0</v>
      </c>
      <c r="U607" s="1291">
        <v>0</v>
      </c>
      <c r="V607" s="1291">
        <v>0</v>
      </c>
      <c r="W607" s="1291">
        <v>0</v>
      </c>
      <c r="X607" s="1291">
        <v>0</v>
      </c>
      <c r="Y607" s="1291">
        <v>0</v>
      </c>
      <c r="Z607" s="1291">
        <v>50941</v>
      </c>
      <c r="AA607" s="1291">
        <v>0</v>
      </c>
    </row>
    <row r="608" spans="1:27" s="1064" customFormat="1" ht="102.75" customHeight="1">
      <c r="A608" s="1322">
        <v>130</v>
      </c>
      <c r="B608" s="1233" t="s">
        <v>1932</v>
      </c>
      <c r="C608" s="1056">
        <f t="shared" ref="C608:C639" si="360">D608+L608+N608+P608+R608+T608+V608+X608+Z608</f>
        <v>13772351</v>
      </c>
      <c r="D608" s="1056">
        <f t="shared" si="359"/>
        <v>0</v>
      </c>
      <c r="E608" s="1291">
        <v>0</v>
      </c>
      <c r="F608" s="1291">
        <v>0</v>
      </c>
      <c r="G608" s="1291">
        <v>0</v>
      </c>
      <c r="H608" s="1291">
        <v>0</v>
      </c>
      <c r="I608" s="1291">
        <v>0</v>
      </c>
      <c r="J608" s="1291">
        <v>0</v>
      </c>
      <c r="K608" s="1291">
        <v>0</v>
      </c>
      <c r="L608" s="1291">
        <v>0</v>
      </c>
      <c r="M608" s="1291">
        <v>0</v>
      </c>
      <c r="N608" s="1291">
        <v>0</v>
      </c>
      <c r="O608" s="1291">
        <v>0</v>
      </c>
      <c r="P608" s="1291">
        <v>0</v>
      </c>
      <c r="Q608" s="1291">
        <v>0</v>
      </c>
      <c r="R608" s="1291">
        <v>0</v>
      </c>
      <c r="S608" s="1291">
        <v>0</v>
      </c>
      <c r="T608" s="1291">
        <v>0</v>
      </c>
      <c r="U608" s="1291">
        <v>2664.48</v>
      </c>
      <c r="V608" s="1291">
        <v>12771999</v>
      </c>
      <c r="W608" s="1291">
        <v>0</v>
      </c>
      <c r="X608" s="1291">
        <v>0</v>
      </c>
      <c r="Y608" s="1291">
        <v>0</v>
      </c>
      <c r="Z608" s="1291">
        <v>1000352</v>
      </c>
      <c r="AA608" s="1291">
        <v>0</v>
      </c>
    </row>
    <row r="609" spans="1:27" s="1064" customFormat="1" ht="102.75" customHeight="1">
      <c r="A609" s="1322">
        <v>131</v>
      </c>
      <c r="B609" s="1233" t="s">
        <v>1933</v>
      </c>
      <c r="C609" s="1056">
        <f t="shared" si="360"/>
        <v>3753928</v>
      </c>
      <c r="D609" s="1056">
        <f t="shared" si="359"/>
        <v>0</v>
      </c>
      <c r="E609" s="1291">
        <v>0</v>
      </c>
      <c r="F609" s="1291">
        <v>0</v>
      </c>
      <c r="G609" s="1291">
        <v>0</v>
      </c>
      <c r="H609" s="1291">
        <v>0</v>
      </c>
      <c r="I609" s="1291">
        <v>0</v>
      </c>
      <c r="J609" s="1291">
        <v>0</v>
      </c>
      <c r="K609" s="1291">
        <v>0</v>
      </c>
      <c r="L609" s="1291">
        <v>0</v>
      </c>
      <c r="M609" s="1291">
        <v>0</v>
      </c>
      <c r="N609" s="1291">
        <v>0</v>
      </c>
      <c r="O609" s="1291">
        <v>0</v>
      </c>
      <c r="P609" s="1291">
        <v>0</v>
      </c>
      <c r="Q609" s="1291">
        <v>0</v>
      </c>
      <c r="R609" s="1291">
        <v>0</v>
      </c>
      <c r="S609" s="1291">
        <v>1410.73</v>
      </c>
      <c r="T609" s="1291">
        <v>3481262</v>
      </c>
      <c r="U609" s="1291">
        <v>0</v>
      </c>
      <c r="V609" s="1291">
        <v>0</v>
      </c>
      <c r="W609" s="1291">
        <v>0</v>
      </c>
      <c r="X609" s="1291">
        <v>0</v>
      </c>
      <c r="Y609" s="1291">
        <v>0</v>
      </c>
      <c r="Z609" s="1291">
        <v>272666</v>
      </c>
      <c r="AA609" s="1291">
        <v>0</v>
      </c>
    </row>
    <row r="610" spans="1:27" s="1064" customFormat="1" ht="102.75" customHeight="1">
      <c r="A610" s="1322">
        <v>132</v>
      </c>
      <c r="B610" s="1233" t="s">
        <v>1934</v>
      </c>
      <c r="C610" s="1056">
        <f t="shared" si="360"/>
        <v>7862988</v>
      </c>
      <c r="D610" s="1056">
        <f t="shared" si="359"/>
        <v>0</v>
      </c>
      <c r="E610" s="1291">
        <v>0</v>
      </c>
      <c r="F610" s="1291">
        <v>0</v>
      </c>
      <c r="G610" s="1291">
        <v>0</v>
      </c>
      <c r="H610" s="1291">
        <v>0</v>
      </c>
      <c r="I610" s="1291">
        <v>0</v>
      </c>
      <c r="J610" s="1291">
        <v>0</v>
      </c>
      <c r="K610" s="1291">
        <v>0</v>
      </c>
      <c r="L610" s="1291">
        <v>0</v>
      </c>
      <c r="M610" s="1291">
        <v>0</v>
      </c>
      <c r="N610" s="1291">
        <v>0</v>
      </c>
      <c r="O610" s="1291">
        <v>0</v>
      </c>
      <c r="P610" s="1291">
        <v>0</v>
      </c>
      <c r="Q610" s="1291">
        <v>0</v>
      </c>
      <c r="R610" s="1291">
        <v>0</v>
      </c>
      <c r="S610" s="1291">
        <v>0</v>
      </c>
      <c r="T610" s="1291">
        <v>0</v>
      </c>
      <c r="U610" s="1291">
        <v>1521.22</v>
      </c>
      <c r="V610" s="1291">
        <v>7291861</v>
      </c>
      <c r="W610" s="1291">
        <v>0</v>
      </c>
      <c r="X610" s="1291">
        <v>0</v>
      </c>
      <c r="Y610" s="1291">
        <v>0</v>
      </c>
      <c r="Z610" s="1291">
        <v>571127</v>
      </c>
      <c r="AA610" s="1291">
        <v>0</v>
      </c>
    </row>
    <row r="611" spans="1:27" s="1064" customFormat="1" ht="102.75" customHeight="1">
      <c r="A611" s="1322">
        <v>133</v>
      </c>
      <c r="B611" s="1233" t="s">
        <v>1935</v>
      </c>
      <c r="C611" s="1056">
        <f t="shared" si="360"/>
        <v>13748049.279999999</v>
      </c>
      <c r="D611" s="1056">
        <f t="shared" si="359"/>
        <v>0</v>
      </c>
      <c r="E611" s="1291">
        <v>0</v>
      </c>
      <c r="F611" s="1291">
        <v>0</v>
      </c>
      <c r="G611" s="1291">
        <v>0</v>
      </c>
      <c r="H611" s="1291">
        <v>0</v>
      </c>
      <c r="I611" s="1291">
        <v>0</v>
      </c>
      <c r="J611" s="1291">
        <v>0</v>
      </c>
      <c r="K611" s="1291">
        <v>0</v>
      </c>
      <c r="L611" s="1291">
        <v>0</v>
      </c>
      <c r="M611" s="1291">
        <v>5</v>
      </c>
      <c r="N611" s="1291">
        <v>12749462.08</v>
      </c>
      <c r="O611" s="1291">
        <v>0</v>
      </c>
      <c r="P611" s="1291">
        <v>0</v>
      </c>
      <c r="Q611" s="1291">
        <v>0</v>
      </c>
      <c r="R611" s="1291">
        <v>0</v>
      </c>
      <c r="S611" s="1291">
        <v>0</v>
      </c>
      <c r="T611" s="1291">
        <v>0</v>
      </c>
      <c r="U611" s="1291">
        <v>0</v>
      </c>
      <c r="V611" s="1291">
        <v>0</v>
      </c>
      <c r="W611" s="1291">
        <v>0</v>
      </c>
      <c r="X611" s="1291">
        <v>0</v>
      </c>
      <c r="Y611" s="1291">
        <v>0</v>
      </c>
      <c r="Z611" s="1291">
        <v>998587.2</v>
      </c>
      <c r="AA611" s="1291">
        <v>0</v>
      </c>
    </row>
    <row r="612" spans="1:27" s="1064" customFormat="1" ht="102.75" customHeight="1">
      <c r="A612" s="1322">
        <v>134</v>
      </c>
      <c r="B612" s="1233" t="s">
        <v>1936</v>
      </c>
      <c r="C612" s="1056">
        <f t="shared" si="360"/>
        <v>5499219.71</v>
      </c>
      <c r="D612" s="1056">
        <f t="shared" si="359"/>
        <v>0</v>
      </c>
      <c r="E612" s="1291">
        <v>0</v>
      </c>
      <c r="F612" s="1291">
        <v>0</v>
      </c>
      <c r="G612" s="1291">
        <v>0</v>
      </c>
      <c r="H612" s="1291">
        <v>0</v>
      </c>
      <c r="I612" s="1291">
        <v>0</v>
      </c>
      <c r="J612" s="1291">
        <v>0</v>
      </c>
      <c r="K612" s="1291">
        <v>0</v>
      </c>
      <c r="L612" s="1291">
        <v>0</v>
      </c>
      <c r="M612" s="1291">
        <v>2</v>
      </c>
      <c r="N612" s="1291">
        <v>5099784.83</v>
      </c>
      <c r="O612" s="1291">
        <v>0</v>
      </c>
      <c r="P612" s="1291">
        <v>0</v>
      </c>
      <c r="Q612" s="1291">
        <v>0</v>
      </c>
      <c r="R612" s="1291">
        <v>0</v>
      </c>
      <c r="S612" s="1291">
        <v>0</v>
      </c>
      <c r="T612" s="1291">
        <v>0</v>
      </c>
      <c r="U612" s="1291">
        <v>0</v>
      </c>
      <c r="V612" s="1291">
        <v>0</v>
      </c>
      <c r="W612" s="1291">
        <v>0</v>
      </c>
      <c r="X612" s="1291">
        <v>0</v>
      </c>
      <c r="Y612" s="1291">
        <v>0</v>
      </c>
      <c r="Z612" s="1291">
        <v>399434.88</v>
      </c>
      <c r="AA612" s="1291">
        <v>0</v>
      </c>
    </row>
    <row r="613" spans="1:27" s="1064" customFormat="1" ht="102.75" customHeight="1">
      <c r="A613" s="1322">
        <v>135</v>
      </c>
      <c r="B613" s="1233" t="s">
        <v>1937</v>
      </c>
      <c r="C613" s="1056">
        <f t="shared" si="360"/>
        <v>13748049.279999999</v>
      </c>
      <c r="D613" s="1056">
        <f t="shared" si="359"/>
        <v>0</v>
      </c>
      <c r="E613" s="1291">
        <v>0</v>
      </c>
      <c r="F613" s="1291">
        <v>0</v>
      </c>
      <c r="G613" s="1291">
        <v>0</v>
      </c>
      <c r="H613" s="1291">
        <v>0</v>
      </c>
      <c r="I613" s="1291">
        <v>0</v>
      </c>
      <c r="J613" s="1291">
        <v>0</v>
      </c>
      <c r="K613" s="1291">
        <v>0</v>
      </c>
      <c r="L613" s="1291">
        <v>0</v>
      </c>
      <c r="M613" s="1291">
        <v>5</v>
      </c>
      <c r="N613" s="1291">
        <v>12749462.08</v>
      </c>
      <c r="O613" s="1291">
        <v>0</v>
      </c>
      <c r="P613" s="1291">
        <v>0</v>
      </c>
      <c r="Q613" s="1291">
        <v>0</v>
      </c>
      <c r="R613" s="1291">
        <v>0</v>
      </c>
      <c r="S613" s="1291">
        <v>0</v>
      </c>
      <c r="T613" s="1291">
        <v>0</v>
      </c>
      <c r="U613" s="1291">
        <v>0</v>
      </c>
      <c r="V613" s="1291">
        <v>0</v>
      </c>
      <c r="W613" s="1291">
        <v>0</v>
      </c>
      <c r="X613" s="1291">
        <v>0</v>
      </c>
      <c r="Y613" s="1291">
        <v>0</v>
      </c>
      <c r="Z613" s="1291">
        <v>998587.2</v>
      </c>
      <c r="AA613" s="1291">
        <v>0</v>
      </c>
    </row>
    <row r="614" spans="1:27" s="1064" customFormat="1" ht="102.75" customHeight="1">
      <c r="A614" s="1322">
        <v>136</v>
      </c>
      <c r="B614" s="1233" t="s">
        <v>1938</v>
      </c>
      <c r="C614" s="1056">
        <f t="shared" si="360"/>
        <v>2749609.86</v>
      </c>
      <c r="D614" s="1056">
        <f t="shared" si="359"/>
        <v>0</v>
      </c>
      <c r="E614" s="1291">
        <v>0</v>
      </c>
      <c r="F614" s="1291">
        <v>0</v>
      </c>
      <c r="G614" s="1291">
        <v>0</v>
      </c>
      <c r="H614" s="1291">
        <v>0</v>
      </c>
      <c r="I614" s="1291">
        <v>0</v>
      </c>
      <c r="J614" s="1291">
        <v>0</v>
      </c>
      <c r="K614" s="1291">
        <v>0</v>
      </c>
      <c r="L614" s="1291">
        <v>0</v>
      </c>
      <c r="M614" s="1291">
        <v>1</v>
      </c>
      <c r="N614" s="1291">
        <v>2549892.42</v>
      </c>
      <c r="O614" s="1291">
        <v>0</v>
      </c>
      <c r="P614" s="1291">
        <v>0</v>
      </c>
      <c r="Q614" s="1291">
        <v>0</v>
      </c>
      <c r="R614" s="1291">
        <v>0</v>
      </c>
      <c r="S614" s="1291">
        <v>0</v>
      </c>
      <c r="T614" s="1291">
        <v>0</v>
      </c>
      <c r="U614" s="1291">
        <v>0</v>
      </c>
      <c r="V614" s="1291">
        <v>0</v>
      </c>
      <c r="W614" s="1291">
        <v>0</v>
      </c>
      <c r="X614" s="1291">
        <v>0</v>
      </c>
      <c r="Y614" s="1291">
        <v>0</v>
      </c>
      <c r="Z614" s="1291">
        <v>199717.44</v>
      </c>
      <c r="AA614" s="1291">
        <v>0</v>
      </c>
    </row>
    <row r="615" spans="1:27" s="1064" customFormat="1" ht="102.75" customHeight="1">
      <c r="A615" s="1322">
        <v>137</v>
      </c>
      <c r="B615" s="1233" t="s">
        <v>2115</v>
      </c>
      <c r="C615" s="1056">
        <f t="shared" si="360"/>
        <v>8248829.5700000003</v>
      </c>
      <c r="D615" s="1056">
        <f t="shared" si="359"/>
        <v>0</v>
      </c>
      <c r="E615" s="1291">
        <v>0</v>
      </c>
      <c r="F615" s="1291">
        <v>0</v>
      </c>
      <c r="G615" s="1291">
        <v>0</v>
      </c>
      <c r="H615" s="1291">
        <v>0</v>
      </c>
      <c r="I615" s="1291">
        <v>0</v>
      </c>
      <c r="J615" s="1291">
        <v>0</v>
      </c>
      <c r="K615" s="1291">
        <v>0</v>
      </c>
      <c r="L615" s="1291">
        <v>0</v>
      </c>
      <c r="M615" s="1291">
        <v>3</v>
      </c>
      <c r="N615" s="1291">
        <v>7649677.25</v>
      </c>
      <c r="O615" s="1291">
        <v>0</v>
      </c>
      <c r="P615" s="1291">
        <v>0</v>
      </c>
      <c r="Q615" s="1291">
        <v>0</v>
      </c>
      <c r="R615" s="1291">
        <v>0</v>
      </c>
      <c r="S615" s="1291">
        <v>0</v>
      </c>
      <c r="T615" s="1291">
        <v>0</v>
      </c>
      <c r="U615" s="1291">
        <v>0</v>
      </c>
      <c r="V615" s="1291">
        <v>0</v>
      </c>
      <c r="W615" s="1291">
        <v>0</v>
      </c>
      <c r="X615" s="1291">
        <v>0</v>
      </c>
      <c r="Y615" s="1291">
        <v>0</v>
      </c>
      <c r="Z615" s="1291">
        <v>599152.31999999995</v>
      </c>
      <c r="AA615" s="1291">
        <v>0</v>
      </c>
    </row>
    <row r="616" spans="1:27" s="1064" customFormat="1" ht="102.75" customHeight="1">
      <c r="A616" s="1322">
        <v>138</v>
      </c>
      <c r="B616" s="1233" t="s">
        <v>2152</v>
      </c>
      <c r="C616" s="1056">
        <f t="shared" si="360"/>
        <v>2749609.86</v>
      </c>
      <c r="D616" s="1056">
        <f t="shared" si="359"/>
        <v>0</v>
      </c>
      <c r="E616" s="1291">
        <v>0</v>
      </c>
      <c r="F616" s="1291">
        <v>0</v>
      </c>
      <c r="G616" s="1291">
        <v>0</v>
      </c>
      <c r="H616" s="1291">
        <v>0</v>
      </c>
      <c r="I616" s="1291">
        <v>0</v>
      </c>
      <c r="J616" s="1291">
        <v>0</v>
      </c>
      <c r="K616" s="1291">
        <v>0</v>
      </c>
      <c r="L616" s="1291">
        <v>0</v>
      </c>
      <c r="M616" s="1291">
        <v>1</v>
      </c>
      <c r="N616" s="1291">
        <v>2549892.42</v>
      </c>
      <c r="O616" s="1291">
        <v>0</v>
      </c>
      <c r="P616" s="1291">
        <v>0</v>
      </c>
      <c r="Q616" s="1291">
        <v>0</v>
      </c>
      <c r="R616" s="1291">
        <v>0</v>
      </c>
      <c r="S616" s="1291">
        <v>0</v>
      </c>
      <c r="T616" s="1291">
        <v>0</v>
      </c>
      <c r="U616" s="1291">
        <v>0</v>
      </c>
      <c r="V616" s="1291">
        <v>0</v>
      </c>
      <c r="W616" s="1291">
        <v>0</v>
      </c>
      <c r="X616" s="1291">
        <v>0</v>
      </c>
      <c r="Y616" s="1291">
        <v>0</v>
      </c>
      <c r="Z616" s="1291">
        <v>199717.44</v>
      </c>
      <c r="AA616" s="1291">
        <v>0</v>
      </c>
    </row>
    <row r="617" spans="1:27" s="1064" customFormat="1" ht="102.75" customHeight="1">
      <c r="A617" s="1322">
        <v>139</v>
      </c>
      <c r="B617" s="1233" t="s">
        <v>1939</v>
      </c>
      <c r="C617" s="1056">
        <f t="shared" si="360"/>
        <v>10998439.42</v>
      </c>
      <c r="D617" s="1056">
        <f t="shared" si="359"/>
        <v>0</v>
      </c>
      <c r="E617" s="1291">
        <v>0</v>
      </c>
      <c r="F617" s="1291">
        <v>0</v>
      </c>
      <c r="G617" s="1291">
        <v>0</v>
      </c>
      <c r="H617" s="1291">
        <v>0</v>
      </c>
      <c r="I617" s="1291">
        <v>0</v>
      </c>
      <c r="J617" s="1291">
        <v>0</v>
      </c>
      <c r="K617" s="1291">
        <v>0</v>
      </c>
      <c r="L617" s="1291">
        <v>0</v>
      </c>
      <c r="M617" s="1291">
        <v>4</v>
      </c>
      <c r="N617" s="1291">
        <v>10199569.66</v>
      </c>
      <c r="O617" s="1291">
        <v>0</v>
      </c>
      <c r="P617" s="1291">
        <v>0</v>
      </c>
      <c r="Q617" s="1291">
        <v>0</v>
      </c>
      <c r="R617" s="1291">
        <v>0</v>
      </c>
      <c r="S617" s="1291">
        <v>0</v>
      </c>
      <c r="T617" s="1291">
        <v>0</v>
      </c>
      <c r="U617" s="1291">
        <v>0</v>
      </c>
      <c r="V617" s="1291">
        <v>0</v>
      </c>
      <c r="W617" s="1291">
        <v>0</v>
      </c>
      <c r="X617" s="1291">
        <v>0</v>
      </c>
      <c r="Y617" s="1291">
        <v>0</v>
      </c>
      <c r="Z617" s="1291">
        <v>798869.76</v>
      </c>
      <c r="AA617" s="1291">
        <v>0</v>
      </c>
    </row>
    <row r="618" spans="1:27" s="1064" customFormat="1" ht="102.75" customHeight="1">
      <c r="A618" s="1322">
        <v>140</v>
      </c>
      <c r="B618" s="1233" t="s">
        <v>1940</v>
      </c>
      <c r="C618" s="1056">
        <f t="shared" si="360"/>
        <v>5499219.71</v>
      </c>
      <c r="D618" s="1056">
        <f t="shared" si="359"/>
        <v>0</v>
      </c>
      <c r="E618" s="1291">
        <v>0</v>
      </c>
      <c r="F618" s="1291">
        <v>0</v>
      </c>
      <c r="G618" s="1291">
        <v>0</v>
      </c>
      <c r="H618" s="1291">
        <v>0</v>
      </c>
      <c r="I618" s="1291">
        <v>0</v>
      </c>
      <c r="J618" s="1291">
        <v>0</v>
      </c>
      <c r="K618" s="1291">
        <v>0</v>
      </c>
      <c r="L618" s="1291">
        <v>0</v>
      </c>
      <c r="M618" s="1291">
        <v>2</v>
      </c>
      <c r="N618" s="1291">
        <v>5099784.83</v>
      </c>
      <c r="O618" s="1291">
        <v>0</v>
      </c>
      <c r="P618" s="1291">
        <v>0</v>
      </c>
      <c r="Q618" s="1291">
        <v>0</v>
      </c>
      <c r="R618" s="1291">
        <v>0</v>
      </c>
      <c r="S618" s="1291">
        <v>0</v>
      </c>
      <c r="T618" s="1291">
        <v>0</v>
      </c>
      <c r="U618" s="1291">
        <v>0</v>
      </c>
      <c r="V618" s="1291">
        <v>0</v>
      </c>
      <c r="W618" s="1291">
        <v>0</v>
      </c>
      <c r="X618" s="1291">
        <v>0</v>
      </c>
      <c r="Y618" s="1291">
        <v>0</v>
      </c>
      <c r="Z618" s="1291">
        <v>399434.88</v>
      </c>
      <c r="AA618" s="1291">
        <v>0</v>
      </c>
    </row>
    <row r="619" spans="1:27" s="1064" customFormat="1" ht="102.75" customHeight="1">
      <c r="A619" s="1322">
        <v>141</v>
      </c>
      <c r="B619" s="1233" t="s">
        <v>1941</v>
      </c>
      <c r="C619" s="1056">
        <f t="shared" si="360"/>
        <v>2749609.86</v>
      </c>
      <c r="D619" s="1056">
        <f t="shared" si="359"/>
        <v>0</v>
      </c>
      <c r="E619" s="1291">
        <v>0</v>
      </c>
      <c r="F619" s="1291">
        <v>0</v>
      </c>
      <c r="G619" s="1291">
        <v>0</v>
      </c>
      <c r="H619" s="1291">
        <v>0</v>
      </c>
      <c r="I619" s="1291">
        <v>0</v>
      </c>
      <c r="J619" s="1291">
        <v>0</v>
      </c>
      <c r="K619" s="1291">
        <v>0</v>
      </c>
      <c r="L619" s="1291">
        <v>0</v>
      </c>
      <c r="M619" s="1291">
        <v>1</v>
      </c>
      <c r="N619" s="1291">
        <v>2549892.42</v>
      </c>
      <c r="O619" s="1291">
        <v>0</v>
      </c>
      <c r="P619" s="1291">
        <v>0</v>
      </c>
      <c r="Q619" s="1291">
        <v>0</v>
      </c>
      <c r="R619" s="1291">
        <v>0</v>
      </c>
      <c r="S619" s="1291">
        <v>0</v>
      </c>
      <c r="T619" s="1291">
        <v>0</v>
      </c>
      <c r="U619" s="1291">
        <v>0</v>
      </c>
      <c r="V619" s="1291">
        <v>0</v>
      </c>
      <c r="W619" s="1291">
        <v>0</v>
      </c>
      <c r="X619" s="1291">
        <v>0</v>
      </c>
      <c r="Y619" s="1291">
        <v>0</v>
      </c>
      <c r="Z619" s="1291">
        <v>199717.44</v>
      </c>
      <c r="AA619" s="1291">
        <v>0</v>
      </c>
    </row>
    <row r="620" spans="1:27" s="1064" customFormat="1" ht="102.75" customHeight="1">
      <c r="A620" s="1322">
        <v>142</v>
      </c>
      <c r="B620" s="1233" t="s">
        <v>1942</v>
      </c>
      <c r="C620" s="1056">
        <f t="shared" si="360"/>
        <v>10998439.42</v>
      </c>
      <c r="D620" s="1056">
        <f t="shared" si="359"/>
        <v>0</v>
      </c>
      <c r="E620" s="1291">
        <v>0</v>
      </c>
      <c r="F620" s="1291">
        <v>0</v>
      </c>
      <c r="G620" s="1291">
        <v>0</v>
      </c>
      <c r="H620" s="1291">
        <v>0</v>
      </c>
      <c r="I620" s="1291">
        <v>0</v>
      </c>
      <c r="J620" s="1291">
        <v>0</v>
      </c>
      <c r="K620" s="1291">
        <v>0</v>
      </c>
      <c r="L620" s="1291">
        <v>0</v>
      </c>
      <c r="M620" s="1291">
        <v>4</v>
      </c>
      <c r="N620" s="1291">
        <v>10199569.66</v>
      </c>
      <c r="O620" s="1291">
        <v>0</v>
      </c>
      <c r="P620" s="1291">
        <v>0</v>
      </c>
      <c r="Q620" s="1291">
        <v>0</v>
      </c>
      <c r="R620" s="1291">
        <v>0</v>
      </c>
      <c r="S620" s="1291">
        <v>0</v>
      </c>
      <c r="T620" s="1291">
        <v>0</v>
      </c>
      <c r="U620" s="1291">
        <v>0</v>
      </c>
      <c r="V620" s="1291">
        <v>0</v>
      </c>
      <c r="W620" s="1291">
        <v>0</v>
      </c>
      <c r="X620" s="1291">
        <v>0</v>
      </c>
      <c r="Y620" s="1291">
        <v>0</v>
      </c>
      <c r="Z620" s="1291">
        <v>798869.76</v>
      </c>
      <c r="AA620" s="1291">
        <v>0</v>
      </c>
    </row>
    <row r="621" spans="1:27" s="1064" customFormat="1" ht="102.75" customHeight="1">
      <c r="A621" s="1322">
        <v>143</v>
      </c>
      <c r="B621" s="1233" t="s">
        <v>1943</v>
      </c>
      <c r="C621" s="1056">
        <f t="shared" si="360"/>
        <v>2749609.86</v>
      </c>
      <c r="D621" s="1056">
        <f t="shared" si="359"/>
        <v>0</v>
      </c>
      <c r="E621" s="1291">
        <v>0</v>
      </c>
      <c r="F621" s="1291">
        <v>0</v>
      </c>
      <c r="G621" s="1291">
        <v>0</v>
      </c>
      <c r="H621" s="1291">
        <v>0</v>
      </c>
      <c r="I621" s="1291">
        <v>0</v>
      </c>
      <c r="J621" s="1291">
        <v>0</v>
      </c>
      <c r="K621" s="1291">
        <v>0</v>
      </c>
      <c r="L621" s="1291">
        <v>0</v>
      </c>
      <c r="M621" s="1291">
        <v>1</v>
      </c>
      <c r="N621" s="1291">
        <v>2549892.42</v>
      </c>
      <c r="O621" s="1291">
        <v>0</v>
      </c>
      <c r="P621" s="1291">
        <v>0</v>
      </c>
      <c r="Q621" s="1291">
        <v>0</v>
      </c>
      <c r="R621" s="1291">
        <v>0</v>
      </c>
      <c r="S621" s="1291">
        <v>0</v>
      </c>
      <c r="T621" s="1291">
        <v>0</v>
      </c>
      <c r="U621" s="1291">
        <v>0</v>
      </c>
      <c r="V621" s="1291">
        <v>0</v>
      </c>
      <c r="W621" s="1291">
        <v>0</v>
      </c>
      <c r="X621" s="1291">
        <v>0</v>
      </c>
      <c r="Y621" s="1291">
        <v>0</v>
      </c>
      <c r="Z621" s="1291">
        <v>199717.44</v>
      </c>
      <c r="AA621" s="1291">
        <v>0</v>
      </c>
    </row>
    <row r="622" spans="1:27" s="1064" customFormat="1" ht="102.75" customHeight="1">
      <c r="A622" s="1322">
        <v>144</v>
      </c>
      <c r="B622" s="1055" t="s">
        <v>1944</v>
      </c>
      <c r="C622" s="1056">
        <f t="shared" si="360"/>
        <v>21208937</v>
      </c>
      <c r="D622" s="1056">
        <f t="shared" si="359"/>
        <v>0</v>
      </c>
      <c r="E622" s="1291">
        <v>0</v>
      </c>
      <c r="F622" s="1109">
        <v>0</v>
      </c>
      <c r="G622" s="1291">
        <v>0</v>
      </c>
      <c r="H622" s="1291">
        <v>0</v>
      </c>
      <c r="I622" s="1109">
        <v>0</v>
      </c>
      <c r="J622" s="1291">
        <v>0</v>
      </c>
      <c r="K622" s="1291">
        <v>0</v>
      </c>
      <c r="L622" s="1291">
        <v>0</v>
      </c>
      <c r="M622" s="1291">
        <v>0</v>
      </c>
      <c r="N622" s="1291">
        <v>0</v>
      </c>
      <c r="O622" s="1109">
        <v>1256.7</v>
      </c>
      <c r="P622" s="1109">
        <v>4649175</v>
      </c>
      <c r="Q622" s="1109">
        <v>0</v>
      </c>
      <c r="R622" s="1291">
        <v>0</v>
      </c>
      <c r="S622" s="1109">
        <v>0</v>
      </c>
      <c r="T622" s="1291">
        <v>0</v>
      </c>
      <c r="U622" s="1291">
        <v>3133.3</v>
      </c>
      <c r="V622" s="1109">
        <v>15019255</v>
      </c>
      <c r="W622" s="1109">
        <v>0</v>
      </c>
      <c r="X622" s="1291">
        <v>0</v>
      </c>
      <c r="Y622" s="1291">
        <v>0</v>
      </c>
      <c r="Z622" s="1291">
        <v>1540507</v>
      </c>
      <c r="AA622" s="1291">
        <v>0</v>
      </c>
    </row>
    <row r="623" spans="1:27" s="1064" customFormat="1" ht="102.75" customHeight="1">
      <c r="A623" s="1322">
        <v>145</v>
      </c>
      <c r="B623" s="1233" t="s">
        <v>1869</v>
      </c>
      <c r="C623" s="1056">
        <f t="shared" si="360"/>
        <v>3696801.08</v>
      </c>
      <c r="D623" s="1056">
        <f t="shared" si="359"/>
        <v>3428284.57</v>
      </c>
      <c r="E623" s="1291">
        <v>0</v>
      </c>
      <c r="F623" s="1109">
        <v>0</v>
      </c>
      <c r="G623" s="1291">
        <v>0</v>
      </c>
      <c r="H623" s="1291">
        <v>0</v>
      </c>
      <c r="I623" s="1109">
        <v>0</v>
      </c>
      <c r="J623" s="1109">
        <v>3428284.57</v>
      </c>
      <c r="K623" s="1109">
        <v>0</v>
      </c>
      <c r="L623" s="1291">
        <v>0</v>
      </c>
      <c r="M623" s="1109">
        <v>0</v>
      </c>
      <c r="N623" s="1291">
        <v>0</v>
      </c>
      <c r="O623" s="1109">
        <v>0</v>
      </c>
      <c r="P623" s="1291">
        <v>0</v>
      </c>
      <c r="Q623" s="1291">
        <v>0</v>
      </c>
      <c r="R623" s="1291">
        <v>0</v>
      </c>
      <c r="S623" s="1109">
        <v>0</v>
      </c>
      <c r="T623" s="1291">
        <v>0</v>
      </c>
      <c r="U623" s="1109">
        <v>0</v>
      </c>
      <c r="V623" s="1291">
        <v>0</v>
      </c>
      <c r="W623" s="1109">
        <v>0</v>
      </c>
      <c r="X623" s="1291">
        <v>0</v>
      </c>
      <c r="Y623" s="1291">
        <v>0</v>
      </c>
      <c r="Z623" s="1291">
        <v>268516.51</v>
      </c>
      <c r="AA623" s="1291">
        <v>0</v>
      </c>
    </row>
    <row r="624" spans="1:27" s="1064" customFormat="1" ht="102.75" customHeight="1">
      <c r="A624" s="1322">
        <v>146</v>
      </c>
      <c r="B624" s="1233" t="s">
        <v>1945</v>
      </c>
      <c r="C624" s="1056">
        <f t="shared" si="360"/>
        <v>5106091.2699999996</v>
      </c>
      <c r="D624" s="1056">
        <f t="shared" si="359"/>
        <v>4231102.92</v>
      </c>
      <c r="E624" s="1291">
        <v>0</v>
      </c>
      <c r="F624" s="1109">
        <v>4231102.92</v>
      </c>
      <c r="G624" s="1109">
        <v>0</v>
      </c>
      <c r="H624" s="1291">
        <v>0</v>
      </c>
      <c r="I624" s="1109">
        <v>0</v>
      </c>
      <c r="J624" s="1109">
        <v>0</v>
      </c>
      <c r="K624" s="1109">
        <v>2</v>
      </c>
      <c r="L624" s="1291">
        <v>504109</v>
      </c>
      <c r="M624" s="1109">
        <v>0</v>
      </c>
      <c r="N624" s="1291">
        <v>0</v>
      </c>
      <c r="O624" s="1109">
        <v>0</v>
      </c>
      <c r="P624" s="1291">
        <v>0</v>
      </c>
      <c r="Q624" s="1291">
        <v>0</v>
      </c>
      <c r="R624" s="1291">
        <v>0</v>
      </c>
      <c r="S624" s="1109">
        <v>0</v>
      </c>
      <c r="T624" s="1109">
        <v>0</v>
      </c>
      <c r="U624" s="1109">
        <v>0</v>
      </c>
      <c r="V624" s="1291">
        <v>0</v>
      </c>
      <c r="W624" s="1109">
        <v>0</v>
      </c>
      <c r="X624" s="1291">
        <v>0</v>
      </c>
      <c r="Y624" s="1291">
        <v>0</v>
      </c>
      <c r="Z624" s="1291">
        <v>370879.35</v>
      </c>
      <c r="AA624" s="1291">
        <v>0</v>
      </c>
    </row>
    <row r="625" spans="1:27" s="1064" customFormat="1" ht="102.75" customHeight="1">
      <c r="A625" s="1322">
        <v>147</v>
      </c>
      <c r="B625" s="1233" t="s">
        <v>1946</v>
      </c>
      <c r="C625" s="1056">
        <f t="shared" si="360"/>
        <v>10683407</v>
      </c>
      <c r="D625" s="1056">
        <f t="shared" si="359"/>
        <v>6529766</v>
      </c>
      <c r="E625" s="1291">
        <v>0</v>
      </c>
      <c r="F625" s="1109">
        <v>4703645</v>
      </c>
      <c r="G625" s="1109">
        <v>0</v>
      </c>
      <c r="H625" s="1291">
        <v>0</v>
      </c>
      <c r="I625" s="1109">
        <v>0</v>
      </c>
      <c r="J625" s="1109">
        <v>1826121</v>
      </c>
      <c r="K625" s="1109">
        <v>0</v>
      </c>
      <c r="L625" s="1291">
        <v>0</v>
      </c>
      <c r="M625" s="1109">
        <v>0</v>
      </c>
      <c r="N625" s="1291">
        <v>0</v>
      </c>
      <c r="O625" s="1109">
        <v>913</v>
      </c>
      <c r="P625" s="1291">
        <v>3377653</v>
      </c>
      <c r="Q625" s="1109">
        <v>0</v>
      </c>
      <c r="R625" s="1291">
        <v>0</v>
      </c>
      <c r="S625" s="1109">
        <v>0</v>
      </c>
      <c r="T625" s="1291">
        <v>0</v>
      </c>
      <c r="U625" s="1109">
        <v>0</v>
      </c>
      <c r="V625" s="1291">
        <v>0</v>
      </c>
      <c r="W625" s="1109">
        <v>0</v>
      </c>
      <c r="X625" s="1291">
        <v>0</v>
      </c>
      <c r="Y625" s="1291">
        <v>0</v>
      </c>
      <c r="Z625" s="1291">
        <v>775988</v>
      </c>
      <c r="AA625" s="1291">
        <v>0</v>
      </c>
    </row>
    <row r="626" spans="1:27" s="1064" customFormat="1" ht="102.75" customHeight="1">
      <c r="A626" s="1322">
        <v>148</v>
      </c>
      <c r="B626" s="1233" t="s">
        <v>1947</v>
      </c>
      <c r="C626" s="1056">
        <f t="shared" si="360"/>
        <v>1719275.94</v>
      </c>
      <c r="D626" s="1056">
        <f t="shared" si="359"/>
        <v>0</v>
      </c>
      <c r="E626" s="1291">
        <v>0</v>
      </c>
      <c r="F626" s="1109">
        <v>0</v>
      </c>
      <c r="G626" s="1109">
        <v>0</v>
      </c>
      <c r="H626" s="1291">
        <v>0</v>
      </c>
      <c r="I626" s="1109">
        <v>0</v>
      </c>
      <c r="J626" s="1109">
        <v>0</v>
      </c>
      <c r="K626" s="1109">
        <v>0</v>
      </c>
      <c r="L626" s="1291">
        <v>0</v>
      </c>
      <c r="M626" s="1109">
        <v>0</v>
      </c>
      <c r="N626" s="1291">
        <v>0</v>
      </c>
      <c r="O626" s="1109">
        <v>0</v>
      </c>
      <c r="P626" s="1109">
        <v>0</v>
      </c>
      <c r="Q626" s="1109">
        <v>0</v>
      </c>
      <c r="R626" s="1291">
        <v>0</v>
      </c>
      <c r="S626" s="1109">
        <v>543.71</v>
      </c>
      <c r="T626" s="1109">
        <v>1594396.63</v>
      </c>
      <c r="U626" s="1109">
        <v>0</v>
      </c>
      <c r="V626" s="1291">
        <v>0</v>
      </c>
      <c r="W626" s="1109">
        <v>0</v>
      </c>
      <c r="X626" s="1291">
        <v>0</v>
      </c>
      <c r="Y626" s="1291">
        <v>0</v>
      </c>
      <c r="Z626" s="1291">
        <v>124879.31</v>
      </c>
      <c r="AA626" s="1291">
        <v>0</v>
      </c>
    </row>
    <row r="627" spans="1:27" s="1064" customFormat="1" ht="102.75" customHeight="1">
      <c r="A627" s="1322">
        <v>149</v>
      </c>
      <c r="B627" s="1055" t="s">
        <v>1948</v>
      </c>
      <c r="C627" s="1056">
        <f t="shared" si="360"/>
        <v>11926908</v>
      </c>
      <c r="D627" s="1056">
        <f t="shared" si="359"/>
        <v>3477344</v>
      </c>
      <c r="E627" s="1291">
        <v>0</v>
      </c>
      <c r="F627" s="1109">
        <v>3477344</v>
      </c>
      <c r="G627" s="1109">
        <v>0</v>
      </c>
      <c r="H627" s="1291">
        <v>0</v>
      </c>
      <c r="I627" s="1109">
        <v>0</v>
      </c>
      <c r="J627" s="1109">
        <v>0</v>
      </c>
      <c r="K627" s="1109">
        <v>0</v>
      </c>
      <c r="L627" s="1291">
        <v>0</v>
      </c>
      <c r="M627" s="1109">
        <v>0</v>
      </c>
      <c r="N627" s="1291">
        <v>0</v>
      </c>
      <c r="O627" s="1109">
        <v>0</v>
      </c>
      <c r="P627" s="1291">
        <v>0</v>
      </c>
      <c r="Q627" s="1291">
        <v>0</v>
      </c>
      <c r="R627" s="1291">
        <v>0</v>
      </c>
      <c r="S627" s="1109">
        <v>0</v>
      </c>
      <c r="T627" s="1291">
        <v>0</v>
      </c>
      <c r="U627" s="1291">
        <v>1852.01</v>
      </c>
      <c r="V627" s="1109">
        <v>7583255</v>
      </c>
      <c r="W627" s="1109">
        <v>0</v>
      </c>
      <c r="X627" s="1291">
        <v>0</v>
      </c>
      <c r="Y627" s="1291">
        <v>0</v>
      </c>
      <c r="Z627" s="1291">
        <v>866309</v>
      </c>
      <c r="AA627" s="1291">
        <v>0</v>
      </c>
    </row>
    <row r="628" spans="1:27" s="1064" customFormat="1" ht="102.75" customHeight="1">
      <c r="A628" s="1322">
        <v>150</v>
      </c>
      <c r="B628" s="1233" t="s">
        <v>1949</v>
      </c>
      <c r="C628" s="1056">
        <f t="shared" si="360"/>
        <v>6562045</v>
      </c>
      <c r="D628" s="1056">
        <f t="shared" si="359"/>
        <v>5596006</v>
      </c>
      <c r="E628" s="1291">
        <v>1167664</v>
      </c>
      <c r="F628" s="1109">
        <v>2211731</v>
      </c>
      <c r="G628" s="1109">
        <v>0</v>
      </c>
      <c r="H628" s="1291">
        <v>1357938</v>
      </c>
      <c r="I628" s="1109">
        <v>0</v>
      </c>
      <c r="J628" s="1109">
        <v>858673</v>
      </c>
      <c r="K628" s="1109">
        <v>0</v>
      </c>
      <c r="L628" s="1291">
        <v>489407</v>
      </c>
      <c r="M628" s="1109">
        <v>0</v>
      </c>
      <c r="N628" s="1291">
        <v>0</v>
      </c>
      <c r="O628" s="1109">
        <v>0</v>
      </c>
      <c r="P628" s="1291">
        <v>0</v>
      </c>
      <c r="Q628" s="1291">
        <v>0</v>
      </c>
      <c r="R628" s="1291">
        <v>0</v>
      </c>
      <c r="S628" s="1109">
        <v>0</v>
      </c>
      <c r="T628" s="1291">
        <v>0</v>
      </c>
      <c r="U628" s="1109">
        <v>0</v>
      </c>
      <c r="V628" s="1291">
        <v>0</v>
      </c>
      <c r="W628" s="1109">
        <v>0</v>
      </c>
      <c r="X628" s="1291">
        <v>0</v>
      </c>
      <c r="Y628" s="1291">
        <v>0</v>
      </c>
      <c r="Z628" s="1291">
        <v>476632</v>
      </c>
      <c r="AA628" s="1291">
        <v>0</v>
      </c>
    </row>
    <row r="629" spans="1:27" s="1064" customFormat="1" ht="102.75" customHeight="1">
      <c r="A629" s="1322">
        <v>151</v>
      </c>
      <c r="B629" s="1233" t="s">
        <v>1950</v>
      </c>
      <c r="C629" s="1056">
        <f t="shared" si="360"/>
        <v>499149.64</v>
      </c>
      <c r="D629" s="1056">
        <f t="shared" si="359"/>
        <v>462893.99</v>
      </c>
      <c r="E629" s="1291">
        <v>0</v>
      </c>
      <c r="F629" s="1109">
        <v>0</v>
      </c>
      <c r="G629" s="1109">
        <v>0</v>
      </c>
      <c r="H629" s="1291">
        <v>0</v>
      </c>
      <c r="I629" s="1109">
        <v>0</v>
      </c>
      <c r="J629" s="1109">
        <v>462893.99</v>
      </c>
      <c r="K629" s="1109">
        <v>0</v>
      </c>
      <c r="L629" s="1291">
        <v>0</v>
      </c>
      <c r="M629" s="1109">
        <v>0</v>
      </c>
      <c r="N629" s="1291">
        <v>0</v>
      </c>
      <c r="O629" s="1109">
        <v>0</v>
      </c>
      <c r="P629" s="1109">
        <v>0</v>
      </c>
      <c r="Q629" s="1109">
        <v>0</v>
      </c>
      <c r="R629" s="1291">
        <v>0</v>
      </c>
      <c r="S629" s="1109">
        <v>0</v>
      </c>
      <c r="T629" s="1291">
        <v>0</v>
      </c>
      <c r="U629" s="1109">
        <v>0</v>
      </c>
      <c r="V629" s="1291">
        <v>0</v>
      </c>
      <c r="W629" s="1109">
        <v>0</v>
      </c>
      <c r="X629" s="1291">
        <v>0</v>
      </c>
      <c r="Y629" s="1291">
        <v>0</v>
      </c>
      <c r="Z629" s="1291">
        <v>36255.65</v>
      </c>
      <c r="AA629" s="1291">
        <v>0</v>
      </c>
    </row>
    <row r="630" spans="1:27" s="1064" customFormat="1" ht="102.75" customHeight="1">
      <c r="A630" s="1322">
        <v>152</v>
      </c>
      <c r="B630" s="1233" t="s">
        <v>1951</v>
      </c>
      <c r="C630" s="1056">
        <f t="shared" si="360"/>
        <v>6693380.4100000001</v>
      </c>
      <c r="D630" s="1056">
        <f t="shared" si="359"/>
        <v>3698412.79</v>
      </c>
      <c r="E630" s="1291">
        <v>546276.38</v>
      </c>
      <c r="F630" s="1291">
        <v>1034915.16</v>
      </c>
      <c r="G630" s="1291">
        <v>445090.37</v>
      </c>
      <c r="H630" s="1291">
        <v>635294.46</v>
      </c>
      <c r="I630" s="1291">
        <v>635294.46</v>
      </c>
      <c r="J630" s="1291">
        <v>401541.96</v>
      </c>
      <c r="K630" s="1291">
        <v>3</v>
      </c>
      <c r="L630" s="1291">
        <v>581655</v>
      </c>
      <c r="M630" s="1291">
        <v>0</v>
      </c>
      <c r="N630" s="1291">
        <v>0</v>
      </c>
      <c r="O630" s="1291">
        <v>0</v>
      </c>
      <c r="P630" s="1291">
        <v>0</v>
      </c>
      <c r="Q630" s="1291">
        <v>0</v>
      </c>
      <c r="R630" s="1291">
        <v>0</v>
      </c>
      <c r="S630" s="1291">
        <v>657.18</v>
      </c>
      <c r="T630" s="1291">
        <v>1927140.52</v>
      </c>
      <c r="U630" s="1291">
        <v>0</v>
      </c>
      <c r="V630" s="1291">
        <v>0</v>
      </c>
      <c r="W630" s="1291">
        <v>0</v>
      </c>
      <c r="X630" s="1291">
        <v>0</v>
      </c>
      <c r="Y630" s="1291">
        <v>0</v>
      </c>
      <c r="Z630" s="1291">
        <v>486172.1</v>
      </c>
      <c r="AA630" s="1291">
        <v>0</v>
      </c>
    </row>
    <row r="631" spans="1:27" s="1064" customFormat="1" ht="102.75" customHeight="1">
      <c r="A631" s="1322">
        <v>153</v>
      </c>
      <c r="B631" s="1233" t="s">
        <v>1952</v>
      </c>
      <c r="C631" s="1056">
        <f t="shared" si="360"/>
        <v>9116310.0199999996</v>
      </c>
      <c r="D631" s="1056">
        <f t="shared" si="359"/>
        <v>2116415.36</v>
      </c>
      <c r="E631" s="1291">
        <v>0</v>
      </c>
      <c r="F631" s="1291">
        <v>0</v>
      </c>
      <c r="G631" s="1291">
        <v>2116415.36</v>
      </c>
      <c r="H631" s="1291">
        <v>0</v>
      </c>
      <c r="I631" s="1291">
        <v>0</v>
      </c>
      <c r="J631" s="1291">
        <v>0</v>
      </c>
      <c r="K631" s="1291">
        <v>3</v>
      </c>
      <c r="L631" s="1291">
        <v>581655</v>
      </c>
      <c r="M631" s="1291">
        <v>0</v>
      </c>
      <c r="N631" s="1291">
        <v>0</v>
      </c>
      <c r="O631" s="1291">
        <v>1455.82</v>
      </c>
      <c r="P631" s="1291">
        <v>5756078.4799999995</v>
      </c>
      <c r="Q631" s="1291">
        <v>0</v>
      </c>
      <c r="R631" s="1291">
        <v>0</v>
      </c>
      <c r="S631" s="1291">
        <v>0</v>
      </c>
      <c r="T631" s="1291">
        <v>0</v>
      </c>
      <c r="U631" s="1291">
        <v>0</v>
      </c>
      <c r="V631" s="1291">
        <v>0</v>
      </c>
      <c r="W631" s="1291">
        <v>0</v>
      </c>
      <c r="X631" s="1291">
        <v>0</v>
      </c>
      <c r="Y631" s="1291">
        <v>0</v>
      </c>
      <c r="Z631" s="1291">
        <v>662161.18000000005</v>
      </c>
      <c r="AA631" s="1291">
        <v>0</v>
      </c>
    </row>
    <row r="632" spans="1:27" s="1064" customFormat="1" ht="102.75" customHeight="1">
      <c r="A632" s="1322">
        <v>154</v>
      </c>
      <c r="B632" s="1233" t="s">
        <v>1953</v>
      </c>
      <c r="C632" s="1056">
        <f t="shared" si="360"/>
        <v>21522546.23</v>
      </c>
      <c r="D632" s="1056">
        <f t="shared" si="359"/>
        <v>5804045.9499999993</v>
      </c>
      <c r="E632" s="1291">
        <v>1190394.6099999999</v>
      </c>
      <c r="F632" s="1291">
        <v>0</v>
      </c>
      <c r="G632" s="1291">
        <v>969899.48</v>
      </c>
      <c r="H632" s="1291">
        <v>1384374.51</v>
      </c>
      <c r="I632" s="1291">
        <v>1384374.51</v>
      </c>
      <c r="J632" s="1291">
        <v>875002.84</v>
      </c>
      <c r="K632" s="1291">
        <v>3</v>
      </c>
      <c r="L632" s="1291">
        <v>581655</v>
      </c>
      <c r="M632" s="1234">
        <v>0</v>
      </c>
      <c r="N632" s="1291">
        <v>0</v>
      </c>
      <c r="O632" s="1293">
        <v>1131.8</v>
      </c>
      <c r="P632" s="1291">
        <v>8065555.1699999999</v>
      </c>
      <c r="Q632" s="1291">
        <v>0</v>
      </c>
      <c r="R632" s="1291">
        <v>0</v>
      </c>
      <c r="S632" s="1293">
        <v>0</v>
      </c>
      <c r="T632" s="1291">
        <v>0</v>
      </c>
      <c r="U632" s="1291">
        <v>948.4</v>
      </c>
      <c r="V632" s="1234">
        <v>5508004.0900000008</v>
      </c>
      <c r="W632" s="1109">
        <v>0</v>
      </c>
      <c r="X632" s="1291">
        <v>0</v>
      </c>
      <c r="Y632" s="1291">
        <v>0</v>
      </c>
      <c r="Z632" s="1291">
        <v>1563286.02</v>
      </c>
      <c r="AA632" s="1291">
        <v>0</v>
      </c>
    </row>
    <row r="633" spans="1:27" s="1064" customFormat="1" ht="102.75" customHeight="1">
      <c r="A633" s="1322">
        <v>155</v>
      </c>
      <c r="B633" s="1233" t="s">
        <v>1954</v>
      </c>
      <c r="C633" s="1056">
        <f t="shared" si="360"/>
        <v>2470545.9299999997</v>
      </c>
      <c r="D633" s="1056">
        <f t="shared" si="359"/>
        <v>1884770.42</v>
      </c>
      <c r="E633" s="1291">
        <v>336129.87</v>
      </c>
      <c r="F633" s="1291">
        <v>636794.69000000006</v>
      </c>
      <c r="G633" s="1291">
        <v>273869</v>
      </c>
      <c r="H633" s="1291">
        <v>390903.67</v>
      </c>
      <c r="I633" s="1291">
        <v>0</v>
      </c>
      <c r="J633" s="1291">
        <v>247073.19</v>
      </c>
      <c r="K633" s="1291">
        <v>2</v>
      </c>
      <c r="L633" s="1291">
        <v>406328</v>
      </c>
      <c r="M633" s="1291">
        <v>0</v>
      </c>
      <c r="N633" s="1291">
        <v>0</v>
      </c>
      <c r="O633" s="1291">
        <v>0</v>
      </c>
      <c r="P633" s="1291">
        <v>0</v>
      </c>
      <c r="Q633" s="1291">
        <v>0</v>
      </c>
      <c r="R633" s="1291">
        <v>0</v>
      </c>
      <c r="S633" s="1291">
        <v>0</v>
      </c>
      <c r="T633" s="1291">
        <v>0</v>
      </c>
      <c r="U633" s="1291">
        <v>0</v>
      </c>
      <c r="V633" s="1291">
        <v>0</v>
      </c>
      <c r="W633" s="1291">
        <v>0</v>
      </c>
      <c r="X633" s="1291">
        <v>0</v>
      </c>
      <c r="Y633" s="1291">
        <v>0</v>
      </c>
      <c r="Z633" s="1291">
        <v>179447.51</v>
      </c>
      <c r="AA633" s="1291">
        <v>0</v>
      </c>
    </row>
    <row r="634" spans="1:27" s="1064" customFormat="1" ht="102.75" customHeight="1">
      <c r="A634" s="1322">
        <v>156</v>
      </c>
      <c r="B634" s="1233" t="s">
        <v>1955</v>
      </c>
      <c r="C634" s="1056">
        <f t="shared" si="360"/>
        <v>24976164.309999999</v>
      </c>
      <c r="D634" s="1056">
        <f t="shared" si="359"/>
        <v>11186797.699999999</v>
      </c>
      <c r="E634" s="1291">
        <v>0</v>
      </c>
      <c r="F634" s="1291">
        <v>5588211.7699999996</v>
      </c>
      <c r="G634" s="1291">
        <v>0</v>
      </c>
      <c r="H634" s="1291">
        <v>3430387.43</v>
      </c>
      <c r="I634" s="1291">
        <v>0</v>
      </c>
      <c r="J634" s="1291">
        <v>2168198.5</v>
      </c>
      <c r="K634" s="1291">
        <v>2</v>
      </c>
      <c r="L634" s="1291">
        <v>406328</v>
      </c>
      <c r="M634" s="1291">
        <v>0</v>
      </c>
      <c r="N634" s="1291">
        <v>0</v>
      </c>
      <c r="O634" s="1291">
        <v>0</v>
      </c>
      <c r="P634" s="1291">
        <v>0</v>
      </c>
      <c r="Q634" s="1291">
        <v>0</v>
      </c>
      <c r="R634" s="1291">
        <v>0</v>
      </c>
      <c r="S634" s="1291">
        <v>0</v>
      </c>
      <c r="T634" s="1291">
        <v>0</v>
      </c>
      <c r="U634" s="1291">
        <v>1992</v>
      </c>
      <c r="V634" s="1291">
        <v>11568899.359999999</v>
      </c>
      <c r="W634" s="1291">
        <v>0</v>
      </c>
      <c r="X634" s="1291">
        <v>0</v>
      </c>
      <c r="Y634" s="1291">
        <v>0</v>
      </c>
      <c r="Z634" s="1291">
        <v>1814139.25</v>
      </c>
      <c r="AA634" s="1291">
        <v>0</v>
      </c>
    </row>
    <row r="635" spans="1:27" s="1064" customFormat="1" ht="102.75" customHeight="1">
      <c r="A635" s="1322">
        <v>157</v>
      </c>
      <c r="B635" s="1233" t="s">
        <v>1924</v>
      </c>
      <c r="C635" s="1056">
        <f t="shared" si="360"/>
        <v>1024462.14</v>
      </c>
      <c r="D635" s="1056">
        <f t="shared" si="359"/>
        <v>445942.22</v>
      </c>
      <c r="E635" s="1291">
        <v>0</v>
      </c>
      <c r="F635" s="1291">
        <v>0</v>
      </c>
      <c r="G635" s="1291">
        <v>445942.22</v>
      </c>
      <c r="H635" s="1291">
        <v>0</v>
      </c>
      <c r="I635" s="1291">
        <v>0</v>
      </c>
      <c r="J635" s="1291">
        <v>0</v>
      </c>
      <c r="K635" s="1291">
        <v>2</v>
      </c>
      <c r="L635" s="1291">
        <v>504109</v>
      </c>
      <c r="M635" s="1291">
        <v>0</v>
      </c>
      <c r="N635" s="1291">
        <v>0</v>
      </c>
      <c r="O635" s="1291">
        <v>0</v>
      </c>
      <c r="P635" s="1291">
        <v>0</v>
      </c>
      <c r="Q635" s="1291">
        <v>0</v>
      </c>
      <c r="R635" s="1291">
        <v>0</v>
      </c>
      <c r="S635" s="1291">
        <v>0</v>
      </c>
      <c r="T635" s="1291">
        <v>0</v>
      </c>
      <c r="U635" s="1291">
        <v>0</v>
      </c>
      <c r="V635" s="1291">
        <v>0</v>
      </c>
      <c r="W635" s="1291">
        <v>0</v>
      </c>
      <c r="X635" s="1291">
        <v>0</v>
      </c>
      <c r="Y635" s="1291">
        <v>0</v>
      </c>
      <c r="Z635" s="1291">
        <v>74410.92</v>
      </c>
      <c r="AA635" s="1291">
        <v>0</v>
      </c>
    </row>
    <row r="636" spans="1:27" s="1064" customFormat="1" ht="102.75" customHeight="1">
      <c r="A636" s="1322">
        <v>158</v>
      </c>
      <c r="B636" s="1233" t="s">
        <v>1956</v>
      </c>
      <c r="C636" s="1056">
        <f t="shared" si="360"/>
        <v>15068524.040000001</v>
      </c>
      <c r="D636" s="1056">
        <f t="shared" si="359"/>
        <v>6458115.5800000001</v>
      </c>
      <c r="E636" s="1291">
        <v>0</v>
      </c>
      <c r="F636" s="1291">
        <v>3226063.3</v>
      </c>
      <c r="G636" s="1291">
        <v>0</v>
      </c>
      <c r="H636" s="1291">
        <v>0</v>
      </c>
      <c r="I636" s="1291">
        <v>1980355.69</v>
      </c>
      <c r="J636" s="1291">
        <v>1251696.5900000001</v>
      </c>
      <c r="K636" s="1291">
        <v>3</v>
      </c>
      <c r="L636" s="1291">
        <v>581655</v>
      </c>
      <c r="M636" s="1291">
        <v>0</v>
      </c>
      <c r="N636" s="1291">
        <v>0</v>
      </c>
      <c r="O636" s="1291">
        <v>0</v>
      </c>
      <c r="P636" s="1291">
        <v>0</v>
      </c>
      <c r="Q636" s="1291">
        <v>0</v>
      </c>
      <c r="R636" s="1291">
        <v>0</v>
      </c>
      <c r="S636" s="1291">
        <v>0</v>
      </c>
      <c r="T636" s="1291">
        <v>0</v>
      </c>
      <c r="U636" s="1291">
        <v>1193.98</v>
      </c>
      <c r="V636" s="1291">
        <v>6934254.2400000002</v>
      </c>
      <c r="W636" s="1291">
        <v>0</v>
      </c>
      <c r="X636" s="1291">
        <v>0</v>
      </c>
      <c r="Y636" s="1291">
        <v>0</v>
      </c>
      <c r="Z636" s="1291">
        <v>1094499.22</v>
      </c>
      <c r="AA636" s="1291">
        <v>0</v>
      </c>
    </row>
    <row r="637" spans="1:27" s="1064" customFormat="1" ht="102.75" customHeight="1">
      <c r="A637" s="1322">
        <v>159</v>
      </c>
      <c r="B637" s="1233" t="s">
        <v>1957</v>
      </c>
      <c r="C637" s="1056">
        <f t="shared" si="360"/>
        <v>7601577.0300000003</v>
      </c>
      <c r="D637" s="1056">
        <f t="shared" ref="D637:D639" si="361">SUM(E637:J637)</f>
        <v>0</v>
      </c>
      <c r="E637" s="1291">
        <v>0</v>
      </c>
      <c r="F637" s="1291">
        <v>0</v>
      </c>
      <c r="G637" s="1291">
        <v>0</v>
      </c>
      <c r="H637" s="1291">
        <v>0</v>
      </c>
      <c r="I637" s="1291">
        <v>0</v>
      </c>
      <c r="J637" s="1291">
        <v>0</v>
      </c>
      <c r="K637" s="1291">
        <v>0</v>
      </c>
      <c r="L637" s="1291">
        <v>0</v>
      </c>
      <c r="M637" s="1291">
        <v>0</v>
      </c>
      <c r="N637" s="1291">
        <v>0</v>
      </c>
      <c r="O637" s="1291">
        <v>492.4</v>
      </c>
      <c r="P637" s="1291">
        <v>2344693.9699999997</v>
      </c>
      <c r="Q637" s="1291">
        <v>0</v>
      </c>
      <c r="R637" s="1291">
        <v>0</v>
      </c>
      <c r="S637" s="1291">
        <v>0</v>
      </c>
      <c r="T637" s="1291">
        <v>0</v>
      </c>
      <c r="U637" s="1291">
        <v>810.09</v>
      </c>
      <c r="V637" s="1291">
        <v>4704743.82</v>
      </c>
      <c r="W637" s="1291">
        <v>0</v>
      </c>
      <c r="X637" s="1291">
        <v>0</v>
      </c>
      <c r="Y637" s="1291">
        <v>0</v>
      </c>
      <c r="Z637" s="1291">
        <v>552139.24</v>
      </c>
      <c r="AA637" s="1291">
        <v>0</v>
      </c>
    </row>
    <row r="638" spans="1:27" s="1064" customFormat="1" ht="102.75" customHeight="1">
      <c r="A638" s="1322">
        <v>160</v>
      </c>
      <c r="B638" s="1233" t="s">
        <v>1928</v>
      </c>
      <c r="C638" s="1056">
        <f t="shared" si="360"/>
        <v>2716601.3400000003</v>
      </c>
      <c r="D638" s="1056">
        <f t="shared" si="361"/>
        <v>2015173.1800000002</v>
      </c>
      <c r="E638" s="1294">
        <v>0</v>
      </c>
      <c r="F638" s="1294">
        <v>1248665.5900000001</v>
      </c>
      <c r="G638" s="1294">
        <v>0</v>
      </c>
      <c r="H638" s="1294">
        <v>0</v>
      </c>
      <c r="I638" s="1294">
        <v>766507.59</v>
      </c>
      <c r="J638" s="1294">
        <v>0</v>
      </c>
      <c r="K638" s="1294">
        <v>2</v>
      </c>
      <c r="L638" s="1294">
        <v>504109</v>
      </c>
      <c r="M638" s="1294">
        <v>0</v>
      </c>
      <c r="N638" s="1294">
        <v>0</v>
      </c>
      <c r="O638" s="1294">
        <v>0</v>
      </c>
      <c r="P638" s="1294">
        <v>0</v>
      </c>
      <c r="Q638" s="1294">
        <v>0</v>
      </c>
      <c r="R638" s="1294">
        <v>0</v>
      </c>
      <c r="S638" s="1294">
        <v>0</v>
      </c>
      <c r="T638" s="1294">
        <v>0</v>
      </c>
      <c r="U638" s="1294">
        <v>0</v>
      </c>
      <c r="V638" s="1294">
        <v>0</v>
      </c>
      <c r="W638" s="1294">
        <v>0</v>
      </c>
      <c r="X638" s="1294">
        <v>0</v>
      </c>
      <c r="Y638" s="1294">
        <v>0</v>
      </c>
      <c r="Z638" s="1294">
        <v>197319.16</v>
      </c>
      <c r="AA638" s="1294">
        <v>0</v>
      </c>
    </row>
    <row r="639" spans="1:27" s="1064" customFormat="1" ht="117.75" customHeight="1">
      <c r="A639" s="1322">
        <v>161</v>
      </c>
      <c r="B639" s="1233" t="s">
        <v>1958</v>
      </c>
      <c r="C639" s="1056">
        <f t="shared" si="360"/>
        <v>158366868.72</v>
      </c>
      <c r="D639" s="1056">
        <f t="shared" si="361"/>
        <v>4033512.61</v>
      </c>
      <c r="E639" s="1291">
        <v>4033512.61</v>
      </c>
      <c r="F639" s="1291">
        <v>0</v>
      </c>
      <c r="G639" s="1291">
        <v>0</v>
      </c>
      <c r="H639" s="1291">
        <v>0</v>
      </c>
      <c r="I639" s="1291">
        <v>0</v>
      </c>
      <c r="J639" s="1291">
        <v>0</v>
      </c>
      <c r="K639" s="1291">
        <v>0</v>
      </c>
      <c r="L639" s="1291">
        <v>0</v>
      </c>
      <c r="M639" s="1291">
        <v>0</v>
      </c>
      <c r="N639" s="1291">
        <v>0</v>
      </c>
      <c r="O639" s="1291">
        <v>1303.42</v>
      </c>
      <c r="P639" s="1291">
        <v>41716126.369999997</v>
      </c>
      <c r="Q639" s="1291">
        <v>0</v>
      </c>
      <c r="R639" s="1291">
        <v>0</v>
      </c>
      <c r="S639" s="1291">
        <v>3172.33</v>
      </c>
      <c r="T639" s="1291">
        <v>101622188.18000001</v>
      </c>
      <c r="U639" s="1291">
        <v>0</v>
      </c>
      <c r="V639" s="1291">
        <v>0</v>
      </c>
      <c r="W639" s="1291">
        <v>0</v>
      </c>
      <c r="X639" s="1291">
        <v>0</v>
      </c>
      <c r="Y639" s="1291">
        <v>0</v>
      </c>
      <c r="Z639" s="1291">
        <v>10995041.560000001</v>
      </c>
      <c r="AA639" s="1291">
        <v>0</v>
      </c>
    </row>
    <row r="640" spans="1:27" s="1064" customFormat="1" ht="135" customHeight="1">
      <c r="A640" s="1322"/>
      <c r="B640" s="1055" t="s">
        <v>1093</v>
      </c>
      <c r="C640" s="1056">
        <f>SUM(C641:C682)</f>
        <v>65026596.580000013</v>
      </c>
      <c r="D640" s="1056">
        <f t="shared" ref="D640:AA640" si="362">SUM(D641:D682)</f>
        <v>2796909.53</v>
      </c>
      <c r="E640" s="1056">
        <f t="shared" si="362"/>
        <v>784303.03</v>
      </c>
      <c r="F640" s="1056">
        <f t="shared" si="362"/>
        <v>0</v>
      </c>
      <c r="G640" s="1056">
        <f t="shared" si="362"/>
        <v>0</v>
      </c>
      <c r="H640" s="1056">
        <f t="shared" si="362"/>
        <v>1076251.6299999999</v>
      </c>
      <c r="I640" s="1056">
        <f t="shared" si="362"/>
        <v>0</v>
      </c>
      <c r="J640" s="1056">
        <f t="shared" si="362"/>
        <v>936354.87</v>
      </c>
      <c r="K640" s="1056">
        <f t="shared" si="362"/>
        <v>0</v>
      </c>
      <c r="L640" s="1056">
        <f t="shared" si="362"/>
        <v>0</v>
      </c>
      <c r="M640" s="1056">
        <f t="shared" si="362"/>
        <v>0</v>
      </c>
      <c r="N640" s="1056">
        <f t="shared" si="362"/>
        <v>0</v>
      </c>
      <c r="O640" s="1056">
        <f t="shared" si="362"/>
        <v>11883</v>
      </c>
      <c r="P640" s="1056">
        <f t="shared" si="362"/>
        <v>41248779.510000005</v>
      </c>
      <c r="Q640" s="1056">
        <f t="shared" si="362"/>
        <v>429.4</v>
      </c>
      <c r="R640" s="1056">
        <f t="shared" si="362"/>
        <v>689462.16</v>
      </c>
      <c r="S640" s="1056">
        <f t="shared" si="362"/>
        <v>4901.87</v>
      </c>
      <c r="T640" s="1056">
        <f t="shared" si="362"/>
        <v>15328690.510000002</v>
      </c>
      <c r="U640" s="1056">
        <f t="shared" si="362"/>
        <v>0</v>
      </c>
      <c r="V640" s="1056">
        <f t="shared" si="362"/>
        <v>0</v>
      </c>
      <c r="W640" s="1056">
        <f t="shared" si="362"/>
        <v>0</v>
      </c>
      <c r="X640" s="1056">
        <f t="shared" si="362"/>
        <v>0</v>
      </c>
      <c r="Y640" s="1056">
        <f t="shared" si="362"/>
        <v>0</v>
      </c>
      <c r="Z640" s="1056">
        <f t="shared" si="362"/>
        <v>4962754.870000001</v>
      </c>
      <c r="AA640" s="1056">
        <f t="shared" si="362"/>
        <v>0</v>
      </c>
    </row>
    <row r="641" spans="1:27" s="1064" customFormat="1" ht="109.15" customHeight="1">
      <c r="A641" s="1322">
        <v>162</v>
      </c>
      <c r="B641" s="1055" t="s">
        <v>1739</v>
      </c>
      <c r="C641" s="1056">
        <f t="shared" ref="C641" si="363">D641+N641+P641+R641+T641+X641+Z641</f>
        <v>224043.26</v>
      </c>
      <c r="D641" s="1056">
        <f t="shared" ref="D641" si="364">SUM(E641:J641)</f>
        <v>0</v>
      </c>
      <c r="E641" s="1234">
        <v>0</v>
      </c>
      <c r="F641" s="1234">
        <v>0</v>
      </c>
      <c r="G641" s="1234">
        <v>0</v>
      </c>
      <c r="H641" s="1234">
        <v>0</v>
      </c>
      <c r="I641" s="1234">
        <v>0</v>
      </c>
      <c r="J641" s="1234">
        <v>0</v>
      </c>
      <c r="K641" s="1234">
        <v>0</v>
      </c>
      <c r="L641" s="1234">
        <v>0</v>
      </c>
      <c r="M641" s="1234">
        <v>0</v>
      </c>
      <c r="N641" s="1234">
        <v>0</v>
      </c>
      <c r="O641" s="1234">
        <v>0</v>
      </c>
      <c r="P641" s="1234">
        <v>0</v>
      </c>
      <c r="Q641" s="1234">
        <v>129.4</v>
      </c>
      <c r="R641" s="1234">
        <v>207769.92</v>
      </c>
      <c r="S641" s="1234">
        <v>0</v>
      </c>
      <c r="T641" s="1234">
        <v>0</v>
      </c>
      <c r="U641" s="1234">
        <v>0</v>
      </c>
      <c r="V641" s="1232">
        <v>0</v>
      </c>
      <c r="W641" s="1234">
        <v>0</v>
      </c>
      <c r="X641" s="1234">
        <v>0</v>
      </c>
      <c r="Y641" s="1234">
        <v>0</v>
      </c>
      <c r="Z641" s="1234">
        <v>16273.34</v>
      </c>
      <c r="AA641" s="1234">
        <v>0</v>
      </c>
    </row>
    <row r="642" spans="1:27" s="1064" customFormat="1" ht="135" customHeight="1">
      <c r="A642" s="1322">
        <v>163</v>
      </c>
      <c r="B642" s="1055" t="s">
        <v>1740</v>
      </c>
      <c r="C642" s="1056">
        <f t="shared" ref="C642:C660" si="365">D642+N642+P642+R642+T642+X642+Z642</f>
        <v>1749322.01</v>
      </c>
      <c r="D642" s="1056">
        <f t="shared" ref="D642:D660" si="366">SUM(E642:J642)</f>
        <v>0</v>
      </c>
      <c r="E642" s="1234">
        <v>0</v>
      </c>
      <c r="F642" s="1234">
        <v>0</v>
      </c>
      <c r="G642" s="1234">
        <v>0</v>
      </c>
      <c r="H642" s="1234">
        <v>0</v>
      </c>
      <c r="I642" s="1234">
        <v>0</v>
      </c>
      <c r="J642" s="1234">
        <v>0</v>
      </c>
      <c r="K642" s="1234">
        <v>0</v>
      </c>
      <c r="L642" s="1234">
        <v>0</v>
      </c>
      <c r="M642" s="1234">
        <v>0</v>
      </c>
      <c r="N642" s="1234">
        <v>0</v>
      </c>
      <c r="O642" s="1234">
        <v>410.3</v>
      </c>
      <c r="P642" s="1234">
        <v>1622260.31</v>
      </c>
      <c r="Q642" s="1234">
        <v>0</v>
      </c>
      <c r="R642" s="1234">
        <v>0</v>
      </c>
      <c r="S642" s="1234">
        <v>0</v>
      </c>
      <c r="T642" s="1234">
        <v>0</v>
      </c>
      <c r="U642" s="1234">
        <v>0</v>
      </c>
      <c r="V642" s="1232">
        <v>0</v>
      </c>
      <c r="W642" s="1234">
        <v>0</v>
      </c>
      <c r="X642" s="1234">
        <v>0</v>
      </c>
      <c r="Y642" s="1234">
        <v>0</v>
      </c>
      <c r="Z642" s="1234">
        <v>127061.7</v>
      </c>
      <c r="AA642" s="1234">
        <v>0</v>
      </c>
    </row>
    <row r="643" spans="1:27" s="1064" customFormat="1" ht="114" customHeight="1">
      <c r="A643" s="1322">
        <v>164</v>
      </c>
      <c r="B643" s="1055" t="s">
        <v>1741</v>
      </c>
      <c r="C643" s="1056">
        <f t="shared" si="365"/>
        <v>5408489.0199999996</v>
      </c>
      <c r="D643" s="1056">
        <f t="shared" si="366"/>
        <v>0</v>
      </c>
      <c r="E643" s="1234">
        <v>0</v>
      </c>
      <c r="F643" s="1234">
        <v>0</v>
      </c>
      <c r="G643" s="1234">
        <v>0</v>
      </c>
      <c r="H643" s="1234">
        <v>0</v>
      </c>
      <c r="I643" s="1234">
        <v>0</v>
      </c>
      <c r="J643" s="1234">
        <v>0</v>
      </c>
      <c r="K643" s="1234">
        <v>0</v>
      </c>
      <c r="L643" s="1234">
        <v>0</v>
      </c>
      <c r="M643" s="1234">
        <v>0</v>
      </c>
      <c r="N643" s="1234">
        <v>0</v>
      </c>
      <c r="O643" s="1234">
        <v>0</v>
      </c>
      <c r="P643" s="1234">
        <v>0</v>
      </c>
      <c r="Q643" s="1234">
        <v>0</v>
      </c>
      <c r="R643" s="1234">
        <v>0</v>
      </c>
      <c r="S643" s="1234">
        <v>1710.4</v>
      </c>
      <c r="T643" s="1234">
        <v>5015644.3499999996</v>
      </c>
      <c r="U643" s="1234">
        <v>0</v>
      </c>
      <c r="V643" s="1232">
        <v>0</v>
      </c>
      <c r="W643" s="1234">
        <v>0</v>
      </c>
      <c r="X643" s="1265">
        <v>0</v>
      </c>
      <c r="Y643" s="1234">
        <v>0</v>
      </c>
      <c r="Z643" s="1234">
        <v>392844.67</v>
      </c>
      <c r="AA643" s="1234">
        <v>0</v>
      </c>
    </row>
    <row r="644" spans="1:27" s="1064" customFormat="1" ht="135" customHeight="1">
      <c r="A644" s="1322">
        <v>165</v>
      </c>
      <c r="B644" s="1055" t="s">
        <v>1742</v>
      </c>
      <c r="C644" s="1056">
        <f t="shared" si="365"/>
        <v>1160547.8199999998</v>
      </c>
      <c r="D644" s="1056">
        <f t="shared" si="366"/>
        <v>1076251.6299999999</v>
      </c>
      <c r="E644" s="1234">
        <v>0</v>
      </c>
      <c r="F644" s="1234">
        <v>0</v>
      </c>
      <c r="G644" s="1234">
        <v>0</v>
      </c>
      <c r="H644" s="1234">
        <v>1076251.6299999999</v>
      </c>
      <c r="I644" s="1234">
        <v>0</v>
      </c>
      <c r="J644" s="1234">
        <v>0</v>
      </c>
      <c r="K644" s="1234">
        <v>0</v>
      </c>
      <c r="L644" s="1234">
        <v>0</v>
      </c>
      <c r="M644" s="1234">
        <v>0</v>
      </c>
      <c r="N644" s="1234">
        <v>0</v>
      </c>
      <c r="O644" s="1234">
        <v>0</v>
      </c>
      <c r="P644" s="1234">
        <v>0</v>
      </c>
      <c r="Q644" s="1234">
        <v>0</v>
      </c>
      <c r="R644" s="1234">
        <v>0</v>
      </c>
      <c r="S644" s="1234">
        <v>0</v>
      </c>
      <c r="T644" s="1234">
        <v>0</v>
      </c>
      <c r="U644" s="1234">
        <v>0</v>
      </c>
      <c r="V644" s="1232">
        <v>0</v>
      </c>
      <c r="W644" s="1234">
        <v>0</v>
      </c>
      <c r="X644" s="1265">
        <v>0</v>
      </c>
      <c r="Y644" s="1234">
        <v>0</v>
      </c>
      <c r="Z644" s="1234">
        <v>84296.19</v>
      </c>
      <c r="AA644" s="1234">
        <v>0</v>
      </c>
    </row>
    <row r="645" spans="1:27" s="1064" customFormat="1" ht="130.5" customHeight="1">
      <c r="A645" s="1322">
        <v>166</v>
      </c>
      <c r="B645" s="1055" t="s">
        <v>1743</v>
      </c>
      <c r="C645" s="1056">
        <f t="shared" ref="C645:C647" si="367">D645+N645+P645+R645+T645+X645+Z645</f>
        <v>1865650.45</v>
      </c>
      <c r="D645" s="1056">
        <f t="shared" ref="D645:D647" si="368">SUM(E645:J645)</f>
        <v>0</v>
      </c>
      <c r="E645" s="1234">
        <v>0</v>
      </c>
      <c r="F645" s="1234">
        <v>0</v>
      </c>
      <c r="G645" s="1234">
        <v>0</v>
      </c>
      <c r="H645" s="1234">
        <v>0</v>
      </c>
      <c r="I645" s="1234">
        <v>0</v>
      </c>
      <c r="J645" s="1234">
        <v>0</v>
      </c>
      <c r="K645" s="1234">
        <v>0</v>
      </c>
      <c r="L645" s="1234">
        <v>0</v>
      </c>
      <c r="M645" s="1234">
        <v>0</v>
      </c>
      <c r="N645" s="1234">
        <v>0</v>
      </c>
      <c r="O645" s="1234">
        <v>0</v>
      </c>
      <c r="P645" s="1234">
        <v>0</v>
      </c>
      <c r="Q645" s="1234">
        <v>0</v>
      </c>
      <c r="R645" s="1234">
        <v>0</v>
      </c>
      <c r="S645" s="1234">
        <v>590</v>
      </c>
      <c r="T645" s="1234">
        <v>1730139.25</v>
      </c>
      <c r="U645" s="1234">
        <v>0</v>
      </c>
      <c r="V645" s="1232">
        <v>0</v>
      </c>
      <c r="W645" s="1234">
        <v>0</v>
      </c>
      <c r="X645" s="1234">
        <v>0</v>
      </c>
      <c r="Y645" s="1234">
        <v>0</v>
      </c>
      <c r="Z645" s="1234">
        <v>135511.20000000001</v>
      </c>
      <c r="AA645" s="1234">
        <v>0</v>
      </c>
    </row>
    <row r="646" spans="1:27" s="1064" customFormat="1" ht="137.25" customHeight="1">
      <c r="A646" s="1322">
        <v>167</v>
      </c>
      <c r="B646" s="1055" t="s">
        <v>1744</v>
      </c>
      <c r="C646" s="1056">
        <f t="shared" si="367"/>
        <v>1738322.13</v>
      </c>
      <c r="D646" s="1056">
        <f t="shared" si="368"/>
        <v>0</v>
      </c>
      <c r="E646" s="1234">
        <v>0</v>
      </c>
      <c r="F646" s="1234">
        <v>0</v>
      </c>
      <c r="G646" s="1234">
        <v>0</v>
      </c>
      <c r="H646" s="1234">
        <v>0</v>
      </c>
      <c r="I646" s="1234">
        <v>0</v>
      </c>
      <c r="J646" s="1234">
        <v>0</v>
      </c>
      <c r="K646" s="1234">
        <v>0</v>
      </c>
      <c r="L646" s="1234">
        <v>0</v>
      </c>
      <c r="M646" s="1234">
        <v>0</v>
      </c>
      <c r="N646" s="1234">
        <v>0</v>
      </c>
      <c r="O646" s="1234">
        <v>407.72</v>
      </c>
      <c r="P646" s="1234">
        <v>1612059.4</v>
      </c>
      <c r="Q646" s="1234">
        <v>0</v>
      </c>
      <c r="R646" s="1234">
        <v>0</v>
      </c>
      <c r="S646" s="1234">
        <v>0</v>
      </c>
      <c r="T646" s="1234">
        <v>0</v>
      </c>
      <c r="U646" s="1234">
        <v>0</v>
      </c>
      <c r="V646" s="1232">
        <v>0</v>
      </c>
      <c r="W646" s="1234">
        <v>0</v>
      </c>
      <c r="X646" s="1265">
        <v>0</v>
      </c>
      <c r="Y646" s="1234">
        <v>0</v>
      </c>
      <c r="Z646" s="1234">
        <v>126262.73</v>
      </c>
      <c r="AA646" s="1234">
        <v>0</v>
      </c>
    </row>
    <row r="647" spans="1:27" s="1064" customFormat="1" ht="109.15" customHeight="1">
      <c r="A647" s="1322">
        <v>168</v>
      </c>
      <c r="B647" s="1249" t="s">
        <v>2117</v>
      </c>
      <c r="C647" s="1056">
        <f t="shared" si="367"/>
        <v>58288</v>
      </c>
      <c r="D647" s="1056">
        <f t="shared" si="368"/>
        <v>0</v>
      </c>
      <c r="E647" s="1056">
        <v>0</v>
      </c>
      <c r="F647" s="1056">
        <v>0</v>
      </c>
      <c r="G647" s="1056">
        <v>0</v>
      </c>
      <c r="H647" s="1056">
        <v>0</v>
      </c>
      <c r="I647" s="1056">
        <v>0</v>
      </c>
      <c r="J647" s="1056">
        <v>0</v>
      </c>
      <c r="K647" s="1063">
        <v>0</v>
      </c>
      <c r="L647" s="1056">
        <v>0</v>
      </c>
      <c r="M647" s="1063">
        <v>0</v>
      </c>
      <c r="N647" s="1056">
        <v>0</v>
      </c>
      <c r="O647" s="1056">
        <v>0</v>
      </c>
      <c r="P647" s="1056">
        <v>0</v>
      </c>
      <c r="Q647" s="1056">
        <v>0</v>
      </c>
      <c r="R647" s="1056">
        <v>0</v>
      </c>
      <c r="S647" s="1056">
        <v>0</v>
      </c>
      <c r="T647" s="1056">
        <v>0</v>
      </c>
      <c r="U647" s="1056">
        <v>0</v>
      </c>
      <c r="V647" s="1056">
        <v>0</v>
      </c>
      <c r="W647" s="1056">
        <v>0</v>
      </c>
      <c r="X647" s="1056">
        <v>0</v>
      </c>
      <c r="Y647" s="1056">
        <v>0</v>
      </c>
      <c r="Z647" s="1234">
        <v>58288</v>
      </c>
      <c r="AA647" s="1056">
        <v>0</v>
      </c>
    </row>
    <row r="648" spans="1:27" s="1064" customFormat="1" ht="116.45" customHeight="1">
      <c r="A648" s="1322">
        <v>169</v>
      </c>
      <c r="B648" s="1249" t="s">
        <v>1745</v>
      </c>
      <c r="C648" s="1056">
        <f t="shared" si="365"/>
        <v>64243</v>
      </c>
      <c r="D648" s="1056">
        <f t="shared" si="366"/>
        <v>0</v>
      </c>
      <c r="E648" s="1056">
        <v>0</v>
      </c>
      <c r="F648" s="1056">
        <v>0</v>
      </c>
      <c r="G648" s="1056">
        <v>0</v>
      </c>
      <c r="H648" s="1056">
        <v>0</v>
      </c>
      <c r="I648" s="1056">
        <v>0</v>
      </c>
      <c r="J648" s="1056">
        <v>0</v>
      </c>
      <c r="K648" s="1063">
        <v>0</v>
      </c>
      <c r="L648" s="1056">
        <v>0</v>
      </c>
      <c r="M648" s="1063">
        <v>0</v>
      </c>
      <c r="N648" s="1056">
        <v>0</v>
      </c>
      <c r="O648" s="1056">
        <v>0</v>
      </c>
      <c r="P648" s="1056">
        <v>0</v>
      </c>
      <c r="Q648" s="1056">
        <v>0</v>
      </c>
      <c r="R648" s="1056">
        <v>0</v>
      </c>
      <c r="S648" s="1056">
        <v>0</v>
      </c>
      <c r="T648" s="1056">
        <v>0</v>
      </c>
      <c r="U648" s="1056">
        <v>0</v>
      </c>
      <c r="V648" s="1056">
        <v>0</v>
      </c>
      <c r="W648" s="1056">
        <v>0</v>
      </c>
      <c r="X648" s="1056">
        <v>0</v>
      </c>
      <c r="Y648" s="1056">
        <v>0</v>
      </c>
      <c r="Z648" s="1234">
        <v>64243</v>
      </c>
      <c r="AA648" s="1056">
        <v>0</v>
      </c>
    </row>
    <row r="649" spans="1:27" s="1064" customFormat="1" ht="151.5" customHeight="1">
      <c r="A649" s="1322">
        <v>170</v>
      </c>
      <c r="B649" s="1055" t="s">
        <v>2153</v>
      </c>
      <c r="C649" s="1056">
        <f t="shared" si="365"/>
        <v>1803468.71</v>
      </c>
      <c r="D649" s="1056">
        <f t="shared" si="366"/>
        <v>0</v>
      </c>
      <c r="E649" s="1056">
        <v>0</v>
      </c>
      <c r="F649" s="1056">
        <v>0</v>
      </c>
      <c r="G649" s="1056">
        <v>0</v>
      </c>
      <c r="H649" s="1056">
        <v>0</v>
      </c>
      <c r="I649" s="1056">
        <v>0</v>
      </c>
      <c r="J649" s="1056">
        <v>0</v>
      </c>
      <c r="K649" s="1063">
        <v>0</v>
      </c>
      <c r="L649" s="1056">
        <v>0</v>
      </c>
      <c r="M649" s="1063">
        <v>0</v>
      </c>
      <c r="N649" s="1056">
        <v>0</v>
      </c>
      <c r="O649" s="1234">
        <v>423</v>
      </c>
      <c r="P649" s="1234">
        <v>1672474.07</v>
      </c>
      <c r="Q649" s="1056">
        <v>0</v>
      </c>
      <c r="R649" s="1056">
        <v>0</v>
      </c>
      <c r="S649" s="1056">
        <v>0</v>
      </c>
      <c r="T649" s="1056">
        <v>0</v>
      </c>
      <c r="U649" s="1056">
        <v>0</v>
      </c>
      <c r="V649" s="1056">
        <v>0</v>
      </c>
      <c r="W649" s="1056">
        <v>0</v>
      </c>
      <c r="X649" s="1056">
        <v>0</v>
      </c>
      <c r="Y649" s="1056">
        <v>0</v>
      </c>
      <c r="Z649" s="1234">
        <v>130994.64</v>
      </c>
      <c r="AA649" s="1056">
        <v>0</v>
      </c>
    </row>
    <row r="650" spans="1:27" s="1064" customFormat="1" ht="147" customHeight="1">
      <c r="A650" s="1322">
        <v>171</v>
      </c>
      <c r="B650" s="1055" t="s">
        <v>1746</v>
      </c>
      <c r="C650" s="1056">
        <f t="shared" si="365"/>
        <v>1111073.1600000001</v>
      </c>
      <c r="D650" s="1056">
        <f t="shared" si="366"/>
        <v>0</v>
      </c>
      <c r="E650" s="1056">
        <v>0</v>
      </c>
      <c r="F650" s="1056">
        <v>0</v>
      </c>
      <c r="G650" s="1056">
        <v>0</v>
      </c>
      <c r="H650" s="1056">
        <v>0</v>
      </c>
      <c r="I650" s="1056">
        <v>0</v>
      </c>
      <c r="J650" s="1056">
        <v>0</v>
      </c>
      <c r="K650" s="1063">
        <v>0</v>
      </c>
      <c r="L650" s="1056">
        <v>0</v>
      </c>
      <c r="M650" s="1063">
        <v>0</v>
      </c>
      <c r="N650" s="1056">
        <v>0</v>
      </c>
      <c r="O650" s="1234">
        <v>470.9</v>
      </c>
      <c r="P650" s="1234">
        <v>1030370.55</v>
      </c>
      <c r="Q650" s="1056">
        <v>0</v>
      </c>
      <c r="R650" s="1056">
        <v>0</v>
      </c>
      <c r="S650" s="1056">
        <v>0</v>
      </c>
      <c r="T650" s="1056">
        <v>0</v>
      </c>
      <c r="U650" s="1056">
        <v>0</v>
      </c>
      <c r="V650" s="1056">
        <v>0</v>
      </c>
      <c r="W650" s="1056">
        <v>0</v>
      </c>
      <c r="X650" s="1056">
        <v>0</v>
      </c>
      <c r="Y650" s="1056">
        <v>0</v>
      </c>
      <c r="Z650" s="1234">
        <v>80702.61</v>
      </c>
      <c r="AA650" s="1056">
        <v>0</v>
      </c>
    </row>
    <row r="651" spans="1:27" s="1064" customFormat="1" ht="132.75" customHeight="1">
      <c r="A651" s="1322">
        <v>172</v>
      </c>
      <c r="B651" s="1105" t="s">
        <v>1747</v>
      </c>
      <c r="C651" s="1056">
        <f t="shared" si="365"/>
        <v>1391271.96</v>
      </c>
      <c r="D651" s="1056">
        <f t="shared" si="366"/>
        <v>0</v>
      </c>
      <c r="E651" s="1056">
        <v>0</v>
      </c>
      <c r="F651" s="1056">
        <v>0</v>
      </c>
      <c r="G651" s="1056">
        <v>0</v>
      </c>
      <c r="H651" s="1056">
        <v>0</v>
      </c>
      <c r="I651" s="1056">
        <v>0</v>
      </c>
      <c r="J651" s="1056">
        <v>0</v>
      </c>
      <c r="K651" s="1063">
        <v>0</v>
      </c>
      <c r="L651" s="1056">
        <v>0</v>
      </c>
      <c r="M651" s="1063">
        <v>0</v>
      </c>
      <c r="N651" s="1056">
        <v>0</v>
      </c>
      <c r="O651" s="1234">
        <v>385</v>
      </c>
      <c r="P651" s="1234">
        <v>1290217.1599999999</v>
      </c>
      <c r="Q651" s="1056">
        <v>0</v>
      </c>
      <c r="R651" s="1056">
        <v>0</v>
      </c>
      <c r="S651" s="1056">
        <v>0</v>
      </c>
      <c r="T651" s="1056">
        <v>0</v>
      </c>
      <c r="U651" s="1056">
        <v>0</v>
      </c>
      <c r="V651" s="1056">
        <v>0</v>
      </c>
      <c r="W651" s="1056">
        <v>0</v>
      </c>
      <c r="X651" s="1056">
        <v>0</v>
      </c>
      <c r="Y651" s="1056">
        <v>0</v>
      </c>
      <c r="Z651" s="1234">
        <v>101054.8</v>
      </c>
      <c r="AA651" s="1056">
        <v>0</v>
      </c>
    </row>
    <row r="652" spans="1:27" s="1064" customFormat="1" ht="148.5" customHeight="1">
      <c r="A652" s="1322">
        <v>173</v>
      </c>
      <c r="B652" s="1055" t="s">
        <v>1748</v>
      </c>
      <c r="C652" s="1056">
        <f t="shared" si="365"/>
        <v>210350</v>
      </c>
      <c r="D652" s="1056">
        <f t="shared" si="366"/>
        <v>195071.26</v>
      </c>
      <c r="E652" s="1056">
        <v>0</v>
      </c>
      <c r="F652" s="1056">
        <v>0</v>
      </c>
      <c r="G652" s="1056">
        <v>0</v>
      </c>
      <c r="H652" s="1056">
        <v>0</v>
      </c>
      <c r="I652" s="1056">
        <v>0</v>
      </c>
      <c r="J652" s="1056">
        <v>195071.26</v>
      </c>
      <c r="K652" s="1063">
        <v>0</v>
      </c>
      <c r="L652" s="1056">
        <v>0</v>
      </c>
      <c r="M652" s="1063">
        <v>0</v>
      </c>
      <c r="N652" s="1056">
        <v>0</v>
      </c>
      <c r="O652" s="1234">
        <v>0</v>
      </c>
      <c r="P652" s="1234">
        <v>0</v>
      </c>
      <c r="Q652" s="1056">
        <v>0</v>
      </c>
      <c r="R652" s="1056">
        <v>0</v>
      </c>
      <c r="S652" s="1056">
        <v>0</v>
      </c>
      <c r="T652" s="1056">
        <v>0</v>
      </c>
      <c r="U652" s="1056">
        <v>0</v>
      </c>
      <c r="V652" s="1056">
        <v>0</v>
      </c>
      <c r="W652" s="1056">
        <v>0</v>
      </c>
      <c r="X652" s="1056">
        <v>0</v>
      </c>
      <c r="Y652" s="1056">
        <v>0</v>
      </c>
      <c r="Z652" s="1234">
        <v>15278.74</v>
      </c>
      <c r="AA652" s="1056">
        <v>0</v>
      </c>
    </row>
    <row r="653" spans="1:27" s="1064" customFormat="1" ht="99.6" customHeight="1">
      <c r="A653" s="1322">
        <v>174</v>
      </c>
      <c r="B653" s="1055" t="s">
        <v>1749</v>
      </c>
      <c r="C653" s="1056">
        <f t="shared" si="365"/>
        <v>1517751.23</v>
      </c>
      <c r="D653" s="1056">
        <f t="shared" si="366"/>
        <v>0</v>
      </c>
      <c r="E653" s="1056">
        <v>0</v>
      </c>
      <c r="F653" s="1056">
        <v>0</v>
      </c>
      <c r="G653" s="1056">
        <v>0</v>
      </c>
      <c r="H653" s="1056">
        <v>0</v>
      </c>
      <c r="I653" s="1056">
        <v>0</v>
      </c>
      <c r="J653" s="1056">
        <v>0</v>
      </c>
      <c r="K653" s="1063">
        <v>0</v>
      </c>
      <c r="L653" s="1056">
        <v>0</v>
      </c>
      <c r="M653" s="1063">
        <v>0</v>
      </c>
      <c r="N653" s="1056">
        <v>0</v>
      </c>
      <c r="O653" s="1234">
        <v>420</v>
      </c>
      <c r="P653" s="1234">
        <v>1407509.63</v>
      </c>
      <c r="Q653" s="1056">
        <v>0</v>
      </c>
      <c r="R653" s="1056">
        <v>0</v>
      </c>
      <c r="S653" s="1056">
        <v>0</v>
      </c>
      <c r="T653" s="1056">
        <v>0</v>
      </c>
      <c r="U653" s="1056">
        <v>0</v>
      </c>
      <c r="V653" s="1056">
        <v>0</v>
      </c>
      <c r="W653" s="1056">
        <v>0</v>
      </c>
      <c r="X653" s="1056">
        <v>0</v>
      </c>
      <c r="Y653" s="1056">
        <v>0</v>
      </c>
      <c r="Z653" s="1234">
        <v>110241.60000000001</v>
      </c>
      <c r="AA653" s="1056">
        <v>0</v>
      </c>
    </row>
    <row r="654" spans="1:27" s="1064" customFormat="1" ht="143.25" customHeight="1">
      <c r="A654" s="1322">
        <v>175</v>
      </c>
      <c r="B654" s="1055" t="s">
        <v>1750</v>
      </c>
      <c r="C654" s="1056">
        <f t="shared" si="365"/>
        <v>836011.03</v>
      </c>
      <c r="D654" s="1056">
        <f t="shared" si="366"/>
        <v>784303.03</v>
      </c>
      <c r="E654" s="1056">
        <v>784303.03</v>
      </c>
      <c r="F654" s="1056">
        <v>0</v>
      </c>
      <c r="G654" s="1056">
        <v>0</v>
      </c>
      <c r="H654" s="1056">
        <v>0</v>
      </c>
      <c r="I654" s="1056">
        <v>0</v>
      </c>
      <c r="J654" s="1056">
        <v>0</v>
      </c>
      <c r="K654" s="1063">
        <v>0</v>
      </c>
      <c r="L654" s="1056">
        <v>0</v>
      </c>
      <c r="M654" s="1063">
        <v>0</v>
      </c>
      <c r="N654" s="1056">
        <v>0</v>
      </c>
      <c r="O654" s="1234">
        <v>0</v>
      </c>
      <c r="P654" s="1234">
        <v>0</v>
      </c>
      <c r="Q654" s="1056">
        <v>0</v>
      </c>
      <c r="R654" s="1056">
        <v>0</v>
      </c>
      <c r="S654" s="1056">
        <v>0</v>
      </c>
      <c r="T654" s="1056">
        <v>0</v>
      </c>
      <c r="U654" s="1056">
        <v>0</v>
      </c>
      <c r="V654" s="1056">
        <v>0</v>
      </c>
      <c r="W654" s="1056">
        <v>0</v>
      </c>
      <c r="X654" s="1056">
        <v>0</v>
      </c>
      <c r="Y654" s="1056">
        <v>0</v>
      </c>
      <c r="Z654" s="1234">
        <v>51708</v>
      </c>
      <c r="AA654" s="1056">
        <v>0</v>
      </c>
    </row>
    <row r="655" spans="1:27" s="1064" customFormat="1" ht="117" customHeight="1">
      <c r="A655" s="1322">
        <v>176</v>
      </c>
      <c r="B655" s="1055" t="s">
        <v>1751</v>
      </c>
      <c r="C655" s="1056">
        <f t="shared" si="365"/>
        <v>1534866.98</v>
      </c>
      <c r="D655" s="1056">
        <f t="shared" si="366"/>
        <v>0</v>
      </c>
      <c r="E655" s="1056">
        <v>0</v>
      </c>
      <c r="F655" s="1056">
        <v>0</v>
      </c>
      <c r="G655" s="1056">
        <v>0</v>
      </c>
      <c r="H655" s="1056">
        <v>0</v>
      </c>
      <c r="I655" s="1056">
        <v>0</v>
      </c>
      <c r="J655" s="1056">
        <v>0</v>
      </c>
      <c r="K655" s="1063">
        <v>0</v>
      </c>
      <c r="L655" s="1056">
        <v>0</v>
      </c>
      <c r="M655" s="1063">
        <v>0</v>
      </c>
      <c r="N655" s="1056">
        <v>0</v>
      </c>
      <c r="O655" s="1234">
        <v>360</v>
      </c>
      <c r="P655" s="1234">
        <v>1423382.18</v>
      </c>
      <c r="Q655" s="1056">
        <v>0</v>
      </c>
      <c r="R655" s="1056">
        <v>0</v>
      </c>
      <c r="S655" s="1056">
        <v>0</v>
      </c>
      <c r="T655" s="1056">
        <v>0</v>
      </c>
      <c r="U655" s="1056">
        <v>0</v>
      </c>
      <c r="V655" s="1056">
        <v>0</v>
      </c>
      <c r="W655" s="1056">
        <v>0</v>
      </c>
      <c r="X655" s="1056">
        <v>0</v>
      </c>
      <c r="Y655" s="1056">
        <v>0</v>
      </c>
      <c r="Z655" s="1234">
        <v>111484.8</v>
      </c>
      <c r="AA655" s="1056">
        <v>0</v>
      </c>
    </row>
    <row r="656" spans="1:27" s="1064" customFormat="1" ht="97.15" customHeight="1">
      <c r="A656" s="1322">
        <v>177</v>
      </c>
      <c r="B656" s="1055" t="s">
        <v>2154</v>
      </c>
      <c r="C656" s="1056">
        <f t="shared" si="365"/>
        <v>4303305.09</v>
      </c>
      <c r="D656" s="1056">
        <f t="shared" si="366"/>
        <v>0</v>
      </c>
      <c r="E656" s="1056">
        <v>0</v>
      </c>
      <c r="F656" s="1056">
        <v>0</v>
      </c>
      <c r="G656" s="1056">
        <v>0</v>
      </c>
      <c r="H656" s="1056">
        <v>0</v>
      </c>
      <c r="I656" s="1056">
        <v>0</v>
      </c>
      <c r="J656" s="1056">
        <v>0</v>
      </c>
      <c r="K656" s="1063">
        <v>0</v>
      </c>
      <c r="L656" s="1056">
        <v>0</v>
      </c>
      <c r="M656" s="1063">
        <v>0</v>
      </c>
      <c r="N656" s="1056">
        <v>0</v>
      </c>
      <c r="O656" s="1234">
        <v>1050</v>
      </c>
      <c r="P656" s="1234">
        <v>4045173.09</v>
      </c>
      <c r="Q656" s="1056">
        <v>0</v>
      </c>
      <c r="R656" s="1056">
        <v>0</v>
      </c>
      <c r="S656" s="1056">
        <v>0</v>
      </c>
      <c r="T656" s="1056">
        <v>0</v>
      </c>
      <c r="U656" s="1056">
        <v>0</v>
      </c>
      <c r="V656" s="1056">
        <v>0</v>
      </c>
      <c r="W656" s="1056">
        <v>0</v>
      </c>
      <c r="X656" s="1056">
        <v>0</v>
      </c>
      <c r="Y656" s="1056">
        <v>0</v>
      </c>
      <c r="Z656" s="1234">
        <v>258132</v>
      </c>
      <c r="AA656" s="1056">
        <v>0</v>
      </c>
    </row>
    <row r="657" spans="1:27" s="1064" customFormat="1" ht="137.44999999999999" customHeight="1">
      <c r="A657" s="1322">
        <v>178</v>
      </c>
      <c r="B657" s="1055" t="s">
        <v>1123</v>
      </c>
      <c r="C657" s="1056">
        <f t="shared" si="365"/>
        <v>796854.09</v>
      </c>
      <c r="D657" s="1056">
        <f t="shared" si="366"/>
        <v>0</v>
      </c>
      <c r="E657" s="1056">
        <v>0</v>
      </c>
      <c r="F657" s="1056">
        <v>0</v>
      </c>
      <c r="G657" s="1056">
        <v>0</v>
      </c>
      <c r="H657" s="1056">
        <v>0</v>
      </c>
      <c r="I657" s="1056">
        <v>0</v>
      </c>
      <c r="J657" s="1056">
        <v>0</v>
      </c>
      <c r="K657" s="1063">
        <v>0</v>
      </c>
      <c r="L657" s="1056">
        <v>0</v>
      </c>
      <c r="M657" s="1063">
        <v>0</v>
      </c>
      <c r="N657" s="1056">
        <v>0</v>
      </c>
      <c r="O657" s="1234">
        <v>0</v>
      </c>
      <c r="P657" s="1234">
        <v>0</v>
      </c>
      <c r="Q657" s="1056">
        <v>0</v>
      </c>
      <c r="R657" s="1056">
        <v>0</v>
      </c>
      <c r="S657" s="1056">
        <v>252</v>
      </c>
      <c r="T657" s="1056">
        <v>738974.73</v>
      </c>
      <c r="U657" s="1056">
        <v>0</v>
      </c>
      <c r="V657" s="1056">
        <v>0</v>
      </c>
      <c r="W657" s="1056">
        <v>0</v>
      </c>
      <c r="X657" s="1056">
        <v>0</v>
      </c>
      <c r="Y657" s="1056">
        <v>0</v>
      </c>
      <c r="Z657" s="1234">
        <v>57879.360000000001</v>
      </c>
      <c r="AA657" s="1056">
        <v>0</v>
      </c>
    </row>
    <row r="658" spans="1:27" s="1064" customFormat="1" ht="97.15" customHeight="1">
      <c r="A658" s="1322">
        <v>179</v>
      </c>
      <c r="B658" s="1055" t="s">
        <v>1753</v>
      </c>
      <c r="C658" s="1056">
        <f t="shared" si="365"/>
        <v>1591955.51</v>
      </c>
      <c r="D658" s="1056">
        <f t="shared" si="366"/>
        <v>0</v>
      </c>
      <c r="E658" s="1056">
        <v>0</v>
      </c>
      <c r="F658" s="1056">
        <v>0</v>
      </c>
      <c r="G658" s="1056">
        <v>0</v>
      </c>
      <c r="H658" s="1056">
        <v>0</v>
      </c>
      <c r="I658" s="1056">
        <v>0</v>
      </c>
      <c r="J658" s="1056">
        <v>0</v>
      </c>
      <c r="K658" s="1063">
        <v>0</v>
      </c>
      <c r="L658" s="1056">
        <v>0</v>
      </c>
      <c r="M658" s="1063">
        <v>0</v>
      </c>
      <c r="N658" s="1056">
        <v>0</v>
      </c>
      <c r="O658" s="1234">
        <v>373.39</v>
      </c>
      <c r="P658" s="1234">
        <v>1476324.09</v>
      </c>
      <c r="Q658" s="1056">
        <v>0</v>
      </c>
      <c r="R658" s="1056">
        <v>0</v>
      </c>
      <c r="S658" s="1056">
        <v>0</v>
      </c>
      <c r="T658" s="1056">
        <v>0</v>
      </c>
      <c r="U658" s="1056">
        <v>0</v>
      </c>
      <c r="V658" s="1056">
        <v>0</v>
      </c>
      <c r="W658" s="1056">
        <v>0</v>
      </c>
      <c r="X658" s="1056">
        <v>0</v>
      </c>
      <c r="Y658" s="1056">
        <v>0</v>
      </c>
      <c r="Z658" s="1234">
        <v>115631.42</v>
      </c>
      <c r="AA658" s="1056">
        <v>0</v>
      </c>
    </row>
    <row r="659" spans="1:27" s="1064" customFormat="1" ht="135" customHeight="1">
      <c r="A659" s="1322">
        <v>180</v>
      </c>
      <c r="B659" s="1055" t="s">
        <v>1124</v>
      </c>
      <c r="C659" s="1056">
        <f t="shared" si="365"/>
        <v>60901</v>
      </c>
      <c r="D659" s="1056">
        <f t="shared" si="366"/>
        <v>0</v>
      </c>
      <c r="E659" s="1056">
        <v>0</v>
      </c>
      <c r="F659" s="1056">
        <v>0</v>
      </c>
      <c r="G659" s="1056">
        <v>0</v>
      </c>
      <c r="H659" s="1056">
        <v>0</v>
      </c>
      <c r="I659" s="1056">
        <v>0</v>
      </c>
      <c r="J659" s="1056">
        <v>0</v>
      </c>
      <c r="K659" s="1063">
        <v>0</v>
      </c>
      <c r="L659" s="1056">
        <v>0</v>
      </c>
      <c r="M659" s="1063">
        <v>0</v>
      </c>
      <c r="N659" s="1056">
        <v>0</v>
      </c>
      <c r="O659" s="1234">
        <v>0</v>
      </c>
      <c r="P659" s="1234">
        <v>0</v>
      </c>
      <c r="Q659" s="1056">
        <v>0</v>
      </c>
      <c r="R659" s="1056">
        <v>0</v>
      </c>
      <c r="S659" s="1056">
        <v>0</v>
      </c>
      <c r="T659" s="1056">
        <v>0</v>
      </c>
      <c r="U659" s="1056">
        <v>0</v>
      </c>
      <c r="V659" s="1056">
        <v>0</v>
      </c>
      <c r="W659" s="1056">
        <v>0</v>
      </c>
      <c r="X659" s="1056">
        <v>0</v>
      </c>
      <c r="Y659" s="1056">
        <v>0</v>
      </c>
      <c r="Z659" s="1234">
        <v>60901</v>
      </c>
      <c r="AA659" s="1056">
        <v>0</v>
      </c>
    </row>
    <row r="660" spans="1:27" s="1064" customFormat="1" ht="97.15" customHeight="1">
      <c r="A660" s="1322">
        <v>181</v>
      </c>
      <c r="B660" s="1055" t="s">
        <v>1754</v>
      </c>
      <c r="C660" s="1056">
        <f t="shared" si="365"/>
        <v>117262</v>
      </c>
      <c r="D660" s="1056">
        <f t="shared" si="366"/>
        <v>0</v>
      </c>
      <c r="E660" s="1056">
        <v>0</v>
      </c>
      <c r="F660" s="1056">
        <v>0</v>
      </c>
      <c r="G660" s="1056">
        <v>0</v>
      </c>
      <c r="H660" s="1056">
        <v>0</v>
      </c>
      <c r="I660" s="1056">
        <v>0</v>
      </c>
      <c r="J660" s="1056">
        <v>0</v>
      </c>
      <c r="K660" s="1063">
        <v>0</v>
      </c>
      <c r="L660" s="1056">
        <v>0</v>
      </c>
      <c r="M660" s="1063">
        <v>0</v>
      </c>
      <c r="N660" s="1056">
        <v>0</v>
      </c>
      <c r="O660" s="1234">
        <v>0</v>
      </c>
      <c r="P660" s="1234">
        <v>0</v>
      </c>
      <c r="Q660" s="1056">
        <v>0</v>
      </c>
      <c r="R660" s="1056">
        <v>0</v>
      </c>
      <c r="S660" s="1056">
        <v>0</v>
      </c>
      <c r="T660" s="1056">
        <v>0</v>
      </c>
      <c r="U660" s="1056">
        <v>0</v>
      </c>
      <c r="V660" s="1056">
        <v>0</v>
      </c>
      <c r="W660" s="1056">
        <v>0</v>
      </c>
      <c r="X660" s="1056">
        <v>0</v>
      </c>
      <c r="Y660" s="1056">
        <v>0</v>
      </c>
      <c r="Z660" s="1234">
        <v>117262</v>
      </c>
      <c r="AA660" s="1056">
        <v>0</v>
      </c>
    </row>
    <row r="661" spans="1:27" s="1064" customFormat="1" ht="102" customHeight="1">
      <c r="A661" s="1322">
        <v>182</v>
      </c>
      <c r="B661" s="1233" t="s">
        <v>1755</v>
      </c>
      <c r="C661" s="1056">
        <f t="shared" ref="C661:C671" si="369">D661+N661+P661+R661+T661+X661+Z661</f>
        <v>1074098.0900000001</v>
      </c>
      <c r="D661" s="1056">
        <f t="shared" ref="D661:D671" si="370">SUM(E661:J661)</f>
        <v>0</v>
      </c>
      <c r="E661" s="1056">
        <v>0</v>
      </c>
      <c r="F661" s="1056">
        <v>0</v>
      </c>
      <c r="G661" s="1056">
        <v>0</v>
      </c>
      <c r="H661" s="1056">
        <v>0</v>
      </c>
      <c r="I661" s="1056">
        <v>0</v>
      </c>
      <c r="J661" s="1056">
        <v>0</v>
      </c>
      <c r="K661" s="1063">
        <v>0</v>
      </c>
      <c r="L661" s="1056">
        <v>0</v>
      </c>
      <c r="M661" s="1063">
        <v>0</v>
      </c>
      <c r="N661" s="1056">
        <v>0</v>
      </c>
      <c r="O661" s="1234">
        <v>297.23</v>
      </c>
      <c r="P661" s="1234">
        <v>996081.16</v>
      </c>
      <c r="Q661" s="1056">
        <v>0</v>
      </c>
      <c r="R661" s="1056">
        <v>0</v>
      </c>
      <c r="S661" s="1056">
        <v>0</v>
      </c>
      <c r="T661" s="1056">
        <v>0</v>
      </c>
      <c r="U661" s="1056">
        <v>0</v>
      </c>
      <c r="V661" s="1056">
        <v>0</v>
      </c>
      <c r="W661" s="1056">
        <v>0</v>
      </c>
      <c r="X661" s="1056">
        <v>0</v>
      </c>
      <c r="Y661" s="1056">
        <v>0</v>
      </c>
      <c r="Z661" s="1234">
        <v>78016.929999999993</v>
      </c>
      <c r="AA661" s="1056">
        <v>0</v>
      </c>
    </row>
    <row r="662" spans="1:27" s="1064" customFormat="1" ht="167.25" customHeight="1">
      <c r="A662" s="1322">
        <v>183</v>
      </c>
      <c r="B662" s="1295" t="s">
        <v>1756</v>
      </c>
      <c r="C662" s="1056">
        <f t="shared" si="369"/>
        <v>100468</v>
      </c>
      <c r="D662" s="1056">
        <f t="shared" si="370"/>
        <v>0</v>
      </c>
      <c r="E662" s="1056">
        <v>0</v>
      </c>
      <c r="F662" s="1056">
        <v>0</v>
      </c>
      <c r="G662" s="1056">
        <v>0</v>
      </c>
      <c r="H662" s="1056">
        <v>0</v>
      </c>
      <c r="I662" s="1056">
        <v>0</v>
      </c>
      <c r="J662" s="1056">
        <v>0</v>
      </c>
      <c r="K662" s="1063">
        <v>0</v>
      </c>
      <c r="L662" s="1056">
        <v>0</v>
      </c>
      <c r="M662" s="1063">
        <v>0</v>
      </c>
      <c r="N662" s="1056">
        <v>0</v>
      </c>
      <c r="O662" s="1234">
        <v>0</v>
      </c>
      <c r="P662" s="1234">
        <v>0</v>
      </c>
      <c r="Q662" s="1056">
        <v>0</v>
      </c>
      <c r="R662" s="1056">
        <v>0</v>
      </c>
      <c r="S662" s="1056">
        <v>0</v>
      </c>
      <c r="T662" s="1056">
        <v>0</v>
      </c>
      <c r="U662" s="1056">
        <v>0</v>
      </c>
      <c r="V662" s="1056">
        <v>0</v>
      </c>
      <c r="W662" s="1056">
        <v>0</v>
      </c>
      <c r="X662" s="1056">
        <v>0</v>
      </c>
      <c r="Y662" s="1056">
        <v>0</v>
      </c>
      <c r="Z662" s="1234">
        <v>100468</v>
      </c>
      <c r="AA662" s="1056">
        <v>0</v>
      </c>
    </row>
    <row r="663" spans="1:27" s="1064" customFormat="1" ht="143.25" customHeight="1">
      <c r="A663" s="1322">
        <v>184</v>
      </c>
      <c r="B663" s="1295" t="s">
        <v>1130</v>
      </c>
      <c r="C663" s="1056">
        <f t="shared" si="369"/>
        <v>767433.49</v>
      </c>
      <c r="D663" s="1056">
        <f t="shared" si="370"/>
        <v>0</v>
      </c>
      <c r="E663" s="1056">
        <v>0</v>
      </c>
      <c r="F663" s="1056">
        <v>0</v>
      </c>
      <c r="G663" s="1056">
        <v>0</v>
      </c>
      <c r="H663" s="1056">
        <v>0</v>
      </c>
      <c r="I663" s="1056">
        <v>0</v>
      </c>
      <c r="J663" s="1056">
        <v>0</v>
      </c>
      <c r="K663" s="1063">
        <v>0</v>
      </c>
      <c r="L663" s="1056">
        <v>0</v>
      </c>
      <c r="M663" s="1063">
        <v>0</v>
      </c>
      <c r="N663" s="1056">
        <v>0</v>
      </c>
      <c r="O663" s="1234">
        <v>450</v>
      </c>
      <c r="P663" s="1234">
        <v>711691.09</v>
      </c>
      <c r="Q663" s="1056">
        <v>0</v>
      </c>
      <c r="R663" s="1056">
        <v>0</v>
      </c>
      <c r="S663" s="1056">
        <v>0</v>
      </c>
      <c r="T663" s="1056">
        <v>0</v>
      </c>
      <c r="U663" s="1056">
        <v>0</v>
      </c>
      <c r="V663" s="1056">
        <v>0</v>
      </c>
      <c r="W663" s="1056">
        <v>0</v>
      </c>
      <c r="X663" s="1056">
        <v>0</v>
      </c>
      <c r="Y663" s="1056">
        <v>0</v>
      </c>
      <c r="Z663" s="1296">
        <v>55742.400000000001</v>
      </c>
      <c r="AA663" s="1056">
        <v>0</v>
      </c>
    </row>
    <row r="664" spans="1:27" s="1064" customFormat="1" ht="102" customHeight="1">
      <c r="A664" s="1322">
        <v>185</v>
      </c>
      <c r="B664" s="1233" t="s">
        <v>1267</v>
      </c>
      <c r="C664" s="1056">
        <f t="shared" si="369"/>
        <v>804526.11</v>
      </c>
      <c r="D664" s="1056">
        <f t="shared" si="370"/>
        <v>0</v>
      </c>
      <c r="E664" s="1056">
        <v>0</v>
      </c>
      <c r="F664" s="1056">
        <v>0</v>
      </c>
      <c r="G664" s="1056">
        <v>0</v>
      </c>
      <c r="H664" s="1056">
        <v>0</v>
      </c>
      <c r="I664" s="1056">
        <v>0</v>
      </c>
      <c r="J664" s="1056">
        <v>0</v>
      </c>
      <c r="K664" s="1063">
        <v>0</v>
      </c>
      <c r="L664" s="1056">
        <v>0</v>
      </c>
      <c r="M664" s="1063">
        <v>0</v>
      </c>
      <c r="N664" s="1056">
        <v>0</v>
      </c>
      <c r="O664" s="1234">
        <v>316</v>
      </c>
      <c r="P664" s="1234">
        <v>746089.49</v>
      </c>
      <c r="Q664" s="1056">
        <v>0</v>
      </c>
      <c r="R664" s="1056">
        <v>0</v>
      </c>
      <c r="S664" s="1056">
        <v>0</v>
      </c>
      <c r="T664" s="1056">
        <v>0</v>
      </c>
      <c r="U664" s="1056">
        <v>0</v>
      </c>
      <c r="V664" s="1056">
        <v>0</v>
      </c>
      <c r="W664" s="1056">
        <v>0</v>
      </c>
      <c r="X664" s="1056">
        <v>0</v>
      </c>
      <c r="Y664" s="1056">
        <v>0</v>
      </c>
      <c r="Z664" s="1234">
        <v>58436.62</v>
      </c>
      <c r="AA664" s="1056">
        <v>0</v>
      </c>
    </row>
    <row r="665" spans="1:27" s="1064" customFormat="1" ht="102" customHeight="1">
      <c r="A665" s="1322">
        <v>186</v>
      </c>
      <c r="B665" s="1233" t="s">
        <v>1266</v>
      </c>
      <c r="C665" s="1056">
        <f t="shared" si="369"/>
        <v>536947.63</v>
      </c>
      <c r="D665" s="1056">
        <f t="shared" si="370"/>
        <v>0</v>
      </c>
      <c r="E665" s="1056">
        <v>0</v>
      </c>
      <c r="F665" s="1056">
        <v>0</v>
      </c>
      <c r="G665" s="1056">
        <v>0</v>
      </c>
      <c r="H665" s="1056">
        <v>0</v>
      </c>
      <c r="I665" s="1056">
        <v>0</v>
      </c>
      <c r="J665" s="1056">
        <v>0</v>
      </c>
      <c r="K665" s="1063">
        <v>0</v>
      </c>
      <c r="L665" s="1056">
        <v>0</v>
      </c>
      <c r="M665" s="1063">
        <v>0</v>
      </c>
      <c r="N665" s="1056">
        <v>0</v>
      </c>
      <c r="O665" s="1234">
        <v>302</v>
      </c>
      <c r="P665" s="1234">
        <v>497946.53</v>
      </c>
      <c r="Q665" s="1056">
        <v>0</v>
      </c>
      <c r="R665" s="1056">
        <v>0</v>
      </c>
      <c r="S665" s="1056">
        <v>0</v>
      </c>
      <c r="T665" s="1056">
        <v>0</v>
      </c>
      <c r="U665" s="1056">
        <v>0</v>
      </c>
      <c r="V665" s="1056">
        <v>0</v>
      </c>
      <c r="W665" s="1056">
        <v>0</v>
      </c>
      <c r="X665" s="1056">
        <v>0</v>
      </c>
      <c r="Y665" s="1056">
        <v>0</v>
      </c>
      <c r="Z665" s="1234">
        <v>39001.1</v>
      </c>
      <c r="AA665" s="1056">
        <v>0</v>
      </c>
    </row>
    <row r="666" spans="1:27" s="1064" customFormat="1" ht="141.75" customHeight="1">
      <c r="A666" s="1322">
        <v>187</v>
      </c>
      <c r="B666" s="1055" t="s">
        <v>1757</v>
      </c>
      <c r="C666" s="1056">
        <f t="shared" si="369"/>
        <v>245155.12</v>
      </c>
      <c r="D666" s="1056">
        <f t="shared" si="370"/>
        <v>227348.32</v>
      </c>
      <c r="E666" s="1056">
        <v>0</v>
      </c>
      <c r="F666" s="1056">
        <v>0</v>
      </c>
      <c r="G666" s="1056">
        <v>0</v>
      </c>
      <c r="H666" s="1056">
        <v>0</v>
      </c>
      <c r="I666" s="1056">
        <v>0</v>
      </c>
      <c r="J666" s="1056">
        <v>227348.32</v>
      </c>
      <c r="K666" s="1063">
        <v>0</v>
      </c>
      <c r="L666" s="1056">
        <v>0</v>
      </c>
      <c r="M666" s="1063">
        <v>0</v>
      </c>
      <c r="N666" s="1056">
        <v>0</v>
      </c>
      <c r="O666" s="1234">
        <v>0</v>
      </c>
      <c r="P666" s="1234">
        <v>0</v>
      </c>
      <c r="Q666" s="1056">
        <v>0</v>
      </c>
      <c r="R666" s="1056">
        <v>0</v>
      </c>
      <c r="S666" s="1056">
        <v>0</v>
      </c>
      <c r="T666" s="1056">
        <v>0</v>
      </c>
      <c r="U666" s="1056">
        <v>0</v>
      </c>
      <c r="V666" s="1056">
        <v>0</v>
      </c>
      <c r="W666" s="1056">
        <v>0</v>
      </c>
      <c r="X666" s="1056">
        <v>0</v>
      </c>
      <c r="Y666" s="1056">
        <v>0</v>
      </c>
      <c r="Z666" s="1234">
        <v>17806.8</v>
      </c>
      <c r="AA666" s="1056">
        <v>0</v>
      </c>
    </row>
    <row r="667" spans="1:27" s="1064" customFormat="1" ht="157.5" customHeight="1">
      <c r="A667" s="1322">
        <v>188</v>
      </c>
      <c r="B667" s="1055" t="s">
        <v>1758</v>
      </c>
      <c r="C667" s="1056">
        <f t="shared" si="369"/>
        <v>349777.66</v>
      </c>
      <c r="D667" s="1056">
        <f t="shared" si="370"/>
        <v>324371.62</v>
      </c>
      <c r="E667" s="1056">
        <v>0</v>
      </c>
      <c r="F667" s="1056">
        <v>0</v>
      </c>
      <c r="G667" s="1056">
        <v>0</v>
      </c>
      <c r="H667" s="1056">
        <v>0</v>
      </c>
      <c r="I667" s="1056">
        <v>0</v>
      </c>
      <c r="J667" s="1056">
        <v>324371.62</v>
      </c>
      <c r="K667" s="1063">
        <v>0</v>
      </c>
      <c r="L667" s="1056">
        <v>0</v>
      </c>
      <c r="M667" s="1063">
        <v>0</v>
      </c>
      <c r="N667" s="1056">
        <v>0</v>
      </c>
      <c r="O667" s="1234">
        <v>0</v>
      </c>
      <c r="P667" s="1234">
        <v>0</v>
      </c>
      <c r="Q667" s="1056">
        <v>0</v>
      </c>
      <c r="R667" s="1056">
        <v>0</v>
      </c>
      <c r="S667" s="1056">
        <v>0</v>
      </c>
      <c r="T667" s="1056">
        <v>0</v>
      </c>
      <c r="U667" s="1056">
        <v>0</v>
      </c>
      <c r="V667" s="1056">
        <v>0</v>
      </c>
      <c r="W667" s="1056">
        <v>0</v>
      </c>
      <c r="X667" s="1056">
        <v>0</v>
      </c>
      <c r="Y667" s="1056">
        <v>0</v>
      </c>
      <c r="Z667" s="1234">
        <v>25406.04</v>
      </c>
      <c r="AA667" s="1056">
        <v>0</v>
      </c>
    </row>
    <row r="668" spans="1:27" s="1064" customFormat="1" ht="102" customHeight="1">
      <c r="A668" s="1322">
        <v>189</v>
      </c>
      <c r="B668" s="1233" t="s">
        <v>1268</v>
      </c>
      <c r="C668" s="1056">
        <f t="shared" si="369"/>
        <v>3225221.36</v>
      </c>
      <c r="D668" s="1056">
        <f t="shared" si="370"/>
        <v>0</v>
      </c>
      <c r="E668" s="1056">
        <v>0</v>
      </c>
      <c r="F668" s="1056">
        <v>0</v>
      </c>
      <c r="G668" s="1056">
        <v>0</v>
      </c>
      <c r="H668" s="1056">
        <v>0</v>
      </c>
      <c r="I668" s="1056">
        <v>0</v>
      </c>
      <c r="J668" s="1056">
        <v>0</v>
      </c>
      <c r="K668" s="1063">
        <v>0</v>
      </c>
      <c r="L668" s="1056">
        <v>0</v>
      </c>
      <c r="M668" s="1063">
        <v>0</v>
      </c>
      <c r="N668" s="1056">
        <v>0</v>
      </c>
      <c r="O668" s="1234">
        <v>892.5</v>
      </c>
      <c r="P668" s="1234">
        <v>2990957.96</v>
      </c>
      <c r="Q668" s="1056">
        <v>0</v>
      </c>
      <c r="R668" s="1056">
        <v>0</v>
      </c>
      <c r="S668" s="1056">
        <v>0</v>
      </c>
      <c r="T668" s="1056">
        <v>0</v>
      </c>
      <c r="U668" s="1056">
        <v>0</v>
      </c>
      <c r="V668" s="1056">
        <v>0</v>
      </c>
      <c r="W668" s="1056">
        <v>0</v>
      </c>
      <c r="X668" s="1056">
        <v>0</v>
      </c>
      <c r="Y668" s="1056">
        <v>0</v>
      </c>
      <c r="Z668" s="1234">
        <v>234263.4</v>
      </c>
      <c r="AA668" s="1056">
        <v>0</v>
      </c>
    </row>
    <row r="669" spans="1:27" s="1064" customFormat="1" ht="145.5" customHeight="1">
      <c r="A669" s="1322">
        <v>190</v>
      </c>
      <c r="B669" s="1233" t="s">
        <v>1759</v>
      </c>
      <c r="C669" s="1056">
        <f t="shared" si="369"/>
        <v>1123863.72</v>
      </c>
      <c r="D669" s="1056">
        <f t="shared" si="370"/>
        <v>0</v>
      </c>
      <c r="E669" s="1056">
        <v>0</v>
      </c>
      <c r="F669" s="1056">
        <v>0</v>
      </c>
      <c r="G669" s="1056">
        <v>0</v>
      </c>
      <c r="H669" s="1056">
        <v>0</v>
      </c>
      <c r="I669" s="1056">
        <v>0</v>
      </c>
      <c r="J669" s="1056">
        <v>0</v>
      </c>
      <c r="K669" s="1063">
        <v>0</v>
      </c>
      <c r="L669" s="1056">
        <v>0</v>
      </c>
      <c r="M669" s="1063">
        <v>0</v>
      </c>
      <c r="N669" s="1056">
        <v>0</v>
      </c>
      <c r="O669" s="1234">
        <v>441</v>
      </c>
      <c r="P669" s="1234">
        <v>1042232.07</v>
      </c>
      <c r="Q669" s="1056">
        <v>0</v>
      </c>
      <c r="R669" s="1056">
        <v>0</v>
      </c>
      <c r="S669" s="1056">
        <v>0</v>
      </c>
      <c r="T669" s="1056">
        <v>0</v>
      </c>
      <c r="U669" s="1056">
        <v>0</v>
      </c>
      <c r="V669" s="1056">
        <v>0</v>
      </c>
      <c r="W669" s="1056">
        <v>0</v>
      </c>
      <c r="X669" s="1056">
        <v>0</v>
      </c>
      <c r="Y669" s="1056">
        <v>0</v>
      </c>
      <c r="Z669" s="1234">
        <v>81631.649999999994</v>
      </c>
      <c r="AA669" s="1056">
        <v>0</v>
      </c>
    </row>
    <row r="670" spans="1:27" s="1064" customFormat="1" ht="117" customHeight="1">
      <c r="A670" s="1322">
        <v>191</v>
      </c>
      <c r="B670" s="1233" t="s">
        <v>1269</v>
      </c>
      <c r="C670" s="1056">
        <f t="shared" si="369"/>
        <v>3391089.88</v>
      </c>
      <c r="D670" s="1056">
        <f t="shared" si="370"/>
        <v>0</v>
      </c>
      <c r="E670" s="1056">
        <v>0</v>
      </c>
      <c r="F670" s="1056">
        <v>0</v>
      </c>
      <c r="G670" s="1056">
        <v>0</v>
      </c>
      <c r="H670" s="1056">
        <v>0</v>
      </c>
      <c r="I670" s="1056">
        <v>0</v>
      </c>
      <c r="J670" s="1056">
        <v>0</v>
      </c>
      <c r="K670" s="1063">
        <v>0</v>
      </c>
      <c r="L670" s="1056">
        <v>0</v>
      </c>
      <c r="M670" s="1063">
        <v>0</v>
      </c>
      <c r="N670" s="1056">
        <v>0</v>
      </c>
      <c r="O670" s="1234">
        <v>938.4</v>
      </c>
      <c r="P670" s="1234">
        <v>3144778.65</v>
      </c>
      <c r="Q670" s="1056">
        <v>0</v>
      </c>
      <c r="R670" s="1056">
        <v>0</v>
      </c>
      <c r="S670" s="1056">
        <v>0</v>
      </c>
      <c r="T670" s="1056">
        <v>0</v>
      </c>
      <c r="U670" s="1056">
        <v>0</v>
      </c>
      <c r="V670" s="1056">
        <v>0</v>
      </c>
      <c r="W670" s="1056">
        <v>0</v>
      </c>
      <c r="X670" s="1056">
        <v>0</v>
      </c>
      <c r="Y670" s="1056">
        <v>0</v>
      </c>
      <c r="Z670" s="1234">
        <v>246311.23</v>
      </c>
      <c r="AA670" s="1056">
        <v>0</v>
      </c>
    </row>
    <row r="671" spans="1:27" s="1064" customFormat="1" ht="94.9" customHeight="1">
      <c r="A671" s="1322">
        <v>192</v>
      </c>
      <c r="B671" s="1233" t="s">
        <v>1760</v>
      </c>
      <c r="C671" s="1056">
        <f t="shared" si="369"/>
        <v>4001070.65</v>
      </c>
      <c r="D671" s="1056">
        <f t="shared" si="370"/>
        <v>0</v>
      </c>
      <c r="E671" s="1056">
        <v>0</v>
      </c>
      <c r="F671" s="1056">
        <v>0</v>
      </c>
      <c r="G671" s="1056">
        <v>0</v>
      </c>
      <c r="H671" s="1056">
        <v>0</v>
      </c>
      <c r="I671" s="1056">
        <v>0</v>
      </c>
      <c r="J671" s="1056">
        <v>0</v>
      </c>
      <c r="K671" s="1063">
        <v>0</v>
      </c>
      <c r="L671" s="1056">
        <v>0</v>
      </c>
      <c r="M671" s="1063">
        <v>0</v>
      </c>
      <c r="N671" s="1056">
        <v>0</v>
      </c>
      <c r="O671" s="1234">
        <v>0</v>
      </c>
      <c r="P671" s="1234">
        <v>0</v>
      </c>
      <c r="Q671" s="1056">
        <v>0</v>
      </c>
      <c r="R671" s="1056">
        <v>0</v>
      </c>
      <c r="S671" s="1056">
        <v>939.9</v>
      </c>
      <c r="T671" s="1056">
        <v>3710453.57</v>
      </c>
      <c r="U671" s="1056">
        <v>0</v>
      </c>
      <c r="V671" s="1056">
        <v>0</v>
      </c>
      <c r="W671" s="1056">
        <v>0</v>
      </c>
      <c r="X671" s="1056">
        <v>0</v>
      </c>
      <c r="Y671" s="1056">
        <v>0</v>
      </c>
      <c r="Z671" s="1234">
        <v>290617.08</v>
      </c>
      <c r="AA671" s="1056">
        <v>0</v>
      </c>
    </row>
    <row r="672" spans="1:27" s="1064" customFormat="1" ht="94.9" customHeight="1">
      <c r="A672" s="1322">
        <v>193</v>
      </c>
      <c r="B672" s="1297" t="s">
        <v>1146</v>
      </c>
      <c r="C672" s="1056">
        <f t="shared" ref="C672:C682" si="371">D672+N672+P672+R672+T672+X672+Z672</f>
        <v>3498474.04</v>
      </c>
      <c r="D672" s="1056">
        <f t="shared" ref="D672:D682" si="372">SUM(E672:J672)</f>
        <v>0</v>
      </c>
      <c r="E672" s="1056">
        <v>0</v>
      </c>
      <c r="F672" s="1056">
        <v>0</v>
      </c>
      <c r="G672" s="1056">
        <v>0</v>
      </c>
      <c r="H672" s="1056">
        <v>0</v>
      </c>
      <c r="I672" s="1056">
        <v>0</v>
      </c>
      <c r="J672" s="1056">
        <v>0</v>
      </c>
      <c r="K672" s="1063">
        <v>0</v>
      </c>
      <c r="L672" s="1056">
        <v>0</v>
      </c>
      <c r="M672" s="1063">
        <v>0</v>
      </c>
      <c r="N672" s="1056">
        <v>0</v>
      </c>
      <c r="O672" s="1234">
        <v>0</v>
      </c>
      <c r="P672" s="1234">
        <v>0</v>
      </c>
      <c r="Q672" s="1234">
        <v>0</v>
      </c>
      <c r="R672" s="1234">
        <v>0</v>
      </c>
      <c r="S672" s="1234">
        <v>1106.3699999999999</v>
      </c>
      <c r="T672" s="1234">
        <v>3244362.98</v>
      </c>
      <c r="U672" s="1056">
        <v>0</v>
      </c>
      <c r="V672" s="1232">
        <v>0</v>
      </c>
      <c r="W672" s="1234">
        <v>0</v>
      </c>
      <c r="X672" s="1265">
        <v>0</v>
      </c>
      <c r="Y672" s="1234">
        <v>0</v>
      </c>
      <c r="Z672" s="1234">
        <v>254111.06</v>
      </c>
      <c r="AA672" s="1056">
        <v>0</v>
      </c>
    </row>
    <row r="673" spans="1:27" s="1064" customFormat="1" ht="133.5" customHeight="1">
      <c r="A673" s="1322">
        <v>194</v>
      </c>
      <c r="B673" s="1297" t="s">
        <v>1276</v>
      </c>
      <c r="C673" s="1056">
        <f t="shared" si="371"/>
        <v>3480854.04</v>
      </c>
      <c r="D673" s="1056">
        <f t="shared" si="372"/>
        <v>0</v>
      </c>
      <c r="E673" s="1056">
        <v>0</v>
      </c>
      <c r="F673" s="1056">
        <v>0</v>
      </c>
      <c r="G673" s="1056">
        <v>0</v>
      </c>
      <c r="H673" s="1056">
        <v>0</v>
      </c>
      <c r="I673" s="1056">
        <v>0</v>
      </c>
      <c r="J673" s="1056">
        <v>0</v>
      </c>
      <c r="K673" s="1063">
        <v>0</v>
      </c>
      <c r="L673" s="1056">
        <v>0</v>
      </c>
      <c r="M673" s="1063">
        <v>0</v>
      </c>
      <c r="N673" s="1056">
        <v>0</v>
      </c>
      <c r="O673" s="1234">
        <v>963.24</v>
      </c>
      <c r="P673" s="1234">
        <v>3228022.8</v>
      </c>
      <c r="Q673" s="1234">
        <v>0</v>
      </c>
      <c r="R673" s="1234">
        <v>0</v>
      </c>
      <c r="S673" s="1234">
        <v>0</v>
      </c>
      <c r="T673" s="1234">
        <v>0</v>
      </c>
      <c r="U673" s="1056">
        <v>0</v>
      </c>
      <c r="V673" s="1232">
        <v>0</v>
      </c>
      <c r="W673" s="1234">
        <v>0</v>
      </c>
      <c r="X673" s="1265">
        <v>0</v>
      </c>
      <c r="Y673" s="1234">
        <v>0</v>
      </c>
      <c r="Z673" s="1234">
        <v>252831.24</v>
      </c>
      <c r="AA673" s="1056">
        <v>0</v>
      </c>
    </row>
    <row r="674" spans="1:27" s="1064" customFormat="1" ht="121.5" customHeight="1">
      <c r="A674" s="1322">
        <v>195</v>
      </c>
      <c r="B674" s="1297" t="s">
        <v>1761</v>
      </c>
      <c r="C674" s="1056">
        <f t="shared" si="371"/>
        <v>519420.24</v>
      </c>
      <c r="D674" s="1056">
        <f t="shared" si="372"/>
        <v>0</v>
      </c>
      <c r="E674" s="1056">
        <v>0</v>
      </c>
      <c r="F674" s="1056">
        <v>0</v>
      </c>
      <c r="G674" s="1056">
        <v>0</v>
      </c>
      <c r="H674" s="1056">
        <v>0</v>
      </c>
      <c r="I674" s="1056">
        <v>0</v>
      </c>
      <c r="J674" s="1056">
        <v>0</v>
      </c>
      <c r="K674" s="1063">
        <v>0</v>
      </c>
      <c r="L674" s="1056">
        <v>0</v>
      </c>
      <c r="M674" s="1063">
        <v>0</v>
      </c>
      <c r="N674" s="1056">
        <v>0</v>
      </c>
      <c r="O674" s="1234">
        <v>0</v>
      </c>
      <c r="P674" s="1234">
        <v>0</v>
      </c>
      <c r="Q674" s="1234">
        <v>300</v>
      </c>
      <c r="R674" s="1234">
        <v>481692.24</v>
      </c>
      <c r="S674" s="1234">
        <v>0</v>
      </c>
      <c r="T674" s="1234">
        <v>0</v>
      </c>
      <c r="U674" s="1056">
        <v>0</v>
      </c>
      <c r="V674" s="1232">
        <v>0</v>
      </c>
      <c r="W674" s="1234">
        <v>0</v>
      </c>
      <c r="X674" s="1265">
        <v>0</v>
      </c>
      <c r="Y674" s="1234">
        <v>0</v>
      </c>
      <c r="Z674" s="1234">
        <v>37728</v>
      </c>
      <c r="AA674" s="1056">
        <v>0</v>
      </c>
    </row>
    <row r="675" spans="1:27" s="1064" customFormat="1" ht="109.5" customHeight="1">
      <c r="A675" s="1322">
        <v>196</v>
      </c>
      <c r="B675" s="1297" t="s">
        <v>1762</v>
      </c>
      <c r="C675" s="1056">
        <f t="shared" si="371"/>
        <v>958754.61</v>
      </c>
      <c r="D675" s="1056">
        <f t="shared" si="372"/>
        <v>0</v>
      </c>
      <c r="E675" s="1056">
        <v>0</v>
      </c>
      <c r="F675" s="1056">
        <v>0</v>
      </c>
      <c r="G675" s="1056">
        <v>0</v>
      </c>
      <c r="H675" s="1056">
        <v>0</v>
      </c>
      <c r="I675" s="1056">
        <v>0</v>
      </c>
      <c r="J675" s="1056">
        <v>0</v>
      </c>
      <c r="K675" s="1063">
        <v>0</v>
      </c>
      <c r="L675" s="1056">
        <v>0</v>
      </c>
      <c r="M675" s="1063">
        <v>0</v>
      </c>
      <c r="N675" s="1056">
        <v>0</v>
      </c>
      <c r="O675" s="1234">
        <v>0</v>
      </c>
      <c r="P675" s="1234">
        <v>0</v>
      </c>
      <c r="Q675" s="1234">
        <v>0</v>
      </c>
      <c r="R675" s="1234">
        <v>0</v>
      </c>
      <c r="S675" s="1234">
        <v>303.2</v>
      </c>
      <c r="T675" s="1234">
        <v>889115.63</v>
      </c>
      <c r="U675" s="1056">
        <v>0</v>
      </c>
      <c r="V675" s="1232">
        <v>0</v>
      </c>
      <c r="W675" s="1234">
        <v>0</v>
      </c>
      <c r="X675" s="1265">
        <v>0</v>
      </c>
      <c r="Y675" s="1234">
        <v>0</v>
      </c>
      <c r="Z675" s="1234">
        <v>69638.98</v>
      </c>
      <c r="AA675" s="1056">
        <v>0</v>
      </c>
    </row>
    <row r="676" spans="1:27" s="1064" customFormat="1" ht="121.5" customHeight="1">
      <c r="A676" s="1322">
        <v>197</v>
      </c>
      <c r="B676" s="1297" t="s">
        <v>1278</v>
      </c>
      <c r="C676" s="1056">
        <f t="shared" si="371"/>
        <v>3339052.7</v>
      </c>
      <c r="D676" s="1056">
        <f t="shared" si="372"/>
        <v>0</v>
      </c>
      <c r="E676" s="1056">
        <v>0</v>
      </c>
      <c r="F676" s="1056">
        <v>0</v>
      </c>
      <c r="G676" s="1056">
        <v>0</v>
      </c>
      <c r="H676" s="1056">
        <v>0</v>
      </c>
      <c r="I676" s="1056">
        <v>0</v>
      </c>
      <c r="J676" s="1056">
        <v>0</v>
      </c>
      <c r="K676" s="1063">
        <v>0</v>
      </c>
      <c r="L676" s="1056">
        <v>0</v>
      </c>
      <c r="M676" s="1063">
        <v>0</v>
      </c>
      <c r="N676" s="1056">
        <v>0</v>
      </c>
      <c r="O676" s="1234">
        <v>924</v>
      </c>
      <c r="P676" s="1234">
        <v>3096521.18</v>
      </c>
      <c r="Q676" s="1234">
        <v>0</v>
      </c>
      <c r="R676" s="1234">
        <v>0</v>
      </c>
      <c r="S676" s="1234">
        <v>0</v>
      </c>
      <c r="T676" s="1234">
        <v>0</v>
      </c>
      <c r="U676" s="1056">
        <v>0</v>
      </c>
      <c r="V676" s="1232">
        <v>0</v>
      </c>
      <c r="W676" s="1234">
        <v>0</v>
      </c>
      <c r="X676" s="1265">
        <v>0</v>
      </c>
      <c r="Y676" s="1234">
        <v>0</v>
      </c>
      <c r="Z676" s="1234">
        <v>242531.52</v>
      </c>
      <c r="AA676" s="1056">
        <v>0</v>
      </c>
    </row>
    <row r="677" spans="1:27" s="1064" customFormat="1" ht="136.5" customHeight="1">
      <c r="A677" s="1322">
        <v>198</v>
      </c>
      <c r="B677" s="1297" t="s">
        <v>1147</v>
      </c>
      <c r="C677" s="1056">
        <f t="shared" si="371"/>
        <v>1416852.77</v>
      </c>
      <c r="D677" s="1056">
        <f t="shared" si="372"/>
        <v>0</v>
      </c>
      <c r="E677" s="1056">
        <v>0</v>
      </c>
      <c r="F677" s="1056">
        <v>0</v>
      </c>
      <c r="G677" s="1056">
        <v>0</v>
      </c>
      <c r="H677" s="1056">
        <v>0</v>
      </c>
      <c r="I677" s="1056">
        <v>0</v>
      </c>
      <c r="J677" s="1056">
        <v>0</v>
      </c>
      <c r="K677" s="1063">
        <v>0</v>
      </c>
      <c r="L677" s="1056">
        <v>0</v>
      </c>
      <c r="M677" s="1063">
        <v>0</v>
      </c>
      <c r="N677" s="1056">
        <v>0</v>
      </c>
      <c r="O677" s="1234">
        <v>332.32</v>
      </c>
      <c r="P677" s="1234">
        <v>1313939.9099999999</v>
      </c>
      <c r="Q677" s="1234">
        <v>0</v>
      </c>
      <c r="R677" s="1234">
        <v>0</v>
      </c>
      <c r="S677" s="1234">
        <v>0</v>
      </c>
      <c r="T677" s="1234">
        <v>0</v>
      </c>
      <c r="U677" s="1056">
        <v>0</v>
      </c>
      <c r="V677" s="1232">
        <v>0</v>
      </c>
      <c r="W677" s="1234">
        <v>0</v>
      </c>
      <c r="X677" s="1265">
        <v>0</v>
      </c>
      <c r="Y677" s="1234">
        <v>0</v>
      </c>
      <c r="Z677" s="1234">
        <v>102912.86</v>
      </c>
      <c r="AA677" s="1056">
        <v>0</v>
      </c>
    </row>
    <row r="678" spans="1:27" s="1064" customFormat="1" ht="94.9" customHeight="1">
      <c r="A678" s="1322">
        <v>199</v>
      </c>
      <c r="B678" s="1297" t="s">
        <v>1295</v>
      </c>
      <c r="C678" s="1056">
        <f t="shared" si="371"/>
        <v>1965482.44</v>
      </c>
      <c r="D678" s="1056">
        <f t="shared" si="372"/>
        <v>0</v>
      </c>
      <c r="E678" s="1056">
        <v>0</v>
      </c>
      <c r="F678" s="1056">
        <v>0</v>
      </c>
      <c r="G678" s="1056">
        <v>0</v>
      </c>
      <c r="H678" s="1056">
        <v>0</v>
      </c>
      <c r="I678" s="1056">
        <v>0</v>
      </c>
      <c r="J678" s="1056">
        <v>0</v>
      </c>
      <c r="K678" s="1063">
        <v>0</v>
      </c>
      <c r="L678" s="1056">
        <v>0</v>
      </c>
      <c r="M678" s="1063">
        <v>0</v>
      </c>
      <c r="N678" s="1056">
        <v>0</v>
      </c>
      <c r="O678" s="1234">
        <v>740</v>
      </c>
      <c r="P678" s="1234">
        <v>1822719.96</v>
      </c>
      <c r="Q678" s="1234">
        <v>0</v>
      </c>
      <c r="R678" s="1234">
        <v>0</v>
      </c>
      <c r="S678" s="1234">
        <v>0</v>
      </c>
      <c r="T678" s="1234">
        <v>0</v>
      </c>
      <c r="U678" s="1056">
        <v>0</v>
      </c>
      <c r="V678" s="1232">
        <v>0</v>
      </c>
      <c r="W678" s="1234">
        <v>0</v>
      </c>
      <c r="X678" s="1265">
        <v>0</v>
      </c>
      <c r="Y678" s="1234">
        <v>0</v>
      </c>
      <c r="Z678" s="1234">
        <v>142762.48000000001</v>
      </c>
      <c r="AA678" s="1056">
        <v>0</v>
      </c>
    </row>
    <row r="679" spans="1:27" s="1064" customFormat="1" ht="144.75" customHeight="1">
      <c r="A679" s="1322">
        <v>200</v>
      </c>
      <c r="B679" s="1297" t="s">
        <v>1763</v>
      </c>
      <c r="C679" s="1056">
        <f t="shared" si="371"/>
        <v>204411.03000000003</v>
      </c>
      <c r="D679" s="1056">
        <f t="shared" si="372"/>
        <v>189563.67</v>
      </c>
      <c r="E679" s="1056">
        <v>0</v>
      </c>
      <c r="F679" s="1056">
        <v>0</v>
      </c>
      <c r="G679" s="1056">
        <v>0</v>
      </c>
      <c r="H679" s="1056">
        <v>0</v>
      </c>
      <c r="I679" s="1056">
        <v>0</v>
      </c>
      <c r="J679" s="1056">
        <v>189563.67</v>
      </c>
      <c r="K679" s="1063">
        <v>0</v>
      </c>
      <c r="L679" s="1056">
        <v>0</v>
      </c>
      <c r="M679" s="1063">
        <v>0</v>
      </c>
      <c r="N679" s="1056">
        <v>0</v>
      </c>
      <c r="O679" s="1234">
        <v>0</v>
      </c>
      <c r="P679" s="1234">
        <v>0</v>
      </c>
      <c r="Q679" s="1234">
        <v>0</v>
      </c>
      <c r="R679" s="1234">
        <v>0</v>
      </c>
      <c r="S679" s="1234">
        <v>0</v>
      </c>
      <c r="T679" s="1234">
        <v>0</v>
      </c>
      <c r="U679" s="1056">
        <v>0</v>
      </c>
      <c r="V679" s="1232">
        <v>0</v>
      </c>
      <c r="W679" s="1234">
        <v>0</v>
      </c>
      <c r="X679" s="1265">
        <v>0</v>
      </c>
      <c r="Y679" s="1234">
        <v>0</v>
      </c>
      <c r="Z679" s="1234">
        <v>14847.36</v>
      </c>
      <c r="AA679" s="1056">
        <v>0</v>
      </c>
    </row>
    <row r="680" spans="1:27" s="1064" customFormat="1" ht="133.5" customHeight="1">
      <c r="A680" s="1322">
        <v>201</v>
      </c>
      <c r="B680" s="1233" t="s">
        <v>1309</v>
      </c>
      <c r="C680" s="1056">
        <f t="shared" si="371"/>
        <v>4258574.92</v>
      </c>
      <c r="D680" s="1056">
        <f t="shared" si="372"/>
        <v>0</v>
      </c>
      <c r="E680" s="1056">
        <v>0</v>
      </c>
      <c r="F680" s="1056">
        <v>0</v>
      </c>
      <c r="G680" s="1056">
        <v>0</v>
      </c>
      <c r="H680" s="1056">
        <v>0</v>
      </c>
      <c r="I680" s="1056">
        <v>0</v>
      </c>
      <c r="J680" s="1056">
        <v>0</v>
      </c>
      <c r="K680" s="1063">
        <v>0</v>
      </c>
      <c r="L680" s="1056">
        <v>0</v>
      </c>
      <c r="M680" s="1063">
        <v>0</v>
      </c>
      <c r="N680" s="1056">
        <v>0</v>
      </c>
      <c r="O680" s="1234">
        <v>479.2</v>
      </c>
      <c r="P680" s="1234">
        <v>4074222.42</v>
      </c>
      <c r="Q680" s="1234">
        <v>0</v>
      </c>
      <c r="R680" s="1234">
        <v>0</v>
      </c>
      <c r="S680" s="1234">
        <v>0</v>
      </c>
      <c r="T680" s="1234">
        <v>0</v>
      </c>
      <c r="U680" s="1056">
        <v>0</v>
      </c>
      <c r="V680" s="1232">
        <v>0</v>
      </c>
      <c r="W680" s="1234">
        <v>0</v>
      </c>
      <c r="X680" s="1265">
        <v>0</v>
      </c>
      <c r="Y680" s="1234">
        <v>0</v>
      </c>
      <c r="Z680" s="1234">
        <v>184352.5</v>
      </c>
      <c r="AA680" s="1056">
        <v>0</v>
      </c>
    </row>
    <row r="681" spans="1:27" s="1064" customFormat="1" ht="153" customHeight="1">
      <c r="A681" s="1322">
        <v>202</v>
      </c>
      <c r="B681" s="1297" t="s">
        <v>1764</v>
      </c>
      <c r="C681" s="1056">
        <f t="shared" si="371"/>
        <v>2160751.63</v>
      </c>
      <c r="D681" s="1056">
        <f t="shared" si="372"/>
        <v>0</v>
      </c>
      <c r="E681" s="1056">
        <v>0</v>
      </c>
      <c r="F681" s="1056">
        <v>0</v>
      </c>
      <c r="G681" s="1056">
        <v>0</v>
      </c>
      <c r="H681" s="1056">
        <v>0</v>
      </c>
      <c r="I681" s="1056">
        <v>0</v>
      </c>
      <c r="J681" s="1056">
        <v>0</v>
      </c>
      <c r="K681" s="1063">
        <v>0</v>
      </c>
      <c r="L681" s="1056">
        <v>0</v>
      </c>
      <c r="M681" s="1063">
        <v>0</v>
      </c>
      <c r="N681" s="1056">
        <v>0</v>
      </c>
      <c r="O681" s="1234">
        <v>506.8</v>
      </c>
      <c r="P681" s="1234">
        <v>2003805.81</v>
      </c>
      <c r="Q681" s="1234">
        <v>0</v>
      </c>
      <c r="R681" s="1234">
        <v>0</v>
      </c>
      <c r="S681" s="1234">
        <v>0</v>
      </c>
      <c r="T681" s="1234">
        <v>0</v>
      </c>
      <c r="U681" s="1056">
        <v>0</v>
      </c>
      <c r="V681" s="1232">
        <v>0</v>
      </c>
      <c r="W681" s="1234">
        <v>0</v>
      </c>
      <c r="X681" s="1265">
        <v>0</v>
      </c>
      <c r="Y681" s="1234">
        <v>0</v>
      </c>
      <c r="Z681" s="1234">
        <v>156945.82</v>
      </c>
      <c r="AA681" s="1056">
        <v>0</v>
      </c>
    </row>
    <row r="682" spans="1:27" s="1064" customFormat="1" ht="94.9" customHeight="1">
      <c r="A682" s="1322">
        <v>203</v>
      </c>
      <c r="B682" s="1233" t="s">
        <v>1277</v>
      </c>
      <c r="C682" s="1056">
        <f t="shared" si="371"/>
        <v>60340</v>
      </c>
      <c r="D682" s="1056">
        <f t="shared" si="372"/>
        <v>0</v>
      </c>
      <c r="E682" s="1056">
        <v>0</v>
      </c>
      <c r="F682" s="1056">
        <v>0</v>
      </c>
      <c r="G682" s="1056">
        <v>0</v>
      </c>
      <c r="H682" s="1056">
        <v>0</v>
      </c>
      <c r="I682" s="1056">
        <v>0</v>
      </c>
      <c r="J682" s="1056">
        <v>0</v>
      </c>
      <c r="K682" s="1063">
        <v>0</v>
      </c>
      <c r="L682" s="1056">
        <v>0</v>
      </c>
      <c r="M682" s="1063">
        <v>0</v>
      </c>
      <c r="N682" s="1056">
        <v>0</v>
      </c>
      <c r="O682" s="1234">
        <v>0</v>
      </c>
      <c r="P682" s="1234">
        <v>0</v>
      </c>
      <c r="Q682" s="1234">
        <v>0</v>
      </c>
      <c r="R682" s="1234">
        <v>0</v>
      </c>
      <c r="S682" s="1234">
        <v>0</v>
      </c>
      <c r="T682" s="1234">
        <v>0</v>
      </c>
      <c r="U682" s="1056">
        <v>0</v>
      </c>
      <c r="V682" s="1232">
        <v>0</v>
      </c>
      <c r="W682" s="1234">
        <v>0</v>
      </c>
      <c r="X682" s="1265">
        <v>0</v>
      </c>
      <c r="Y682" s="1234">
        <v>0</v>
      </c>
      <c r="Z682" s="1109">
        <v>60340</v>
      </c>
      <c r="AA682" s="1056">
        <v>0</v>
      </c>
    </row>
    <row r="683" spans="1:27" s="1064" customFormat="1" ht="121.5" customHeight="1">
      <c r="A683" s="1322"/>
      <c r="B683" s="1055" t="s">
        <v>1244</v>
      </c>
      <c r="C683" s="1056">
        <f t="shared" ref="C683:T683" si="373">SUM(C684:C700)</f>
        <v>84597615.25999999</v>
      </c>
      <c r="D683" s="1056">
        <f t="shared" si="373"/>
        <v>0</v>
      </c>
      <c r="E683" s="1056">
        <f t="shared" si="373"/>
        <v>0</v>
      </c>
      <c r="F683" s="1056">
        <f t="shared" si="373"/>
        <v>0</v>
      </c>
      <c r="G683" s="1056">
        <f t="shared" si="373"/>
        <v>0</v>
      </c>
      <c r="H683" s="1056">
        <f t="shared" si="373"/>
        <v>0</v>
      </c>
      <c r="I683" s="1056">
        <f t="shared" si="373"/>
        <v>0</v>
      </c>
      <c r="J683" s="1056">
        <f t="shared" si="373"/>
        <v>0</v>
      </c>
      <c r="K683" s="1063">
        <f t="shared" si="373"/>
        <v>0</v>
      </c>
      <c r="L683" s="1056">
        <f t="shared" si="373"/>
        <v>0</v>
      </c>
      <c r="M683" s="1063">
        <f t="shared" si="373"/>
        <v>0</v>
      </c>
      <c r="N683" s="1056">
        <f t="shared" si="373"/>
        <v>0</v>
      </c>
      <c r="O683" s="1056">
        <f t="shared" si="373"/>
        <v>14161.84</v>
      </c>
      <c r="P683" s="1056">
        <f t="shared" si="373"/>
        <v>66322354.280000001</v>
      </c>
      <c r="Q683" s="1056">
        <f t="shared" si="373"/>
        <v>0</v>
      </c>
      <c r="R683" s="1056">
        <f t="shared" si="373"/>
        <v>0</v>
      </c>
      <c r="S683" s="1056">
        <f t="shared" si="373"/>
        <v>4348</v>
      </c>
      <c r="T683" s="1056">
        <f t="shared" si="373"/>
        <v>12750246.51</v>
      </c>
      <c r="U683" s="1056">
        <v>0</v>
      </c>
      <c r="V683" s="1056">
        <v>0</v>
      </c>
      <c r="W683" s="1056">
        <f>SUM(W684:W700)</f>
        <v>0</v>
      </c>
      <c r="X683" s="1056">
        <f>SUM(X684:X700)</f>
        <v>0</v>
      </c>
      <c r="Y683" s="1056">
        <v>0</v>
      </c>
      <c r="Z683" s="1056">
        <f>SUM(Z684:Z700)</f>
        <v>5525014.4699999997</v>
      </c>
      <c r="AA683" s="1056">
        <f>SUM(AA684:AA700)</f>
        <v>0</v>
      </c>
    </row>
    <row r="684" spans="1:27" s="1064" customFormat="1" ht="101.25" customHeight="1">
      <c r="A684" s="1322">
        <v>204</v>
      </c>
      <c r="B684" s="1242" t="s">
        <v>1246</v>
      </c>
      <c r="C684" s="1056">
        <f t="shared" ref="C684" si="374">D684+N684+P684+R684+T684+X684+Z684</f>
        <v>3525282.72</v>
      </c>
      <c r="D684" s="1056">
        <f t="shared" ref="D684" si="375">SUM(E684:J684)</f>
        <v>0</v>
      </c>
      <c r="E684" s="1056">
        <v>0</v>
      </c>
      <c r="F684" s="1056">
        <v>0</v>
      </c>
      <c r="G684" s="1056">
        <v>0</v>
      </c>
      <c r="H684" s="1056">
        <v>0</v>
      </c>
      <c r="I684" s="1056">
        <v>0</v>
      </c>
      <c r="J684" s="1056">
        <v>0</v>
      </c>
      <c r="K684" s="1063">
        <v>0</v>
      </c>
      <c r="L684" s="1056">
        <v>0</v>
      </c>
      <c r="M684" s="1063">
        <v>0</v>
      </c>
      <c r="N684" s="1056">
        <v>0</v>
      </c>
      <c r="O684" s="1234">
        <v>894</v>
      </c>
      <c r="P684" s="1109">
        <v>3363063.68</v>
      </c>
      <c r="Q684" s="1056">
        <v>0</v>
      </c>
      <c r="R684" s="1056">
        <v>0</v>
      </c>
      <c r="S684" s="1056">
        <v>0</v>
      </c>
      <c r="T684" s="1056">
        <v>0</v>
      </c>
      <c r="U684" s="1056">
        <v>0</v>
      </c>
      <c r="V684" s="1056">
        <v>0</v>
      </c>
      <c r="W684" s="1056">
        <v>0</v>
      </c>
      <c r="X684" s="1056">
        <v>0</v>
      </c>
      <c r="Y684" s="1056">
        <v>0</v>
      </c>
      <c r="Z684" s="1265">
        <v>162219.04</v>
      </c>
      <c r="AA684" s="1056">
        <v>0</v>
      </c>
    </row>
    <row r="685" spans="1:27" s="1064" customFormat="1" ht="101.25" customHeight="1">
      <c r="A685" s="1322">
        <v>205</v>
      </c>
      <c r="B685" s="1242" t="s">
        <v>1986</v>
      </c>
      <c r="C685" s="1056">
        <f t="shared" ref="C685:C699" si="376">D685+N685+P685+R685+T685+X685+Z685</f>
        <v>4196830.01</v>
      </c>
      <c r="D685" s="1056">
        <f t="shared" ref="D685:D699" si="377">SUM(E685:J685)</f>
        <v>0</v>
      </c>
      <c r="E685" s="1056">
        <v>0</v>
      </c>
      <c r="F685" s="1056">
        <v>0</v>
      </c>
      <c r="G685" s="1056">
        <v>0</v>
      </c>
      <c r="H685" s="1056">
        <v>0</v>
      </c>
      <c r="I685" s="1056">
        <v>0</v>
      </c>
      <c r="J685" s="1056">
        <v>0</v>
      </c>
      <c r="K685" s="1063">
        <v>0</v>
      </c>
      <c r="L685" s="1056">
        <v>0</v>
      </c>
      <c r="M685" s="1063">
        <v>0</v>
      </c>
      <c r="N685" s="1056">
        <v>0</v>
      </c>
      <c r="O685" s="1234">
        <v>1071</v>
      </c>
      <c r="P685" s="1109">
        <v>4028905.15</v>
      </c>
      <c r="Q685" s="1056">
        <v>0</v>
      </c>
      <c r="R685" s="1056">
        <v>0</v>
      </c>
      <c r="S685" s="1056">
        <v>0</v>
      </c>
      <c r="T685" s="1056">
        <v>0</v>
      </c>
      <c r="U685" s="1056">
        <v>0</v>
      </c>
      <c r="V685" s="1056">
        <v>0</v>
      </c>
      <c r="W685" s="1056">
        <v>0</v>
      </c>
      <c r="X685" s="1056">
        <v>0</v>
      </c>
      <c r="Y685" s="1056">
        <v>0</v>
      </c>
      <c r="Z685" s="1265">
        <v>167924.86</v>
      </c>
      <c r="AA685" s="1056">
        <v>0</v>
      </c>
    </row>
    <row r="686" spans="1:27" s="1064" customFormat="1" ht="101.25" customHeight="1">
      <c r="A686" s="1322">
        <v>206</v>
      </c>
      <c r="B686" s="1242" t="s">
        <v>1987</v>
      </c>
      <c r="C686" s="1056">
        <f t="shared" si="376"/>
        <v>4615004.63</v>
      </c>
      <c r="D686" s="1056">
        <f t="shared" si="377"/>
        <v>0</v>
      </c>
      <c r="E686" s="1056">
        <v>0</v>
      </c>
      <c r="F686" s="1056">
        <v>0</v>
      </c>
      <c r="G686" s="1056">
        <v>0</v>
      </c>
      <c r="H686" s="1056">
        <v>0</v>
      </c>
      <c r="I686" s="1056">
        <v>0</v>
      </c>
      <c r="J686" s="1056">
        <v>0</v>
      </c>
      <c r="K686" s="1063">
        <v>0</v>
      </c>
      <c r="L686" s="1056">
        <v>0</v>
      </c>
      <c r="M686" s="1063">
        <v>0</v>
      </c>
      <c r="N686" s="1056">
        <v>0</v>
      </c>
      <c r="O686" s="1234">
        <v>1171</v>
      </c>
      <c r="P686" s="1109">
        <v>4405086.7699999996</v>
      </c>
      <c r="Q686" s="1056">
        <v>0</v>
      </c>
      <c r="R686" s="1056">
        <v>0</v>
      </c>
      <c r="S686" s="1056">
        <v>0</v>
      </c>
      <c r="T686" s="1056">
        <v>0</v>
      </c>
      <c r="U686" s="1056">
        <v>0</v>
      </c>
      <c r="V686" s="1056">
        <v>0</v>
      </c>
      <c r="W686" s="1056">
        <v>0</v>
      </c>
      <c r="X686" s="1056">
        <v>0</v>
      </c>
      <c r="Y686" s="1056">
        <v>0</v>
      </c>
      <c r="Z686" s="1265">
        <v>209917.86</v>
      </c>
      <c r="AA686" s="1056">
        <v>0</v>
      </c>
    </row>
    <row r="687" spans="1:27" s="1064" customFormat="1" ht="101.25" customHeight="1">
      <c r="A687" s="1322">
        <v>207</v>
      </c>
      <c r="B687" s="1298" t="s">
        <v>1988</v>
      </c>
      <c r="C687" s="1056">
        <f t="shared" si="376"/>
        <v>5661296.2299999995</v>
      </c>
      <c r="D687" s="1056">
        <f t="shared" si="377"/>
        <v>0</v>
      </c>
      <c r="E687" s="1056">
        <v>0</v>
      </c>
      <c r="F687" s="1056">
        <v>0</v>
      </c>
      <c r="G687" s="1056">
        <v>0</v>
      </c>
      <c r="H687" s="1056">
        <v>0</v>
      </c>
      <c r="I687" s="1056">
        <v>0</v>
      </c>
      <c r="J687" s="1056">
        <v>0</v>
      </c>
      <c r="K687" s="1063">
        <v>0</v>
      </c>
      <c r="L687" s="1056">
        <v>0</v>
      </c>
      <c r="M687" s="1063">
        <v>0</v>
      </c>
      <c r="N687" s="1056">
        <v>0</v>
      </c>
      <c r="O687" s="1234">
        <v>1429</v>
      </c>
      <c r="P687" s="1109">
        <v>5377516.2599999998</v>
      </c>
      <c r="Q687" s="1056">
        <v>0</v>
      </c>
      <c r="R687" s="1056">
        <v>0</v>
      </c>
      <c r="S687" s="1056">
        <v>0</v>
      </c>
      <c r="T687" s="1056">
        <v>0</v>
      </c>
      <c r="U687" s="1056">
        <v>0</v>
      </c>
      <c r="V687" s="1056">
        <v>0</v>
      </c>
      <c r="W687" s="1056">
        <v>0</v>
      </c>
      <c r="X687" s="1056">
        <v>0</v>
      </c>
      <c r="Y687" s="1056">
        <v>0</v>
      </c>
      <c r="Z687" s="1265">
        <v>283779.96999999997</v>
      </c>
      <c r="AA687" s="1056">
        <v>0</v>
      </c>
    </row>
    <row r="688" spans="1:27" s="1064" customFormat="1" ht="101.25" customHeight="1">
      <c r="A688" s="1322">
        <v>208</v>
      </c>
      <c r="B688" s="1299" t="s">
        <v>2155</v>
      </c>
      <c r="C688" s="1056">
        <f t="shared" si="376"/>
        <v>3919423.39</v>
      </c>
      <c r="D688" s="1056">
        <f t="shared" si="377"/>
        <v>0</v>
      </c>
      <c r="E688" s="1056">
        <v>0</v>
      </c>
      <c r="F688" s="1056">
        <v>0</v>
      </c>
      <c r="G688" s="1056">
        <v>0</v>
      </c>
      <c r="H688" s="1056">
        <v>0</v>
      </c>
      <c r="I688" s="1056">
        <v>0</v>
      </c>
      <c r="J688" s="1056">
        <v>0</v>
      </c>
      <c r="K688" s="1063">
        <v>0</v>
      </c>
      <c r="L688" s="1056">
        <v>0</v>
      </c>
      <c r="M688" s="1063">
        <v>0</v>
      </c>
      <c r="N688" s="1056">
        <v>0</v>
      </c>
      <c r="O688" s="1234">
        <v>992</v>
      </c>
      <c r="P688" s="1109">
        <v>3731721.67</v>
      </c>
      <c r="Q688" s="1056">
        <v>0</v>
      </c>
      <c r="R688" s="1056">
        <v>0</v>
      </c>
      <c r="S688" s="1056">
        <v>0</v>
      </c>
      <c r="T688" s="1056">
        <v>0</v>
      </c>
      <c r="U688" s="1056">
        <v>0</v>
      </c>
      <c r="V688" s="1056">
        <v>0</v>
      </c>
      <c r="W688" s="1056">
        <v>0</v>
      </c>
      <c r="X688" s="1056">
        <v>0</v>
      </c>
      <c r="Y688" s="1056">
        <v>0</v>
      </c>
      <c r="Z688" s="1265">
        <v>187701.72</v>
      </c>
      <c r="AA688" s="1056">
        <v>0</v>
      </c>
    </row>
    <row r="689" spans="1:27" s="1064" customFormat="1" ht="101.25" customHeight="1">
      <c r="A689" s="1322">
        <v>209</v>
      </c>
      <c r="B689" s="1242" t="s">
        <v>1252</v>
      </c>
      <c r="C689" s="1056">
        <f t="shared" si="376"/>
        <v>4368894.3599999994</v>
      </c>
      <c r="D689" s="1056">
        <f t="shared" si="377"/>
        <v>0</v>
      </c>
      <c r="E689" s="1056">
        <v>0</v>
      </c>
      <c r="F689" s="1056">
        <v>0</v>
      </c>
      <c r="G689" s="1056">
        <v>0</v>
      </c>
      <c r="H689" s="1056">
        <v>0</v>
      </c>
      <c r="I689" s="1056">
        <v>0</v>
      </c>
      <c r="J689" s="1056">
        <v>0</v>
      </c>
      <c r="K689" s="1063">
        <v>0</v>
      </c>
      <c r="L689" s="1056">
        <v>0</v>
      </c>
      <c r="M689" s="1063">
        <v>0</v>
      </c>
      <c r="N689" s="1056">
        <v>0</v>
      </c>
      <c r="O689" s="1234">
        <v>900</v>
      </c>
      <c r="P689" s="1109">
        <v>4077837.36</v>
      </c>
      <c r="Q689" s="1056">
        <v>0</v>
      </c>
      <c r="R689" s="1056">
        <v>0</v>
      </c>
      <c r="S689" s="1056">
        <v>0</v>
      </c>
      <c r="T689" s="1056">
        <v>0</v>
      </c>
      <c r="U689" s="1056">
        <v>0</v>
      </c>
      <c r="V689" s="1056">
        <v>0</v>
      </c>
      <c r="W689" s="1056">
        <v>0</v>
      </c>
      <c r="X689" s="1056">
        <v>0</v>
      </c>
      <c r="Y689" s="1056">
        <v>0</v>
      </c>
      <c r="Z689" s="1265">
        <v>291057</v>
      </c>
      <c r="AA689" s="1056">
        <v>0</v>
      </c>
    </row>
    <row r="690" spans="1:27" s="1064" customFormat="1" ht="101.25" customHeight="1">
      <c r="A690" s="1322">
        <v>210</v>
      </c>
      <c r="B690" s="1242" t="s">
        <v>1253</v>
      </c>
      <c r="C690" s="1056">
        <f t="shared" si="376"/>
        <v>7047781.0999999996</v>
      </c>
      <c r="D690" s="1056">
        <f t="shared" si="377"/>
        <v>0</v>
      </c>
      <c r="E690" s="1056">
        <v>0</v>
      </c>
      <c r="F690" s="1056">
        <v>0</v>
      </c>
      <c r="G690" s="1056">
        <v>0</v>
      </c>
      <c r="H690" s="1056">
        <v>0</v>
      </c>
      <c r="I690" s="1056">
        <v>0</v>
      </c>
      <c r="J690" s="1056">
        <v>0</v>
      </c>
      <c r="K690" s="1063">
        <v>0</v>
      </c>
      <c r="L690" s="1056">
        <v>0</v>
      </c>
      <c r="M690" s="1063">
        <v>0</v>
      </c>
      <c r="N690" s="1056">
        <v>0</v>
      </c>
      <c r="O690" s="1234">
        <v>1442</v>
      </c>
      <c r="P690" s="1109">
        <v>6535867.0999999996</v>
      </c>
      <c r="Q690" s="1056">
        <v>0</v>
      </c>
      <c r="R690" s="1056">
        <v>0</v>
      </c>
      <c r="S690" s="1056">
        <v>0</v>
      </c>
      <c r="T690" s="1056">
        <v>0</v>
      </c>
      <c r="U690" s="1056">
        <v>0</v>
      </c>
      <c r="V690" s="1056">
        <v>0</v>
      </c>
      <c r="W690" s="1056">
        <v>0</v>
      </c>
      <c r="X690" s="1056">
        <v>0</v>
      </c>
      <c r="Y690" s="1056">
        <v>0</v>
      </c>
      <c r="Z690" s="1265">
        <v>511914</v>
      </c>
      <c r="AA690" s="1056">
        <v>0</v>
      </c>
    </row>
    <row r="691" spans="1:27" s="1064" customFormat="1" ht="101.25" customHeight="1">
      <c r="A691" s="1322">
        <v>211</v>
      </c>
      <c r="B691" s="1242" t="s">
        <v>1989</v>
      </c>
      <c r="C691" s="1056">
        <f t="shared" si="376"/>
        <v>1198875.73</v>
      </c>
      <c r="D691" s="1056">
        <f t="shared" si="377"/>
        <v>0</v>
      </c>
      <c r="E691" s="1056">
        <v>0</v>
      </c>
      <c r="F691" s="1056">
        <v>0</v>
      </c>
      <c r="G691" s="1056">
        <v>0</v>
      </c>
      <c r="H691" s="1056">
        <v>0</v>
      </c>
      <c r="I691" s="1056">
        <v>0</v>
      </c>
      <c r="J691" s="1056">
        <v>0</v>
      </c>
      <c r="K691" s="1063">
        <v>0</v>
      </c>
      <c r="L691" s="1056">
        <v>0</v>
      </c>
      <c r="M691" s="1063">
        <v>0</v>
      </c>
      <c r="N691" s="1056">
        <v>0</v>
      </c>
      <c r="O691" s="1234">
        <v>299</v>
      </c>
      <c r="P691" s="1109">
        <v>1124783.04</v>
      </c>
      <c r="Q691" s="1056">
        <v>0</v>
      </c>
      <c r="R691" s="1056">
        <v>0</v>
      </c>
      <c r="S691" s="1056">
        <v>0</v>
      </c>
      <c r="T691" s="1056">
        <v>0</v>
      </c>
      <c r="U691" s="1056">
        <v>0</v>
      </c>
      <c r="V691" s="1056">
        <v>0</v>
      </c>
      <c r="W691" s="1056">
        <v>0</v>
      </c>
      <c r="X691" s="1056">
        <v>0</v>
      </c>
      <c r="Y691" s="1056">
        <v>0</v>
      </c>
      <c r="Z691" s="1265">
        <v>74092.69</v>
      </c>
      <c r="AA691" s="1056">
        <v>0</v>
      </c>
    </row>
    <row r="692" spans="1:27" s="1064" customFormat="1" ht="101.25" customHeight="1">
      <c r="A692" s="1322">
        <v>212</v>
      </c>
      <c r="B692" s="1300" t="s">
        <v>1315</v>
      </c>
      <c r="C692" s="1056">
        <f t="shared" si="376"/>
        <v>791997</v>
      </c>
      <c r="D692" s="1056">
        <f t="shared" si="377"/>
        <v>0</v>
      </c>
      <c r="E692" s="1056">
        <v>0</v>
      </c>
      <c r="F692" s="1056">
        <v>0</v>
      </c>
      <c r="G692" s="1056">
        <v>0</v>
      </c>
      <c r="H692" s="1056">
        <v>0</v>
      </c>
      <c r="I692" s="1056">
        <v>0</v>
      </c>
      <c r="J692" s="1056">
        <v>0</v>
      </c>
      <c r="K692" s="1063">
        <v>0</v>
      </c>
      <c r="L692" s="1056">
        <v>0</v>
      </c>
      <c r="M692" s="1063">
        <v>0</v>
      </c>
      <c r="N692" s="1056">
        <v>0</v>
      </c>
      <c r="O692" s="1234">
        <v>234</v>
      </c>
      <c r="P692" s="1109">
        <v>734470</v>
      </c>
      <c r="Q692" s="1056">
        <v>0</v>
      </c>
      <c r="R692" s="1056">
        <v>0</v>
      </c>
      <c r="S692" s="1056">
        <v>0</v>
      </c>
      <c r="T692" s="1056">
        <v>0</v>
      </c>
      <c r="U692" s="1056">
        <v>0</v>
      </c>
      <c r="V692" s="1056">
        <v>0</v>
      </c>
      <c r="W692" s="1056">
        <v>0</v>
      </c>
      <c r="X692" s="1056">
        <v>0</v>
      </c>
      <c r="Y692" s="1056">
        <v>0</v>
      </c>
      <c r="Z692" s="1265">
        <v>57527</v>
      </c>
      <c r="AA692" s="1056">
        <v>0</v>
      </c>
    </row>
    <row r="693" spans="1:27" s="1064" customFormat="1" ht="101.25" customHeight="1">
      <c r="A693" s="1322">
        <v>213</v>
      </c>
      <c r="B693" s="1300" t="s">
        <v>1314</v>
      </c>
      <c r="C693" s="1056">
        <f t="shared" si="376"/>
        <v>6608643</v>
      </c>
      <c r="D693" s="1056">
        <f t="shared" si="377"/>
        <v>0</v>
      </c>
      <c r="E693" s="1056">
        <v>0</v>
      </c>
      <c r="F693" s="1056">
        <v>0</v>
      </c>
      <c r="G693" s="1056">
        <v>0</v>
      </c>
      <c r="H693" s="1056">
        <v>0</v>
      </c>
      <c r="I693" s="1056">
        <v>0</v>
      </c>
      <c r="J693" s="1056">
        <v>0</v>
      </c>
      <c r="K693" s="1063">
        <v>0</v>
      </c>
      <c r="L693" s="1056">
        <v>0</v>
      </c>
      <c r="M693" s="1063">
        <v>0</v>
      </c>
      <c r="N693" s="1056">
        <v>0</v>
      </c>
      <c r="O693" s="1234">
        <v>860</v>
      </c>
      <c r="P693" s="1109">
        <v>6128625</v>
      </c>
      <c r="Q693" s="1056">
        <v>0</v>
      </c>
      <c r="R693" s="1056">
        <v>0</v>
      </c>
      <c r="S693" s="1056">
        <v>0</v>
      </c>
      <c r="T693" s="1056">
        <v>0</v>
      </c>
      <c r="U693" s="1056">
        <v>0</v>
      </c>
      <c r="V693" s="1056">
        <v>0</v>
      </c>
      <c r="W693" s="1056">
        <v>0</v>
      </c>
      <c r="X693" s="1056">
        <v>0</v>
      </c>
      <c r="Y693" s="1056">
        <v>0</v>
      </c>
      <c r="Z693" s="1265">
        <v>480018</v>
      </c>
      <c r="AA693" s="1056">
        <v>0</v>
      </c>
    </row>
    <row r="694" spans="1:27" s="1064" customFormat="1" ht="101.25" customHeight="1">
      <c r="A694" s="1322">
        <v>214</v>
      </c>
      <c r="B694" s="1233" t="s">
        <v>1313</v>
      </c>
      <c r="C694" s="1056">
        <f t="shared" si="376"/>
        <v>3346280.09</v>
      </c>
      <c r="D694" s="1056">
        <f t="shared" si="377"/>
        <v>0</v>
      </c>
      <c r="E694" s="1056">
        <v>0</v>
      </c>
      <c r="F694" s="1056">
        <v>0</v>
      </c>
      <c r="G694" s="1056">
        <v>0</v>
      </c>
      <c r="H694" s="1056">
        <v>0</v>
      </c>
      <c r="I694" s="1056">
        <v>0</v>
      </c>
      <c r="J694" s="1056">
        <v>0</v>
      </c>
      <c r="K694" s="1063">
        <v>0</v>
      </c>
      <c r="L694" s="1056">
        <v>0</v>
      </c>
      <c r="M694" s="1063">
        <v>0</v>
      </c>
      <c r="N694" s="1056">
        <v>0</v>
      </c>
      <c r="O694" s="1234">
        <v>926</v>
      </c>
      <c r="P694" s="1109">
        <v>3103223.61</v>
      </c>
      <c r="Q694" s="1056">
        <v>0</v>
      </c>
      <c r="R694" s="1056">
        <v>0</v>
      </c>
      <c r="S694" s="1056">
        <v>0</v>
      </c>
      <c r="T694" s="1056">
        <v>0</v>
      </c>
      <c r="U694" s="1056">
        <v>0</v>
      </c>
      <c r="V694" s="1056">
        <v>0</v>
      </c>
      <c r="W694" s="1056">
        <v>0</v>
      </c>
      <c r="X694" s="1056">
        <v>0</v>
      </c>
      <c r="Y694" s="1056">
        <v>0</v>
      </c>
      <c r="Z694" s="1265">
        <v>243056.48</v>
      </c>
      <c r="AA694" s="1056">
        <v>0</v>
      </c>
    </row>
    <row r="695" spans="1:27" s="1064" customFormat="1" ht="101.25" customHeight="1">
      <c r="A695" s="1322">
        <v>215</v>
      </c>
      <c r="B695" s="1233" t="s">
        <v>1313</v>
      </c>
      <c r="C695" s="1056">
        <f t="shared" si="376"/>
        <v>8208861.96</v>
      </c>
      <c r="D695" s="1056">
        <f t="shared" si="377"/>
        <v>0</v>
      </c>
      <c r="E695" s="1056">
        <v>0</v>
      </c>
      <c r="F695" s="1056">
        <v>0</v>
      </c>
      <c r="G695" s="1056">
        <v>0</v>
      </c>
      <c r="H695" s="1056">
        <v>0</v>
      </c>
      <c r="I695" s="1056">
        <v>0</v>
      </c>
      <c r="J695" s="1056">
        <v>0</v>
      </c>
      <c r="K695" s="1063">
        <v>0</v>
      </c>
      <c r="L695" s="1056">
        <v>0</v>
      </c>
      <c r="M695" s="1063">
        <v>0</v>
      </c>
      <c r="N695" s="1056">
        <v>0</v>
      </c>
      <c r="O695" s="1109">
        <v>0</v>
      </c>
      <c r="P695" s="1109">
        <v>0</v>
      </c>
      <c r="Q695" s="1056">
        <v>0</v>
      </c>
      <c r="R695" s="1056">
        <v>0</v>
      </c>
      <c r="S695" s="1265">
        <v>2596</v>
      </c>
      <c r="T695" s="1265">
        <v>7612612.6799999997</v>
      </c>
      <c r="U695" s="1056">
        <v>0</v>
      </c>
      <c r="V695" s="1056">
        <v>0</v>
      </c>
      <c r="W695" s="1056">
        <v>0</v>
      </c>
      <c r="X695" s="1056">
        <v>0</v>
      </c>
      <c r="Y695" s="1056">
        <v>0</v>
      </c>
      <c r="Z695" s="1265">
        <v>596249.28</v>
      </c>
      <c r="AA695" s="1056">
        <v>0</v>
      </c>
    </row>
    <row r="696" spans="1:27" s="1064" customFormat="1" ht="101.25" customHeight="1">
      <c r="A696" s="1322">
        <v>216</v>
      </c>
      <c r="B696" s="1233" t="s">
        <v>1982</v>
      </c>
      <c r="C696" s="1056">
        <f t="shared" si="376"/>
        <v>3183530.62</v>
      </c>
      <c r="D696" s="1056">
        <f t="shared" si="377"/>
        <v>0</v>
      </c>
      <c r="E696" s="1056">
        <v>0</v>
      </c>
      <c r="F696" s="1056">
        <v>0</v>
      </c>
      <c r="G696" s="1056">
        <v>0</v>
      </c>
      <c r="H696" s="1056">
        <v>0</v>
      </c>
      <c r="I696" s="1056">
        <v>0</v>
      </c>
      <c r="J696" s="1056">
        <v>0</v>
      </c>
      <c r="K696" s="1063">
        <v>0</v>
      </c>
      <c r="L696" s="1056">
        <v>0</v>
      </c>
      <c r="M696" s="1063">
        <v>0</v>
      </c>
      <c r="N696" s="1056">
        <v>0</v>
      </c>
      <c r="O696" s="1234">
        <v>620</v>
      </c>
      <c r="P696" s="1109">
        <v>2952295.42</v>
      </c>
      <c r="Q696" s="1056">
        <v>0</v>
      </c>
      <c r="R696" s="1056">
        <v>0</v>
      </c>
      <c r="S696" s="1301"/>
      <c r="T696" s="1301"/>
      <c r="U696" s="1056">
        <v>0</v>
      </c>
      <c r="V696" s="1056">
        <v>0</v>
      </c>
      <c r="W696" s="1056">
        <v>0</v>
      </c>
      <c r="X696" s="1056">
        <v>0</v>
      </c>
      <c r="Y696" s="1056">
        <v>0</v>
      </c>
      <c r="Z696" s="1265">
        <v>231235.20000000001</v>
      </c>
      <c r="AA696" s="1056">
        <v>0</v>
      </c>
    </row>
    <row r="697" spans="1:27" s="1064" customFormat="1" ht="101.25" customHeight="1">
      <c r="A697" s="1322">
        <v>217</v>
      </c>
      <c r="B697" s="1233" t="s">
        <v>1982</v>
      </c>
      <c r="C697" s="1056">
        <f t="shared" ref="C697" si="378">D697+N697+P697+R697+T697+X697+Z697</f>
        <v>5540033.1900000004</v>
      </c>
      <c r="D697" s="1056">
        <f t="shared" ref="D697" si="379">SUM(E697:J697)</f>
        <v>0</v>
      </c>
      <c r="E697" s="1056">
        <v>0</v>
      </c>
      <c r="F697" s="1056">
        <v>0</v>
      </c>
      <c r="G697" s="1056">
        <v>0</v>
      </c>
      <c r="H697" s="1056">
        <v>0</v>
      </c>
      <c r="I697" s="1056">
        <v>0</v>
      </c>
      <c r="J697" s="1056">
        <v>0</v>
      </c>
      <c r="K697" s="1063">
        <v>0</v>
      </c>
      <c r="L697" s="1056">
        <v>0</v>
      </c>
      <c r="M697" s="1063">
        <v>0</v>
      </c>
      <c r="N697" s="1056">
        <v>0</v>
      </c>
      <c r="O697" s="1109">
        <v>0</v>
      </c>
      <c r="P697" s="1109">
        <v>0</v>
      </c>
      <c r="Q697" s="1056">
        <v>0</v>
      </c>
      <c r="R697" s="1056">
        <v>0</v>
      </c>
      <c r="S697" s="1265">
        <v>1752</v>
      </c>
      <c r="T697" s="1265">
        <v>5137633.83</v>
      </c>
      <c r="U697" s="1056">
        <v>0</v>
      </c>
      <c r="V697" s="1056">
        <v>0</v>
      </c>
      <c r="W697" s="1056">
        <v>0</v>
      </c>
      <c r="X697" s="1056">
        <v>0</v>
      </c>
      <c r="Y697" s="1056">
        <v>0</v>
      </c>
      <c r="Z697" s="1265">
        <v>402399.36</v>
      </c>
      <c r="AA697" s="1056">
        <v>0</v>
      </c>
    </row>
    <row r="698" spans="1:27" s="1064" customFormat="1" ht="101.25" customHeight="1">
      <c r="A698" s="1322">
        <v>218</v>
      </c>
      <c r="B698" s="1233" t="s">
        <v>1983</v>
      </c>
      <c r="C698" s="1056">
        <f t="shared" si="376"/>
        <v>12909905.9</v>
      </c>
      <c r="D698" s="1056">
        <f t="shared" si="377"/>
        <v>0</v>
      </c>
      <c r="E698" s="1056">
        <v>0</v>
      </c>
      <c r="F698" s="1056">
        <v>0</v>
      </c>
      <c r="G698" s="1056">
        <v>0</v>
      </c>
      <c r="H698" s="1056">
        <v>0</v>
      </c>
      <c r="I698" s="1056">
        <v>0</v>
      </c>
      <c r="J698" s="1056">
        <v>0</v>
      </c>
      <c r="K698" s="1063">
        <v>0</v>
      </c>
      <c r="L698" s="1056">
        <v>0</v>
      </c>
      <c r="M698" s="1063">
        <v>0</v>
      </c>
      <c r="N698" s="1056">
        <v>0</v>
      </c>
      <c r="O698" s="1234">
        <v>1680</v>
      </c>
      <c r="P698" s="1109">
        <v>11972197.1</v>
      </c>
      <c r="Q698" s="1056">
        <v>0</v>
      </c>
      <c r="R698" s="1056">
        <v>0</v>
      </c>
      <c r="S698" s="1056">
        <v>0</v>
      </c>
      <c r="T698" s="1056">
        <v>0</v>
      </c>
      <c r="U698" s="1056">
        <v>0</v>
      </c>
      <c r="V698" s="1056">
        <v>0</v>
      </c>
      <c r="W698" s="1056">
        <v>0</v>
      </c>
      <c r="X698" s="1056">
        <v>0</v>
      </c>
      <c r="Y698" s="1056">
        <v>0</v>
      </c>
      <c r="Z698" s="1265">
        <v>937708.8</v>
      </c>
      <c r="AA698" s="1056">
        <v>0</v>
      </c>
    </row>
    <row r="699" spans="1:27" s="1064" customFormat="1" ht="101.25" customHeight="1">
      <c r="A699" s="1322">
        <v>219</v>
      </c>
      <c r="B699" s="1233" t="s">
        <v>1984</v>
      </c>
      <c r="C699" s="1056">
        <f t="shared" si="376"/>
        <v>5511607.6899999995</v>
      </c>
      <c r="D699" s="1056">
        <f t="shared" si="377"/>
        <v>0</v>
      </c>
      <c r="E699" s="1056">
        <v>0</v>
      </c>
      <c r="F699" s="1056">
        <v>0</v>
      </c>
      <c r="G699" s="1056">
        <v>0</v>
      </c>
      <c r="H699" s="1056">
        <v>0</v>
      </c>
      <c r="I699" s="1056">
        <v>0</v>
      </c>
      <c r="J699" s="1056">
        <v>0</v>
      </c>
      <c r="K699" s="1063">
        <v>0</v>
      </c>
      <c r="L699" s="1056">
        <v>0</v>
      </c>
      <c r="M699" s="1063">
        <v>0</v>
      </c>
      <c r="N699" s="1056">
        <v>0</v>
      </c>
      <c r="O699" s="1234">
        <v>717.24</v>
      </c>
      <c r="P699" s="1109">
        <v>5111273.01</v>
      </c>
      <c r="Q699" s="1056">
        <v>0</v>
      </c>
      <c r="R699" s="1056">
        <v>0</v>
      </c>
      <c r="S699" s="1056">
        <v>0</v>
      </c>
      <c r="T699" s="1056">
        <v>0</v>
      </c>
      <c r="U699" s="1056">
        <v>0</v>
      </c>
      <c r="V699" s="1056">
        <v>0</v>
      </c>
      <c r="W699" s="1056">
        <v>0</v>
      </c>
      <c r="X699" s="1056">
        <v>0</v>
      </c>
      <c r="Y699" s="1056">
        <v>0</v>
      </c>
      <c r="Z699" s="1265">
        <v>400334.68</v>
      </c>
      <c r="AA699" s="1056">
        <v>0</v>
      </c>
    </row>
    <row r="700" spans="1:27" s="1064" customFormat="1" ht="101.25" customHeight="1">
      <c r="A700" s="1322">
        <v>220</v>
      </c>
      <c r="B700" s="1233" t="s">
        <v>1985</v>
      </c>
      <c r="C700" s="1056">
        <f t="shared" ref="C700" si="380">D700+N700+P700+R700+T700+X700+Z700</f>
        <v>3963367.6399999997</v>
      </c>
      <c r="D700" s="1056">
        <f t="shared" ref="D700" si="381">SUM(E700:J700)</f>
        <v>0</v>
      </c>
      <c r="E700" s="1056">
        <v>0</v>
      </c>
      <c r="F700" s="1056">
        <v>0</v>
      </c>
      <c r="G700" s="1056">
        <v>0</v>
      </c>
      <c r="H700" s="1056">
        <v>0</v>
      </c>
      <c r="I700" s="1056">
        <v>0</v>
      </c>
      <c r="J700" s="1056">
        <v>0</v>
      </c>
      <c r="K700" s="1063">
        <v>0</v>
      </c>
      <c r="L700" s="1056">
        <v>0</v>
      </c>
      <c r="M700" s="1063">
        <v>0</v>
      </c>
      <c r="N700" s="1056">
        <v>0</v>
      </c>
      <c r="O700" s="1234">
        <v>926.6</v>
      </c>
      <c r="P700" s="1109">
        <v>3675489.11</v>
      </c>
      <c r="Q700" s="1056">
        <v>0</v>
      </c>
      <c r="R700" s="1056">
        <v>0</v>
      </c>
      <c r="S700" s="1056">
        <v>0</v>
      </c>
      <c r="T700" s="1056">
        <v>0</v>
      </c>
      <c r="U700" s="1056">
        <v>0</v>
      </c>
      <c r="V700" s="1056">
        <v>0</v>
      </c>
      <c r="W700" s="1056">
        <v>0</v>
      </c>
      <c r="X700" s="1056">
        <v>0</v>
      </c>
      <c r="Y700" s="1056">
        <v>0</v>
      </c>
      <c r="Z700" s="1265">
        <v>287878.53000000003</v>
      </c>
      <c r="AA700" s="1056">
        <v>0</v>
      </c>
    </row>
    <row r="701" spans="1:27" s="1079" customFormat="1" ht="99.6" customHeight="1">
      <c r="A701" s="1322"/>
      <c r="B701" s="1062" t="s">
        <v>1218</v>
      </c>
      <c r="C701" s="1056">
        <f t="shared" ref="C701:AA701" si="382">SUM(C702:C711)</f>
        <v>15081754.460000001</v>
      </c>
      <c r="D701" s="1056">
        <f t="shared" si="382"/>
        <v>913639.74</v>
      </c>
      <c r="E701" s="1056">
        <f t="shared" si="382"/>
        <v>0</v>
      </c>
      <c r="F701" s="1056">
        <f t="shared" si="382"/>
        <v>0</v>
      </c>
      <c r="G701" s="1056">
        <f t="shared" si="382"/>
        <v>0</v>
      </c>
      <c r="H701" s="1056">
        <f t="shared" si="382"/>
        <v>559808.91</v>
      </c>
      <c r="I701" s="1056">
        <f t="shared" si="382"/>
        <v>0</v>
      </c>
      <c r="J701" s="1056">
        <f t="shared" si="382"/>
        <v>353830.83</v>
      </c>
      <c r="K701" s="1056">
        <f t="shared" si="382"/>
        <v>0</v>
      </c>
      <c r="L701" s="1056">
        <f t="shared" si="382"/>
        <v>0</v>
      </c>
      <c r="M701" s="1056">
        <f t="shared" si="382"/>
        <v>0</v>
      </c>
      <c r="N701" s="1056">
        <f t="shared" si="382"/>
        <v>0</v>
      </c>
      <c r="O701" s="1056">
        <f t="shared" si="382"/>
        <v>3407</v>
      </c>
      <c r="P701" s="1056">
        <f t="shared" si="382"/>
        <v>10717263.219999999</v>
      </c>
      <c r="Q701" s="1056">
        <f t="shared" si="382"/>
        <v>0</v>
      </c>
      <c r="R701" s="1056">
        <f t="shared" si="382"/>
        <v>0</v>
      </c>
      <c r="S701" s="1056">
        <f t="shared" si="382"/>
        <v>0</v>
      </c>
      <c r="T701" s="1056">
        <f t="shared" si="382"/>
        <v>0</v>
      </c>
      <c r="U701" s="1056">
        <f t="shared" si="382"/>
        <v>937.59</v>
      </c>
      <c r="V701" s="1056">
        <f t="shared" si="382"/>
        <v>2313693</v>
      </c>
      <c r="W701" s="1056">
        <f t="shared" si="382"/>
        <v>0</v>
      </c>
      <c r="X701" s="1056">
        <f t="shared" si="382"/>
        <v>0</v>
      </c>
      <c r="Y701" s="1056">
        <f t="shared" si="382"/>
        <v>0</v>
      </c>
      <c r="Z701" s="1056">
        <f t="shared" si="382"/>
        <v>1007693.5000000001</v>
      </c>
      <c r="AA701" s="1056">
        <f t="shared" si="382"/>
        <v>689273.91</v>
      </c>
    </row>
    <row r="702" spans="1:27" s="1079" customFormat="1" ht="85.9" customHeight="1">
      <c r="A702" s="1322">
        <v>221</v>
      </c>
      <c r="B702" s="1062" t="s">
        <v>1410</v>
      </c>
      <c r="C702" s="1056">
        <f t="shared" ref="C702:C711" si="383">D702+N702+P702+R702+T702+X702+Z702</f>
        <v>2939370.25</v>
      </c>
      <c r="D702" s="1056">
        <f t="shared" ref="D702:D711" si="384">SUM(E702:J702)</f>
        <v>0</v>
      </c>
      <c r="E702" s="1056">
        <v>0</v>
      </c>
      <c r="F702" s="1056">
        <v>0</v>
      </c>
      <c r="G702" s="1056">
        <v>0</v>
      </c>
      <c r="H702" s="1056">
        <v>0</v>
      </c>
      <c r="I702" s="1056">
        <v>0</v>
      </c>
      <c r="J702" s="1056">
        <v>0</v>
      </c>
      <c r="K702" s="1063">
        <v>0</v>
      </c>
      <c r="L702" s="1056">
        <v>0</v>
      </c>
      <c r="M702" s="1063">
        <v>0</v>
      </c>
      <c r="N702" s="1056">
        <v>0</v>
      </c>
      <c r="O702" s="1056">
        <v>895</v>
      </c>
      <c r="P702" s="1056">
        <v>2809192</v>
      </c>
      <c r="Q702" s="1070">
        <v>0</v>
      </c>
      <c r="R702" s="1056">
        <v>0</v>
      </c>
      <c r="S702" s="1056">
        <v>0</v>
      </c>
      <c r="T702" s="1056">
        <v>0</v>
      </c>
      <c r="U702" s="1056">
        <v>0</v>
      </c>
      <c r="V702" s="1056">
        <v>0</v>
      </c>
      <c r="W702" s="1070">
        <v>0</v>
      </c>
      <c r="X702" s="1056">
        <v>0</v>
      </c>
      <c r="Y702" s="1056">
        <v>0</v>
      </c>
      <c r="Z702" s="1056">
        <v>130178.25</v>
      </c>
      <c r="AA702" s="1056">
        <v>0</v>
      </c>
    </row>
    <row r="703" spans="1:27" s="1079" customFormat="1" ht="93" customHeight="1">
      <c r="A703" s="1322">
        <v>222</v>
      </c>
      <c r="B703" s="1062" t="s">
        <v>1411</v>
      </c>
      <c r="C703" s="1056">
        <f t="shared" si="383"/>
        <v>2617852.0699999998</v>
      </c>
      <c r="D703" s="1056">
        <f t="shared" si="384"/>
        <v>0</v>
      </c>
      <c r="E703" s="1056">
        <v>0</v>
      </c>
      <c r="F703" s="1056">
        <v>0</v>
      </c>
      <c r="G703" s="1056">
        <v>0</v>
      </c>
      <c r="H703" s="1056">
        <v>0</v>
      </c>
      <c r="I703" s="1056">
        <v>0</v>
      </c>
      <c r="J703" s="1056">
        <v>0</v>
      </c>
      <c r="K703" s="1063">
        <v>0</v>
      </c>
      <c r="L703" s="1056">
        <v>0</v>
      </c>
      <c r="M703" s="1063">
        <v>0</v>
      </c>
      <c r="N703" s="1056">
        <v>0</v>
      </c>
      <c r="O703" s="1056">
        <v>983.5</v>
      </c>
      <c r="P703" s="1056">
        <v>2478218</v>
      </c>
      <c r="Q703" s="1070">
        <v>0</v>
      </c>
      <c r="R703" s="1056">
        <v>0</v>
      </c>
      <c r="S703" s="1056">
        <v>0</v>
      </c>
      <c r="T703" s="1056">
        <v>0</v>
      </c>
      <c r="U703" s="1056">
        <v>0</v>
      </c>
      <c r="V703" s="1056">
        <v>0</v>
      </c>
      <c r="W703" s="1070">
        <v>0</v>
      </c>
      <c r="X703" s="1056">
        <v>0</v>
      </c>
      <c r="Y703" s="1056">
        <v>0</v>
      </c>
      <c r="Z703" s="1056">
        <v>139634.07</v>
      </c>
      <c r="AA703" s="1056">
        <v>0</v>
      </c>
    </row>
    <row r="704" spans="1:27" s="1079" customFormat="1" ht="85.15" customHeight="1">
      <c r="A704" s="1322">
        <v>223</v>
      </c>
      <c r="B704" s="1062" t="s">
        <v>1412</v>
      </c>
      <c r="C704" s="1056">
        <f t="shared" si="383"/>
        <v>1249211.18</v>
      </c>
      <c r="D704" s="1056">
        <f t="shared" si="384"/>
        <v>0</v>
      </c>
      <c r="E704" s="1056">
        <v>0</v>
      </c>
      <c r="F704" s="1056">
        <v>0</v>
      </c>
      <c r="G704" s="1056">
        <v>0</v>
      </c>
      <c r="H704" s="1056">
        <v>0</v>
      </c>
      <c r="I704" s="1056">
        <v>0</v>
      </c>
      <c r="J704" s="1056">
        <v>0</v>
      </c>
      <c r="K704" s="1063">
        <v>0</v>
      </c>
      <c r="L704" s="1056">
        <v>0</v>
      </c>
      <c r="M704" s="1063">
        <v>0</v>
      </c>
      <c r="N704" s="1056">
        <v>0</v>
      </c>
      <c r="O704" s="1056">
        <v>293</v>
      </c>
      <c r="P704" s="1056">
        <v>1158474.94</v>
      </c>
      <c r="Q704" s="1056">
        <v>0</v>
      </c>
      <c r="R704" s="1056">
        <v>0</v>
      </c>
      <c r="S704" s="1056">
        <v>0</v>
      </c>
      <c r="T704" s="1056">
        <v>0</v>
      </c>
      <c r="U704" s="1056">
        <v>0</v>
      </c>
      <c r="V704" s="1056">
        <v>0</v>
      </c>
      <c r="W704" s="1056">
        <v>0</v>
      </c>
      <c r="X704" s="1056">
        <v>0</v>
      </c>
      <c r="Y704" s="1056">
        <v>0</v>
      </c>
      <c r="Z704" s="1056">
        <v>90736.24</v>
      </c>
      <c r="AA704" s="1056">
        <v>0</v>
      </c>
    </row>
    <row r="705" spans="1:27" s="1079" customFormat="1" ht="87.75" customHeight="1">
      <c r="A705" s="1322">
        <v>224</v>
      </c>
      <c r="B705" s="1062" t="s">
        <v>2092</v>
      </c>
      <c r="C705" s="1056">
        <f t="shared" si="383"/>
        <v>2547928</v>
      </c>
      <c r="D705" s="1056">
        <f t="shared" si="384"/>
        <v>0</v>
      </c>
      <c r="E705" s="1056">
        <v>0</v>
      </c>
      <c r="F705" s="1056">
        <v>0</v>
      </c>
      <c r="G705" s="1056">
        <v>0</v>
      </c>
      <c r="H705" s="1056">
        <v>0</v>
      </c>
      <c r="I705" s="1056">
        <v>0</v>
      </c>
      <c r="J705" s="1056">
        <v>0</v>
      </c>
      <c r="K705" s="1063">
        <v>0</v>
      </c>
      <c r="L705" s="1056">
        <v>0</v>
      </c>
      <c r="M705" s="1063">
        <v>0</v>
      </c>
      <c r="N705" s="1056">
        <v>0</v>
      </c>
      <c r="O705" s="1056">
        <v>752.8</v>
      </c>
      <c r="P705" s="1056">
        <v>2362860</v>
      </c>
      <c r="Q705" s="1056">
        <v>0</v>
      </c>
      <c r="R705" s="1056">
        <v>0</v>
      </c>
      <c r="S705" s="1056">
        <v>0</v>
      </c>
      <c r="T705" s="1056">
        <v>0</v>
      </c>
      <c r="U705" s="1056">
        <v>0</v>
      </c>
      <c r="V705" s="1056">
        <v>0</v>
      </c>
      <c r="W705" s="1056">
        <v>0</v>
      </c>
      <c r="X705" s="1056">
        <v>0</v>
      </c>
      <c r="Y705" s="1056">
        <v>0</v>
      </c>
      <c r="Z705" s="1056">
        <v>185068</v>
      </c>
      <c r="AA705" s="1056">
        <v>0</v>
      </c>
    </row>
    <row r="706" spans="1:27" s="1079" customFormat="1" ht="93" customHeight="1">
      <c r="A706" s="1322">
        <v>225</v>
      </c>
      <c r="B706" s="1062" t="s">
        <v>1414</v>
      </c>
      <c r="C706" s="1056">
        <f t="shared" si="383"/>
        <v>381544.23000000004</v>
      </c>
      <c r="D706" s="1056">
        <f t="shared" si="384"/>
        <v>353830.83</v>
      </c>
      <c r="E706" s="1056">
        <v>0</v>
      </c>
      <c r="F706" s="1056">
        <v>0</v>
      </c>
      <c r="G706" s="1056">
        <v>0</v>
      </c>
      <c r="H706" s="1056">
        <v>0</v>
      </c>
      <c r="I706" s="1056">
        <v>0</v>
      </c>
      <c r="J706" s="1056">
        <v>353830.83</v>
      </c>
      <c r="K706" s="1063">
        <v>0</v>
      </c>
      <c r="L706" s="1056">
        <v>0</v>
      </c>
      <c r="M706" s="1063">
        <v>0</v>
      </c>
      <c r="N706" s="1056">
        <v>0</v>
      </c>
      <c r="O706" s="1056">
        <v>0</v>
      </c>
      <c r="P706" s="1056">
        <v>0</v>
      </c>
      <c r="Q706" s="1056">
        <v>0</v>
      </c>
      <c r="R706" s="1056">
        <v>0</v>
      </c>
      <c r="S706" s="1056">
        <v>0</v>
      </c>
      <c r="T706" s="1056">
        <v>0</v>
      </c>
      <c r="U706" s="1056">
        <v>0</v>
      </c>
      <c r="V706" s="1056">
        <v>0</v>
      </c>
      <c r="W706" s="1056">
        <v>0</v>
      </c>
      <c r="X706" s="1056">
        <v>0</v>
      </c>
      <c r="Y706" s="1056">
        <v>0</v>
      </c>
      <c r="Z706" s="1056">
        <v>27713.4</v>
      </c>
      <c r="AA706" s="1056">
        <v>0</v>
      </c>
    </row>
    <row r="707" spans="1:27" s="1079" customFormat="1" ht="99.6" customHeight="1">
      <c r="A707" s="1322">
        <v>226</v>
      </c>
      <c r="B707" s="1062" t="s">
        <v>1415</v>
      </c>
      <c r="C707" s="1056">
        <f>D707+N707+P707+R707+T707+X707+Z707+AA707</f>
        <v>129465</v>
      </c>
      <c r="D707" s="1056">
        <f t="shared" si="384"/>
        <v>0</v>
      </c>
      <c r="E707" s="1056">
        <v>0</v>
      </c>
      <c r="F707" s="1056">
        <v>0</v>
      </c>
      <c r="G707" s="1056">
        <v>0</v>
      </c>
      <c r="H707" s="1056">
        <v>0</v>
      </c>
      <c r="I707" s="1056">
        <v>0</v>
      </c>
      <c r="J707" s="1056">
        <v>0</v>
      </c>
      <c r="K707" s="1063">
        <v>0</v>
      </c>
      <c r="L707" s="1056">
        <v>0</v>
      </c>
      <c r="M707" s="1063">
        <v>0</v>
      </c>
      <c r="N707" s="1056">
        <v>0</v>
      </c>
      <c r="O707" s="1056">
        <v>0</v>
      </c>
      <c r="P707" s="1056">
        <v>0</v>
      </c>
      <c r="Q707" s="1056">
        <v>0</v>
      </c>
      <c r="R707" s="1056">
        <v>0</v>
      </c>
      <c r="S707" s="1056">
        <v>0</v>
      </c>
      <c r="T707" s="1056">
        <v>0</v>
      </c>
      <c r="U707" s="1056">
        <v>0</v>
      </c>
      <c r="V707" s="1056">
        <v>0</v>
      </c>
      <c r="W707" s="1056">
        <v>0</v>
      </c>
      <c r="X707" s="1056">
        <v>0</v>
      </c>
      <c r="Y707" s="1056">
        <v>0</v>
      </c>
      <c r="Z707" s="1056">
        <v>0</v>
      </c>
      <c r="AA707" s="1056">
        <v>129465</v>
      </c>
    </row>
    <row r="708" spans="1:27" s="1079" customFormat="1" ht="111.75" customHeight="1">
      <c r="A708" s="1322">
        <v>227</v>
      </c>
      <c r="B708" s="1062" t="s">
        <v>1416</v>
      </c>
      <c r="C708" s="1056">
        <f>D708+N708+P708+R708+T708+X708+Z708+L708</f>
        <v>2058000.82</v>
      </c>
      <c r="D708" s="1056">
        <f t="shared" si="384"/>
        <v>0</v>
      </c>
      <c r="E708" s="1056">
        <v>0</v>
      </c>
      <c r="F708" s="1056">
        <v>0</v>
      </c>
      <c r="G708" s="1056">
        <v>0</v>
      </c>
      <c r="H708" s="1056">
        <v>0</v>
      </c>
      <c r="I708" s="1056">
        <v>0</v>
      </c>
      <c r="J708" s="1056">
        <v>0</v>
      </c>
      <c r="K708" s="1063">
        <v>0</v>
      </c>
      <c r="L708" s="1056">
        <v>0</v>
      </c>
      <c r="M708" s="1063">
        <v>0</v>
      </c>
      <c r="N708" s="1056">
        <v>0</v>
      </c>
      <c r="O708" s="1056">
        <v>482.7</v>
      </c>
      <c r="P708" s="1056">
        <v>1908518.28</v>
      </c>
      <c r="Q708" s="1056">
        <v>0</v>
      </c>
      <c r="R708" s="1056">
        <v>0</v>
      </c>
      <c r="S708" s="1056">
        <v>0</v>
      </c>
      <c r="T708" s="1056">
        <v>0</v>
      </c>
      <c r="U708" s="1056">
        <v>0</v>
      </c>
      <c r="V708" s="1056">
        <v>0</v>
      </c>
      <c r="W708" s="1056">
        <v>0</v>
      </c>
      <c r="X708" s="1056">
        <v>0</v>
      </c>
      <c r="Y708" s="1056">
        <v>0</v>
      </c>
      <c r="Z708" s="1056">
        <v>149482.54</v>
      </c>
      <c r="AA708" s="1056">
        <v>559808.91</v>
      </c>
    </row>
    <row r="709" spans="1:27" s="1079" customFormat="1" ht="100.5" customHeight="1">
      <c r="A709" s="1322">
        <v>228</v>
      </c>
      <c r="B709" s="1062" t="s">
        <v>1410</v>
      </c>
      <c r="C709" s="1056">
        <f>D709+N709+P709+R709+T709+X709+Z709+V709</f>
        <v>2494910</v>
      </c>
      <c r="D709" s="1056">
        <f>SUM(E709:J709)</f>
        <v>0</v>
      </c>
      <c r="E709" s="1056">
        <v>0</v>
      </c>
      <c r="F709" s="1056">
        <v>0</v>
      </c>
      <c r="G709" s="1056">
        <v>0</v>
      </c>
      <c r="H709" s="1056">
        <v>0</v>
      </c>
      <c r="I709" s="1056">
        <v>0</v>
      </c>
      <c r="J709" s="1056">
        <v>0</v>
      </c>
      <c r="K709" s="1063">
        <v>0</v>
      </c>
      <c r="L709" s="1056">
        <v>0</v>
      </c>
      <c r="M709" s="1063">
        <v>0</v>
      </c>
      <c r="N709" s="1056">
        <v>0</v>
      </c>
      <c r="O709" s="1056">
        <v>0</v>
      </c>
      <c r="P709" s="1056">
        <v>0</v>
      </c>
      <c r="Q709" s="1056">
        <v>0</v>
      </c>
      <c r="R709" s="1056">
        <v>0</v>
      </c>
      <c r="S709" s="1056">
        <v>0</v>
      </c>
      <c r="T709" s="1056">
        <v>0</v>
      </c>
      <c r="U709" s="1056">
        <v>937.59</v>
      </c>
      <c r="V709" s="1056">
        <v>2313693</v>
      </c>
      <c r="W709" s="1056">
        <v>0</v>
      </c>
      <c r="X709" s="1056">
        <v>0</v>
      </c>
      <c r="Y709" s="1056">
        <v>0</v>
      </c>
      <c r="Z709" s="1056">
        <v>181217</v>
      </c>
      <c r="AA709" s="1056">
        <v>0</v>
      </c>
    </row>
    <row r="710" spans="1:27" s="1079" customFormat="1" ht="98.25" customHeight="1">
      <c r="A710" s="1322">
        <v>229</v>
      </c>
      <c r="B710" s="1062" t="s">
        <v>1414</v>
      </c>
      <c r="C710" s="1056">
        <f t="shared" si="383"/>
        <v>603654.91</v>
      </c>
      <c r="D710" s="1056">
        <f t="shared" si="384"/>
        <v>559808.91</v>
      </c>
      <c r="E710" s="1056">
        <v>0</v>
      </c>
      <c r="F710" s="1056">
        <v>0</v>
      </c>
      <c r="G710" s="1056">
        <v>0</v>
      </c>
      <c r="H710" s="1056">
        <v>559808.91</v>
      </c>
      <c r="I710" s="1056">
        <v>0</v>
      </c>
      <c r="J710" s="1056">
        <v>0</v>
      </c>
      <c r="K710" s="1063">
        <v>0</v>
      </c>
      <c r="L710" s="1056">
        <v>0</v>
      </c>
      <c r="M710" s="1063">
        <v>0</v>
      </c>
      <c r="N710" s="1056">
        <v>0</v>
      </c>
      <c r="O710" s="1056">
        <v>0</v>
      </c>
      <c r="P710" s="1056">
        <v>0</v>
      </c>
      <c r="Q710" s="1056">
        <v>0</v>
      </c>
      <c r="R710" s="1056">
        <v>0</v>
      </c>
      <c r="S710" s="1056">
        <v>0</v>
      </c>
      <c r="T710" s="1056">
        <v>0</v>
      </c>
      <c r="U710" s="1056">
        <v>0</v>
      </c>
      <c r="V710" s="1056">
        <v>0</v>
      </c>
      <c r="W710" s="1056">
        <v>0</v>
      </c>
      <c r="X710" s="1056">
        <v>0</v>
      </c>
      <c r="Y710" s="1056">
        <v>0</v>
      </c>
      <c r="Z710" s="1056">
        <v>43846</v>
      </c>
      <c r="AA710" s="1056">
        <v>0</v>
      </c>
    </row>
    <row r="711" spans="1:27" s="1079" customFormat="1" ht="101.25" customHeight="1">
      <c r="A711" s="1322">
        <v>230</v>
      </c>
      <c r="B711" s="1062" t="s">
        <v>1417</v>
      </c>
      <c r="C711" s="1056">
        <f t="shared" si="383"/>
        <v>59818</v>
      </c>
      <c r="D711" s="1056">
        <f t="shared" si="384"/>
        <v>0</v>
      </c>
      <c r="E711" s="1056">
        <v>0</v>
      </c>
      <c r="F711" s="1056">
        <v>0</v>
      </c>
      <c r="G711" s="1056">
        <v>0</v>
      </c>
      <c r="H711" s="1056">
        <v>0</v>
      </c>
      <c r="I711" s="1056">
        <v>0</v>
      </c>
      <c r="J711" s="1056">
        <v>0</v>
      </c>
      <c r="K711" s="1063">
        <v>0</v>
      </c>
      <c r="L711" s="1056">
        <v>0</v>
      </c>
      <c r="M711" s="1063">
        <v>0</v>
      </c>
      <c r="N711" s="1056">
        <v>0</v>
      </c>
      <c r="O711" s="1056">
        <v>0</v>
      </c>
      <c r="P711" s="1056">
        <v>0</v>
      </c>
      <c r="Q711" s="1056">
        <v>0</v>
      </c>
      <c r="R711" s="1056">
        <v>0</v>
      </c>
      <c r="S711" s="1056">
        <v>0</v>
      </c>
      <c r="T711" s="1056">
        <v>0</v>
      </c>
      <c r="U711" s="1056">
        <v>0</v>
      </c>
      <c r="V711" s="1056">
        <v>0</v>
      </c>
      <c r="W711" s="1056">
        <v>0</v>
      </c>
      <c r="X711" s="1056">
        <v>0</v>
      </c>
      <c r="Y711" s="1056">
        <v>0</v>
      </c>
      <c r="Z711" s="1056">
        <v>59818</v>
      </c>
      <c r="AA711" s="1056">
        <v>0</v>
      </c>
    </row>
    <row r="712" spans="1:27" s="1079" customFormat="1" ht="111.6" customHeight="1">
      <c r="A712" s="1322"/>
      <c r="B712" s="1055" t="s">
        <v>1206</v>
      </c>
      <c r="C712" s="1056">
        <f>SUM(C713:C726)</f>
        <v>60140240.480000004</v>
      </c>
      <c r="D712" s="1056">
        <f t="shared" ref="D712:AA712" si="385">SUM(D713:D726)</f>
        <v>20632817.759999998</v>
      </c>
      <c r="E712" s="1056">
        <f t="shared" si="385"/>
        <v>0</v>
      </c>
      <c r="F712" s="1056">
        <f t="shared" si="385"/>
        <v>16532563.43</v>
      </c>
      <c r="G712" s="1056">
        <f t="shared" si="385"/>
        <v>0</v>
      </c>
      <c r="H712" s="1056">
        <f t="shared" si="385"/>
        <v>0</v>
      </c>
      <c r="I712" s="1056">
        <f t="shared" si="385"/>
        <v>0</v>
      </c>
      <c r="J712" s="1056">
        <f t="shared" si="385"/>
        <v>4100254.33</v>
      </c>
      <c r="K712" s="1056">
        <f t="shared" si="385"/>
        <v>4</v>
      </c>
      <c r="L712" s="1056">
        <f t="shared" si="385"/>
        <v>1315127.51</v>
      </c>
      <c r="M712" s="1056">
        <f t="shared" si="385"/>
        <v>0</v>
      </c>
      <c r="N712" s="1056">
        <f t="shared" si="385"/>
        <v>0</v>
      </c>
      <c r="O712" s="1056">
        <f t="shared" si="385"/>
        <v>8573</v>
      </c>
      <c r="P712" s="1056">
        <f t="shared" si="385"/>
        <v>33824020.539999999</v>
      </c>
      <c r="Q712" s="1056">
        <f t="shared" si="385"/>
        <v>0</v>
      </c>
      <c r="R712" s="1056">
        <f t="shared" si="385"/>
        <v>0</v>
      </c>
      <c r="S712" s="1056">
        <f t="shared" si="385"/>
        <v>0</v>
      </c>
      <c r="T712" s="1056">
        <f t="shared" si="385"/>
        <v>0</v>
      </c>
      <c r="U712" s="1056">
        <v>0</v>
      </c>
      <c r="V712" s="1056">
        <v>0</v>
      </c>
      <c r="W712" s="1056">
        <f t="shared" si="385"/>
        <v>0</v>
      </c>
      <c r="X712" s="1056">
        <f t="shared" si="385"/>
        <v>0</v>
      </c>
      <c r="Y712" s="1056">
        <f t="shared" si="385"/>
        <v>0</v>
      </c>
      <c r="Z712" s="1056">
        <f t="shared" si="385"/>
        <v>4368274.669999999</v>
      </c>
      <c r="AA712" s="1056">
        <f t="shared" si="385"/>
        <v>0</v>
      </c>
    </row>
    <row r="713" spans="1:27" s="1079" customFormat="1" ht="111.75" customHeight="1">
      <c r="A713" s="1322">
        <v>231</v>
      </c>
      <c r="B713" s="1247" t="s">
        <v>1570</v>
      </c>
      <c r="C713" s="1056">
        <f t="shared" ref="C713:C716" si="386">D713+N713+P713+R713+T713+X713+Z713</f>
        <v>2463360.0700000003</v>
      </c>
      <c r="D713" s="1056">
        <f t="shared" ref="D713:D716" si="387">SUM(E713:J713)</f>
        <v>2284434.33</v>
      </c>
      <c r="E713" s="1056">
        <v>0</v>
      </c>
      <c r="F713" s="1056">
        <v>0</v>
      </c>
      <c r="G713" s="1056">
        <v>0</v>
      </c>
      <c r="H713" s="1056">
        <v>0</v>
      </c>
      <c r="I713" s="1056">
        <v>0</v>
      </c>
      <c r="J713" s="1056">
        <v>2284434.33</v>
      </c>
      <c r="K713" s="1063">
        <v>0</v>
      </c>
      <c r="L713" s="1056">
        <v>0</v>
      </c>
      <c r="M713" s="1063">
        <v>0</v>
      </c>
      <c r="N713" s="1056">
        <v>0</v>
      </c>
      <c r="O713" s="1056">
        <v>0</v>
      </c>
      <c r="P713" s="1056">
        <v>0</v>
      </c>
      <c r="Q713" s="1070">
        <v>0</v>
      </c>
      <c r="R713" s="1056">
        <v>0</v>
      </c>
      <c r="S713" s="1056">
        <v>0</v>
      </c>
      <c r="T713" s="1056">
        <v>0</v>
      </c>
      <c r="U713" s="1056">
        <v>0</v>
      </c>
      <c r="V713" s="1056">
        <v>0</v>
      </c>
      <c r="W713" s="1070">
        <v>0</v>
      </c>
      <c r="X713" s="1056">
        <v>0</v>
      </c>
      <c r="Y713" s="1056">
        <v>0</v>
      </c>
      <c r="Z713" s="1056">
        <v>178925.74</v>
      </c>
      <c r="AA713" s="1056">
        <v>0</v>
      </c>
    </row>
    <row r="714" spans="1:27" s="1079" customFormat="1" ht="91.5" customHeight="1">
      <c r="A714" s="1322">
        <v>232</v>
      </c>
      <c r="B714" s="1247" t="s">
        <v>2091</v>
      </c>
      <c r="C714" s="1056">
        <f t="shared" si="386"/>
        <v>1958042</v>
      </c>
      <c r="D714" s="1056">
        <f t="shared" si="387"/>
        <v>1815820</v>
      </c>
      <c r="E714" s="1056">
        <v>0</v>
      </c>
      <c r="F714" s="1056">
        <v>0</v>
      </c>
      <c r="G714" s="1056">
        <v>0</v>
      </c>
      <c r="H714" s="1056">
        <v>0</v>
      </c>
      <c r="I714" s="1056">
        <v>0</v>
      </c>
      <c r="J714" s="1056">
        <v>1815820</v>
      </c>
      <c r="K714" s="1063">
        <v>0</v>
      </c>
      <c r="L714" s="1056">
        <v>0</v>
      </c>
      <c r="M714" s="1063">
        <v>0</v>
      </c>
      <c r="N714" s="1056">
        <v>0</v>
      </c>
      <c r="O714" s="1056">
        <v>0</v>
      </c>
      <c r="P714" s="1056">
        <v>0</v>
      </c>
      <c r="Q714" s="1070">
        <v>0</v>
      </c>
      <c r="R714" s="1056">
        <v>0</v>
      </c>
      <c r="S714" s="1056">
        <v>0</v>
      </c>
      <c r="T714" s="1056">
        <v>0</v>
      </c>
      <c r="U714" s="1056">
        <v>0</v>
      </c>
      <c r="V714" s="1056">
        <v>0</v>
      </c>
      <c r="W714" s="1070">
        <v>0</v>
      </c>
      <c r="X714" s="1056">
        <v>0</v>
      </c>
      <c r="Y714" s="1056">
        <v>0</v>
      </c>
      <c r="Z714" s="1056">
        <v>142222</v>
      </c>
      <c r="AA714" s="1056">
        <v>0</v>
      </c>
    </row>
    <row r="715" spans="1:27" s="1079" customFormat="1" ht="104.25" customHeight="1">
      <c r="A715" s="1322">
        <v>233</v>
      </c>
      <c r="B715" s="1247" t="s">
        <v>1572</v>
      </c>
      <c r="C715" s="1056">
        <f t="shared" si="386"/>
        <v>6279770.8799999999</v>
      </c>
      <c r="D715" s="1056">
        <f t="shared" si="387"/>
        <v>0</v>
      </c>
      <c r="E715" s="1056">
        <v>0</v>
      </c>
      <c r="F715" s="1056">
        <v>0</v>
      </c>
      <c r="G715" s="1056">
        <v>0</v>
      </c>
      <c r="H715" s="1056">
        <v>0</v>
      </c>
      <c r="I715" s="1056">
        <v>0</v>
      </c>
      <c r="J715" s="1056">
        <v>0</v>
      </c>
      <c r="K715" s="1063">
        <v>0</v>
      </c>
      <c r="L715" s="1056">
        <v>0</v>
      </c>
      <c r="M715" s="1063">
        <v>0</v>
      </c>
      <c r="N715" s="1056">
        <v>0</v>
      </c>
      <c r="O715" s="1056">
        <v>1223</v>
      </c>
      <c r="P715" s="1056">
        <v>5823640.7999999998</v>
      </c>
      <c r="Q715" s="1070">
        <v>0</v>
      </c>
      <c r="R715" s="1056">
        <v>0</v>
      </c>
      <c r="S715" s="1056">
        <v>0</v>
      </c>
      <c r="T715" s="1056">
        <v>0</v>
      </c>
      <c r="U715" s="1056">
        <v>0</v>
      </c>
      <c r="V715" s="1056">
        <v>0</v>
      </c>
      <c r="W715" s="1070">
        <v>0</v>
      </c>
      <c r="X715" s="1056">
        <v>0</v>
      </c>
      <c r="Y715" s="1056">
        <v>0</v>
      </c>
      <c r="Z715" s="1056">
        <v>456130.08</v>
      </c>
      <c r="AA715" s="1056">
        <v>0</v>
      </c>
    </row>
    <row r="716" spans="1:27" s="1079" customFormat="1" ht="93.75" customHeight="1">
      <c r="A716" s="1322">
        <v>234</v>
      </c>
      <c r="B716" s="1247" t="s">
        <v>1573</v>
      </c>
      <c r="C716" s="1056">
        <f t="shared" si="386"/>
        <v>6279770.8799999999</v>
      </c>
      <c r="D716" s="1056">
        <f t="shared" si="387"/>
        <v>0</v>
      </c>
      <c r="E716" s="1056">
        <v>0</v>
      </c>
      <c r="F716" s="1056">
        <v>0</v>
      </c>
      <c r="G716" s="1056">
        <v>0</v>
      </c>
      <c r="H716" s="1056">
        <v>0</v>
      </c>
      <c r="I716" s="1056">
        <v>0</v>
      </c>
      <c r="J716" s="1056">
        <v>0</v>
      </c>
      <c r="K716" s="1063">
        <v>0</v>
      </c>
      <c r="L716" s="1056">
        <v>0</v>
      </c>
      <c r="M716" s="1063">
        <v>0</v>
      </c>
      <c r="N716" s="1056">
        <v>0</v>
      </c>
      <c r="O716" s="1056">
        <v>1223</v>
      </c>
      <c r="P716" s="1056">
        <v>5823640.7999999998</v>
      </c>
      <c r="Q716" s="1070">
        <v>0</v>
      </c>
      <c r="R716" s="1056">
        <v>0</v>
      </c>
      <c r="S716" s="1056">
        <v>0</v>
      </c>
      <c r="T716" s="1056">
        <v>0</v>
      </c>
      <c r="U716" s="1056">
        <v>0</v>
      </c>
      <c r="V716" s="1056">
        <v>0</v>
      </c>
      <c r="W716" s="1070">
        <v>0</v>
      </c>
      <c r="X716" s="1056">
        <v>0</v>
      </c>
      <c r="Y716" s="1056">
        <v>0</v>
      </c>
      <c r="Z716" s="1056">
        <v>456130.08</v>
      </c>
      <c r="AA716" s="1056">
        <v>0</v>
      </c>
    </row>
    <row r="717" spans="1:27" s="1079" customFormat="1" ht="78.599999999999994" customHeight="1">
      <c r="A717" s="1322">
        <v>235</v>
      </c>
      <c r="B717" s="1247" t="s">
        <v>1574</v>
      </c>
      <c r="C717" s="1056">
        <f t="shared" ref="C717:C722" si="388">D717+N717+P717+R717+T717+X717+Z717</f>
        <v>4943532.5699999994</v>
      </c>
      <c r="D717" s="1056">
        <f t="shared" ref="D717:D723" si="389">SUM(E717:J717)</f>
        <v>0</v>
      </c>
      <c r="E717" s="1056">
        <v>0</v>
      </c>
      <c r="F717" s="1056">
        <v>0</v>
      </c>
      <c r="G717" s="1056">
        <v>0</v>
      </c>
      <c r="H717" s="1056">
        <v>0</v>
      </c>
      <c r="I717" s="1056">
        <v>0</v>
      </c>
      <c r="J717" s="1056">
        <v>0</v>
      </c>
      <c r="K717" s="1063">
        <v>0</v>
      </c>
      <c r="L717" s="1056">
        <v>0</v>
      </c>
      <c r="M717" s="1063">
        <v>0</v>
      </c>
      <c r="N717" s="1056">
        <v>0</v>
      </c>
      <c r="O717" s="1056">
        <v>1368</v>
      </c>
      <c r="P717" s="1056">
        <v>4584459.93</v>
      </c>
      <c r="Q717" s="1070">
        <v>0</v>
      </c>
      <c r="R717" s="1056">
        <v>0</v>
      </c>
      <c r="S717" s="1056">
        <v>0</v>
      </c>
      <c r="T717" s="1056">
        <v>0</v>
      </c>
      <c r="U717" s="1056">
        <v>0</v>
      </c>
      <c r="V717" s="1056">
        <v>0</v>
      </c>
      <c r="W717" s="1070">
        <v>0</v>
      </c>
      <c r="X717" s="1056">
        <v>0</v>
      </c>
      <c r="Y717" s="1056">
        <v>0</v>
      </c>
      <c r="Z717" s="1056">
        <v>359072.64</v>
      </c>
      <c r="AA717" s="1056">
        <v>0</v>
      </c>
    </row>
    <row r="718" spans="1:27" s="1079" customFormat="1" ht="105.75" customHeight="1">
      <c r="A718" s="1322">
        <v>236</v>
      </c>
      <c r="B718" s="1247" t="s">
        <v>1575</v>
      </c>
      <c r="C718" s="1056">
        <f t="shared" si="388"/>
        <v>4693140.3000000007</v>
      </c>
      <c r="D718" s="1056">
        <f t="shared" si="389"/>
        <v>0</v>
      </c>
      <c r="E718" s="1056">
        <v>0</v>
      </c>
      <c r="F718" s="1056">
        <v>0</v>
      </c>
      <c r="G718" s="1056">
        <v>0</v>
      </c>
      <c r="H718" s="1056">
        <v>0</v>
      </c>
      <c r="I718" s="1056">
        <v>0</v>
      </c>
      <c r="J718" s="1056">
        <v>0</v>
      </c>
      <c r="K718" s="1063">
        <v>0</v>
      </c>
      <c r="L718" s="1056">
        <v>0</v>
      </c>
      <c r="M718" s="1063">
        <v>0</v>
      </c>
      <c r="N718" s="1056">
        <v>0</v>
      </c>
      <c r="O718" s="1056">
        <v>914</v>
      </c>
      <c r="P718" s="1056">
        <v>4352254.8600000003</v>
      </c>
      <c r="Q718" s="1070">
        <v>0</v>
      </c>
      <c r="R718" s="1056">
        <v>0</v>
      </c>
      <c r="S718" s="1056">
        <v>0</v>
      </c>
      <c r="T718" s="1056">
        <v>0</v>
      </c>
      <c r="U718" s="1056">
        <v>0</v>
      </c>
      <c r="V718" s="1056">
        <v>0</v>
      </c>
      <c r="W718" s="1070">
        <v>0</v>
      </c>
      <c r="X718" s="1056">
        <v>0</v>
      </c>
      <c r="Y718" s="1056">
        <v>0</v>
      </c>
      <c r="Z718" s="1056">
        <v>340885.44</v>
      </c>
      <c r="AA718" s="1056">
        <v>0</v>
      </c>
    </row>
    <row r="719" spans="1:27" s="1079" customFormat="1" ht="95.25" customHeight="1">
      <c r="A719" s="1322">
        <v>237</v>
      </c>
      <c r="B719" s="1247" t="s">
        <v>1576</v>
      </c>
      <c r="C719" s="1056">
        <f t="shared" si="388"/>
        <v>4083473.54</v>
      </c>
      <c r="D719" s="1056">
        <f t="shared" si="389"/>
        <v>0</v>
      </c>
      <c r="E719" s="1056">
        <v>0</v>
      </c>
      <c r="F719" s="1056">
        <v>0</v>
      </c>
      <c r="G719" s="1056">
        <v>0</v>
      </c>
      <c r="H719" s="1056">
        <v>0</v>
      </c>
      <c r="I719" s="1056">
        <v>0</v>
      </c>
      <c r="J719" s="1056">
        <v>0</v>
      </c>
      <c r="K719" s="1063">
        <v>0</v>
      </c>
      <c r="L719" s="1056">
        <v>0</v>
      </c>
      <c r="M719" s="1063">
        <v>0</v>
      </c>
      <c r="N719" s="1056">
        <v>0</v>
      </c>
      <c r="O719" s="1056">
        <v>1130</v>
      </c>
      <c r="P719" s="1056">
        <v>3786871.14</v>
      </c>
      <c r="Q719" s="1070">
        <v>0</v>
      </c>
      <c r="R719" s="1056">
        <v>0</v>
      </c>
      <c r="S719" s="1056">
        <v>0</v>
      </c>
      <c r="T719" s="1056">
        <v>0</v>
      </c>
      <c r="U719" s="1056">
        <v>0</v>
      </c>
      <c r="V719" s="1056">
        <v>0</v>
      </c>
      <c r="W719" s="1070">
        <v>0</v>
      </c>
      <c r="X719" s="1056">
        <v>0</v>
      </c>
      <c r="Y719" s="1056">
        <v>0</v>
      </c>
      <c r="Z719" s="1056">
        <v>296602.40000000002</v>
      </c>
      <c r="AA719" s="1056">
        <v>0</v>
      </c>
    </row>
    <row r="720" spans="1:27" s="1079" customFormat="1" ht="95.25" customHeight="1">
      <c r="A720" s="1322">
        <v>238</v>
      </c>
      <c r="B720" s="1247" t="s">
        <v>1577</v>
      </c>
      <c r="C720" s="1056">
        <f t="shared" si="388"/>
        <v>4018427.0599999996</v>
      </c>
      <c r="D720" s="1056">
        <f t="shared" si="389"/>
        <v>0</v>
      </c>
      <c r="E720" s="1056">
        <v>0</v>
      </c>
      <c r="F720" s="1056">
        <v>0</v>
      </c>
      <c r="G720" s="1056">
        <v>0</v>
      </c>
      <c r="H720" s="1056">
        <v>0</v>
      </c>
      <c r="I720" s="1056">
        <v>0</v>
      </c>
      <c r="J720" s="1056">
        <v>0</v>
      </c>
      <c r="K720" s="1063">
        <v>0</v>
      </c>
      <c r="L720" s="1056">
        <v>0</v>
      </c>
      <c r="M720" s="1063">
        <v>0</v>
      </c>
      <c r="N720" s="1056">
        <v>0</v>
      </c>
      <c r="O720" s="1056">
        <v>1113</v>
      </c>
      <c r="P720" s="1056">
        <v>3726549.3</v>
      </c>
      <c r="Q720" s="1070">
        <v>0</v>
      </c>
      <c r="R720" s="1056">
        <v>0</v>
      </c>
      <c r="S720" s="1056">
        <v>0</v>
      </c>
      <c r="T720" s="1056">
        <v>0</v>
      </c>
      <c r="U720" s="1056">
        <v>0</v>
      </c>
      <c r="V720" s="1056">
        <v>0</v>
      </c>
      <c r="W720" s="1070">
        <v>0</v>
      </c>
      <c r="X720" s="1056">
        <v>0</v>
      </c>
      <c r="Y720" s="1056">
        <v>0</v>
      </c>
      <c r="Z720" s="1056">
        <v>291877.76000000001</v>
      </c>
      <c r="AA720" s="1056">
        <v>0</v>
      </c>
    </row>
    <row r="721" spans="1:27" s="1079" customFormat="1" ht="95.25" customHeight="1">
      <c r="A721" s="1322">
        <v>239</v>
      </c>
      <c r="B721" s="1247" t="s">
        <v>1578</v>
      </c>
      <c r="C721" s="1056">
        <f t="shared" si="388"/>
        <v>3642602.9499999997</v>
      </c>
      <c r="D721" s="1056">
        <f t="shared" si="389"/>
        <v>0</v>
      </c>
      <c r="E721" s="1056">
        <v>0</v>
      </c>
      <c r="F721" s="1056">
        <v>0</v>
      </c>
      <c r="G721" s="1056">
        <v>0</v>
      </c>
      <c r="H721" s="1056">
        <v>0</v>
      </c>
      <c r="I721" s="1056">
        <v>0</v>
      </c>
      <c r="J721" s="1056">
        <v>0</v>
      </c>
      <c r="K721" s="1063">
        <v>0</v>
      </c>
      <c r="L721" s="1056">
        <v>0</v>
      </c>
      <c r="M721" s="1063">
        <v>0</v>
      </c>
      <c r="N721" s="1056">
        <v>0</v>
      </c>
      <c r="O721" s="1056">
        <v>1008</v>
      </c>
      <c r="P721" s="1056">
        <v>3378023.11</v>
      </c>
      <c r="Q721" s="1070">
        <v>0</v>
      </c>
      <c r="R721" s="1056">
        <v>0</v>
      </c>
      <c r="S721" s="1056">
        <v>0</v>
      </c>
      <c r="T721" s="1056">
        <v>0</v>
      </c>
      <c r="U721" s="1056">
        <v>0</v>
      </c>
      <c r="V721" s="1056">
        <v>0</v>
      </c>
      <c r="W721" s="1070">
        <v>0</v>
      </c>
      <c r="X721" s="1056">
        <v>0</v>
      </c>
      <c r="Y721" s="1056">
        <v>0</v>
      </c>
      <c r="Z721" s="1056">
        <v>264579.84000000003</v>
      </c>
      <c r="AA721" s="1056">
        <v>0</v>
      </c>
    </row>
    <row r="722" spans="1:27" s="1079" customFormat="1" ht="84.75" customHeight="1">
      <c r="A722" s="1322">
        <v>240</v>
      </c>
      <c r="B722" s="1247" t="s">
        <v>2089</v>
      </c>
      <c r="C722" s="1056">
        <f t="shared" si="388"/>
        <v>2532530.52</v>
      </c>
      <c r="D722" s="1056">
        <f t="shared" si="389"/>
        <v>0</v>
      </c>
      <c r="E722" s="1056">
        <v>0</v>
      </c>
      <c r="F722" s="1056">
        <v>0</v>
      </c>
      <c r="G722" s="1056">
        <v>0</v>
      </c>
      <c r="H722" s="1056">
        <v>0</v>
      </c>
      <c r="I722" s="1056">
        <v>0</v>
      </c>
      <c r="J722" s="1056">
        <v>0</v>
      </c>
      <c r="K722" s="1063">
        <v>0</v>
      </c>
      <c r="L722" s="1056">
        <v>0</v>
      </c>
      <c r="M722" s="1063">
        <v>0</v>
      </c>
      <c r="N722" s="1056">
        <v>0</v>
      </c>
      <c r="O722" s="1056">
        <v>594</v>
      </c>
      <c r="P722" s="1056">
        <v>2348580.6</v>
      </c>
      <c r="Q722" s="1070">
        <v>0</v>
      </c>
      <c r="R722" s="1056">
        <v>0</v>
      </c>
      <c r="S722" s="1056">
        <v>0</v>
      </c>
      <c r="T722" s="1056">
        <v>0</v>
      </c>
      <c r="U722" s="1056">
        <v>0</v>
      </c>
      <c r="V722" s="1056">
        <v>0</v>
      </c>
      <c r="W722" s="1070">
        <v>0</v>
      </c>
      <c r="X722" s="1056">
        <v>0</v>
      </c>
      <c r="Y722" s="1056">
        <v>0</v>
      </c>
      <c r="Z722" s="1056">
        <v>183949.92</v>
      </c>
      <c r="AA722" s="1056">
        <v>0</v>
      </c>
    </row>
    <row r="723" spans="1:27" s="1079" customFormat="1" ht="106.5" customHeight="1">
      <c r="A723" s="1322">
        <v>241</v>
      </c>
      <c r="B723" s="1247" t="s">
        <v>2088</v>
      </c>
      <c r="C723" s="1056">
        <f>D723+N723+P723+R723+T723+X723+Z723+L723</f>
        <v>4930203.2</v>
      </c>
      <c r="D723" s="1056">
        <f t="shared" si="389"/>
        <v>4243317.2300000004</v>
      </c>
      <c r="E723" s="1056">
        <v>0</v>
      </c>
      <c r="F723" s="1056">
        <v>4243317.2300000004</v>
      </c>
      <c r="G723" s="1056">
        <v>0</v>
      </c>
      <c r="H723" s="1056">
        <v>0</v>
      </c>
      <c r="I723" s="1056">
        <v>0</v>
      </c>
      <c r="J723" s="1056">
        <v>0</v>
      </c>
      <c r="K723" s="1063">
        <v>1</v>
      </c>
      <c r="L723" s="1056">
        <v>328781.51</v>
      </c>
      <c r="M723" s="1063">
        <v>0</v>
      </c>
      <c r="N723" s="1056">
        <v>0</v>
      </c>
      <c r="O723" s="1056">
        <v>0</v>
      </c>
      <c r="P723" s="1056">
        <v>0</v>
      </c>
      <c r="Q723" s="1070">
        <v>0</v>
      </c>
      <c r="R723" s="1056">
        <v>0</v>
      </c>
      <c r="S723" s="1056">
        <v>0</v>
      </c>
      <c r="T723" s="1056">
        <v>0</v>
      </c>
      <c r="U723" s="1056">
        <v>0</v>
      </c>
      <c r="V723" s="1056">
        <v>0</v>
      </c>
      <c r="W723" s="1070">
        <v>0</v>
      </c>
      <c r="X723" s="1056">
        <v>0</v>
      </c>
      <c r="Y723" s="1056">
        <v>0</v>
      </c>
      <c r="Z723" s="1056">
        <v>358104.46</v>
      </c>
      <c r="AA723" s="1056">
        <v>0</v>
      </c>
    </row>
    <row r="724" spans="1:27" s="1079" customFormat="1" ht="84.75" customHeight="1">
      <c r="A724" s="1322">
        <v>242</v>
      </c>
      <c r="B724" s="1247" t="s">
        <v>1581</v>
      </c>
      <c r="C724" s="1056">
        <f>D724+N724+P724+R724+T724+X724+Z724+L724</f>
        <v>4452132.22</v>
      </c>
      <c r="D724" s="1056">
        <f t="shared" ref="D724" si="390">SUM(E724:J724)</f>
        <v>3799970.8</v>
      </c>
      <c r="E724" s="1056">
        <v>0</v>
      </c>
      <c r="F724" s="1056">
        <v>3799970.8</v>
      </c>
      <c r="G724" s="1056">
        <v>0</v>
      </c>
      <c r="H724" s="1056">
        <v>0</v>
      </c>
      <c r="I724" s="1056">
        <v>0</v>
      </c>
      <c r="J724" s="1056">
        <v>0</v>
      </c>
      <c r="K724" s="1063">
        <v>1</v>
      </c>
      <c r="L724" s="1056">
        <v>328782</v>
      </c>
      <c r="M724" s="1063">
        <v>0</v>
      </c>
      <c r="N724" s="1056">
        <v>0</v>
      </c>
      <c r="O724" s="1056">
        <v>0</v>
      </c>
      <c r="P724" s="1056">
        <v>0</v>
      </c>
      <c r="Q724" s="1070">
        <v>0</v>
      </c>
      <c r="R724" s="1056">
        <v>0</v>
      </c>
      <c r="S724" s="1056">
        <v>0</v>
      </c>
      <c r="T724" s="1056">
        <v>0</v>
      </c>
      <c r="U724" s="1056">
        <v>0</v>
      </c>
      <c r="V724" s="1056">
        <v>0</v>
      </c>
      <c r="W724" s="1070">
        <v>0</v>
      </c>
      <c r="X724" s="1056">
        <v>0</v>
      </c>
      <c r="Y724" s="1056">
        <v>0</v>
      </c>
      <c r="Z724" s="1056">
        <v>323379.42</v>
      </c>
      <c r="AA724" s="1056">
        <v>0</v>
      </c>
    </row>
    <row r="725" spans="1:27" s="1079" customFormat="1" ht="103.5" customHeight="1">
      <c r="A725" s="1322">
        <v>243</v>
      </c>
      <c r="B725" s="1247" t="s">
        <v>1582</v>
      </c>
      <c r="C725" s="1056">
        <f>D725+N725+P725+R725+T725+X725+Z725+L725</f>
        <v>4980039.4000000004</v>
      </c>
      <c r="D725" s="1056">
        <f t="shared" ref="D725:D726" si="391">SUM(E725:J725)</f>
        <v>4289533.54</v>
      </c>
      <c r="E725" s="1056">
        <v>0</v>
      </c>
      <c r="F725" s="1056">
        <v>4289533.54</v>
      </c>
      <c r="G725" s="1056">
        <v>0</v>
      </c>
      <c r="H725" s="1056">
        <v>0</v>
      </c>
      <c r="I725" s="1056">
        <v>0</v>
      </c>
      <c r="J725" s="1056">
        <v>0</v>
      </c>
      <c r="K725" s="1063">
        <v>1</v>
      </c>
      <c r="L725" s="1056">
        <v>328782</v>
      </c>
      <c r="M725" s="1063">
        <v>0</v>
      </c>
      <c r="N725" s="1056">
        <v>0</v>
      </c>
      <c r="O725" s="1056">
        <v>0</v>
      </c>
      <c r="P725" s="1056">
        <v>0</v>
      </c>
      <c r="Q725" s="1070">
        <v>0</v>
      </c>
      <c r="R725" s="1056">
        <v>0</v>
      </c>
      <c r="S725" s="1056">
        <v>0</v>
      </c>
      <c r="T725" s="1056">
        <v>0</v>
      </c>
      <c r="U725" s="1056">
        <v>0</v>
      </c>
      <c r="V725" s="1056">
        <v>0</v>
      </c>
      <c r="W725" s="1070">
        <v>0</v>
      </c>
      <c r="X725" s="1056">
        <v>0</v>
      </c>
      <c r="Y725" s="1056">
        <v>0</v>
      </c>
      <c r="Z725" s="1056">
        <v>361723.86</v>
      </c>
      <c r="AA725" s="1056">
        <v>0</v>
      </c>
    </row>
    <row r="726" spans="1:27" s="1079" customFormat="1" ht="95.25" customHeight="1">
      <c r="A726" s="1322">
        <v>244</v>
      </c>
      <c r="B726" s="1247" t="s">
        <v>2090</v>
      </c>
      <c r="C726" s="1056">
        <f>D726+N726+P726+R726+T726+X726+Z726+L726</f>
        <v>4883214.8900000006</v>
      </c>
      <c r="D726" s="1056">
        <f t="shared" si="391"/>
        <v>4199741.8600000003</v>
      </c>
      <c r="E726" s="1056">
        <v>0</v>
      </c>
      <c r="F726" s="1056">
        <v>4199741.8600000003</v>
      </c>
      <c r="G726" s="1056">
        <v>0</v>
      </c>
      <c r="H726" s="1056">
        <v>0</v>
      </c>
      <c r="I726" s="1056">
        <v>0</v>
      </c>
      <c r="J726" s="1056">
        <v>0</v>
      </c>
      <c r="K726" s="1063">
        <v>1</v>
      </c>
      <c r="L726" s="1056">
        <v>328782</v>
      </c>
      <c r="M726" s="1063">
        <v>0</v>
      </c>
      <c r="N726" s="1056">
        <v>0</v>
      </c>
      <c r="O726" s="1056">
        <v>0</v>
      </c>
      <c r="P726" s="1056">
        <v>0</v>
      </c>
      <c r="Q726" s="1070">
        <v>0</v>
      </c>
      <c r="R726" s="1056">
        <v>0</v>
      </c>
      <c r="S726" s="1056">
        <v>0</v>
      </c>
      <c r="T726" s="1056">
        <v>0</v>
      </c>
      <c r="U726" s="1056">
        <v>0</v>
      </c>
      <c r="V726" s="1056">
        <v>0</v>
      </c>
      <c r="W726" s="1070">
        <v>0</v>
      </c>
      <c r="X726" s="1056">
        <v>0</v>
      </c>
      <c r="Y726" s="1056">
        <v>0</v>
      </c>
      <c r="Z726" s="1056">
        <v>354691.03</v>
      </c>
      <c r="AA726" s="1056">
        <v>0</v>
      </c>
    </row>
    <row r="727" spans="1:27" s="1079" customFormat="1" ht="94.9" customHeight="1">
      <c r="A727" s="1322"/>
      <c r="B727" s="1055" t="s">
        <v>1232</v>
      </c>
      <c r="C727" s="1056">
        <f>C728</f>
        <v>11459859.27</v>
      </c>
      <c r="D727" s="1056">
        <f t="shared" ref="D727:AA727" si="392">D728</f>
        <v>0</v>
      </c>
      <c r="E727" s="1056">
        <f t="shared" si="392"/>
        <v>0</v>
      </c>
      <c r="F727" s="1056">
        <f t="shared" si="392"/>
        <v>0</v>
      </c>
      <c r="G727" s="1056">
        <f t="shared" si="392"/>
        <v>0</v>
      </c>
      <c r="H727" s="1056">
        <f t="shared" si="392"/>
        <v>0</v>
      </c>
      <c r="I727" s="1056">
        <f t="shared" si="392"/>
        <v>0</v>
      </c>
      <c r="J727" s="1056">
        <f t="shared" si="392"/>
        <v>0</v>
      </c>
      <c r="K727" s="1056">
        <f t="shared" si="392"/>
        <v>0</v>
      </c>
      <c r="L727" s="1056">
        <f t="shared" si="392"/>
        <v>0</v>
      </c>
      <c r="M727" s="1056">
        <f t="shared" si="392"/>
        <v>0</v>
      </c>
      <c r="N727" s="1056">
        <f t="shared" si="392"/>
        <v>0</v>
      </c>
      <c r="O727" s="1056">
        <f t="shared" si="392"/>
        <v>0</v>
      </c>
      <c r="P727" s="1056">
        <f t="shared" si="392"/>
        <v>0</v>
      </c>
      <c r="Q727" s="1056">
        <f t="shared" si="392"/>
        <v>0</v>
      </c>
      <c r="R727" s="1056">
        <f t="shared" si="392"/>
        <v>0</v>
      </c>
      <c r="S727" s="1056">
        <f t="shared" si="392"/>
        <v>1829.9</v>
      </c>
      <c r="T727" s="1056">
        <f t="shared" si="392"/>
        <v>10627474.359999999</v>
      </c>
      <c r="U727" s="1056">
        <f t="shared" si="392"/>
        <v>0</v>
      </c>
      <c r="V727" s="1056">
        <f t="shared" si="392"/>
        <v>0</v>
      </c>
      <c r="W727" s="1056">
        <f t="shared" si="392"/>
        <v>0</v>
      </c>
      <c r="X727" s="1056">
        <f t="shared" si="392"/>
        <v>0</v>
      </c>
      <c r="Y727" s="1056">
        <f t="shared" si="392"/>
        <v>0</v>
      </c>
      <c r="Z727" s="1056">
        <f t="shared" si="392"/>
        <v>832384.91</v>
      </c>
      <c r="AA727" s="1056">
        <f t="shared" si="392"/>
        <v>0</v>
      </c>
    </row>
    <row r="728" spans="1:27" s="1079" customFormat="1" ht="97.5" customHeight="1">
      <c r="A728" s="1322">
        <v>245</v>
      </c>
      <c r="B728" s="1062" t="s">
        <v>1482</v>
      </c>
      <c r="C728" s="1056">
        <f t="shared" ref="C728" si="393">D728+N728+P728+R728+T728+X728+Z728</f>
        <v>11459859.27</v>
      </c>
      <c r="D728" s="1056">
        <f t="shared" ref="D728" si="394">SUM(E728:J728)</f>
        <v>0</v>
      </c>
      <c r="E728" s="1056">
        <v>0</v>
      </c>
      <c r="F728" s="1056">
        <v>0</v>
      </c>
      <c r="G728" s="1056">
        <v>0</v>
      </c>
      <c r="H728" s="1056">
        <v>0</v>
      </c>
      <c r="I728" s="1056">
        <v>0</v>
      </c>
      <c r="J728" s="1056">
        <v>0</v>
      </c>
      <c r="K728" s="1063">
        <v>0</v>
      </c>
      <c r="L728" s="1056">
        <v>0</v>
      </c>
      <c r="M728" s="1063">
        <v>0</v>
      </c>
      <c r="N728" s="1056">
        <v>0</v>
      </c>
      <c r="O728" s="1056">
        <v>0</v>
      </c>
      <c r="P728" s="1056">
        <v>0</v>
      </c>
      <c r="Q728" s="1056">
        <v>0</v>
      </c>
      <c r="R728" s="1056">
        <v>0</v>
      </c>
      <c r="S728" s="1056">
        <v>1829.9</v>
      </c>
      <c r="T728" s="1056">
        <v>10627474.359999999</v>
      </c>
      <c r="U728" s="1056">
        <v>0</v>
      </c>
      <c r="V728" s="1056">
        <v>0</v>
      </c>
      <c r="W728" s="1056">
        <v>0</v>
      </c>
      <c r="X728" s="1056">
        <v>0</v>
      </c>
      <c r="Y728" s="1056">
        <v>0</v>
      </c>
      <c r="Z728" s="1056">
        <v>832384.91</v>
      </c>
      <c r="AA728" s="1056">
        <v>0</v>
      </c>
    </row>
    <row r="729" spans="1:27" s="1079" customFormat="1" ht="109.15" customHeight="1">
      <c r="A729" s="1322"/>
      <c r="B729" s="1062" t="s">
        <v>1094</v>
      </c>
      <c r="C729" s="1056">
        <f t="shared" ref="C729:T729" si="395">SUM(C730:C737)</f>
        <v>17454098.979999997</v>
      </c>
      <c r="D729" s="1056">
        <f t="shared" si="395"/>
        <v>0</v>
      </c>
      <c r="E729" s="1056">
        <f t="shared" si="395"/>
        <v>0</v>
      </c>
      <c r="F729" s="1056">
        <f t="shared" si="395"/>
        <v>0</v>
      </c>
      <c r="G729" s="1056">
        <f t="shared" si="395"/>
        <v>0</v>
      </c>
      <c r="H729" s="1056">
        <f t="shared" si="395"/>
        <v>0</v>
      </c>
      <c r="I729" s="1056">
        <f t="shared" si="395"/>
        <v>0</v>
      </c>
      <c r="J729" s="1056">
        <f t="shared" si="395"/>
        <v>0</v>
      </c>
      <c r="K729" s="1063">
        <f t="shared" si="395"/>
        <v>0</v>
      </c>
      <c r="L729" s="1056">
        <f t="shared" si="395"/>
        <v>0</v>
      </c>
      <c r="M729" s="1063">
        <f t="shared" si="395"/>
        <v>0</v>
      </c>
      <c r="N729" s="1056">
        <f t="shared" si="395"/>
        <v>0</v>
      </c>
      <c r="O729" s="1056">
        <f t="shared" si="395"/>
        <v>3541</v>
      </c>
      <c r="P729" s="1056">
        <f t="shared" si="395"/>
        <v>15389689.059999999</v>
      </c>
      <c r="Q729" s="1056">
        <f t="shared" si="395"/>
        <v>0</v>
      </c>
      <c r="R729" s="1056">
        <f t="shared" si="395"/>
        <v>0</v>
      </c>
      <c r="S729" s="1056">
        <f t="shared" si="395"/>
        <v>412</v>
      </c>
      <c r="T729" s="1056">
        <f t="shared" si="395"/>
        <v>898244</v>
      </c>
      <c r="U729" s="1056">
        <v>0</v>
      </c>
      <c r="V729" s="1056">
        <v>0</v>
      </c>
      <c r="W729" s="1056">
        <f>SUM(W730:W737)</f>
        <v>0</v>
      </c>
      <c r="X729" s="1056">
        <f>SUM(X730:X737)</f>
        <v>0</v>
      </c>
      <c r="Y729" s="1056">
        <v>0</v>
      </c>
      <c r="Z729" s="1056">
        <f>SUM(Z730:Z737)</f>
        <v>1166165.92</v>
      </c>
      <c r="AA729" s="1056">
        <f>SUM(AA730:AA737)</f>
        <v>0</v>
      </c>
    </row>
    <row r="730" spans="1:27" s="1079" customFormat="1" ht="109.15" customHeight="1">
      <c r="A730" s="1322">
        <v>246</v>
      </c>
      <c r="B730" s="1245" t="s">
        <v>1159</v>
      </c>
      <c r="C730" s="1056">
        <f t="shared" ref="C730" si="396">D730+N730+P730+R730+T730+X730+Z730</f>
        <v>1473794.61</v>
      </c>
      <c r="D730" s="1056">
        <f t="shared" ref="D730" si="397">SUM(E730:J730)</f>
        <v>0</v>
      </c>
      <c r="E730" s="1056">
        <v>0</v>
      </c>
      <c r="F730" s="1056">
        <v>0</v>
      </c>
      <c r="G730" s="1056">
        <v>0</v>
      </c>
      <c r="H730" s="1056">
        <v>0</v>
      </c>
      <c r="I730" s="1056">
        <v>0</v>
      </c>
      <c r="J730" s="1056">
        <v>0</v>
      </c>
      <c r="K730" s="1063">
        <v>0</v>
      </c>
      <c r="L730" s="1056">
        <v>0</v>
      </c>
      <c r="M730" s="1063">
        <v>0</v>
      </c>
      <c r="N730" s="1056">
        <v>0</v>
      </c>
      <c r="O730" s="1056">
        <v>400</v>
      </c>
      <c r="P730" s="1056">
        <v>1383843.79</v>
      </c>
      <c r="Q730" s="1056">
        <v>0</v>
      </c>
      <c r="R730" s="1056">
        <v>0</v>
      </c>
      <c r="S730" s="1056">
        <v>0</v>
      </c>
      <c r="T730" s="1056">
        <v>0</v>
      </c>
      <c r="U730" s="1056">
        <v>0</v>
      </c>
      <c r="V730" s="1056">
        <v>0</v>
      </c>
      <c r="W730" s="1056">
        <v>0</v>
      </c>
      <c r="X730" s="1056">
        <v>0</v>
      </c>
      <c r="Y730" s="1056">
        <v>0</v>
      </c>
      <c r="Z730" s="1056">
        <v>89950.82</v>
      </c>
      <c r="AA730" s="1056">
        <v>0</v>
      </c>
    </row>
    <row r="731" spans="1:27" s="1079" customFormat="1" ht="111.6" customHeight="1">
      <c r="A731" s="1322">
        <v>247</v>
      </c>
      <c r="B731" s="1245" t="s">
        <v>1279</v>
      </c>
      <c r="C731" s="1056">
        <f t="shared" ref="C731:C737" si="398">D731+N731+P731+R731+T731+X731+Z731</f>
        <v>2121307.2200000002</v>
      </c>
      <c r="D731" s="1056">
        <f t="shared" ref="D731:D737" si="399">SUM(E731:J731)</f>
        <v>0</v>
      </c>
      <c r="E731" s="1056">
        <v>0</v>
      </c>
      <c r="F731" s="1056">
        <v>0</v>
      </c>
      <c r="G731" s="1056">
        <v>0</v>
      </c>
      <c r="H731" s="1056">
        <v>0</v>
      </c>
      <c r="I731" s="1056">
        <v>0</v>
      </c>
      <c r="J731" s="1056">
        <v>0</v>
      </c>
      <c r="K731" s="1063">
        <v>0</v>
      </c>
      <c r="L731" s="1056">
        <v>0</v>
      </c>
      <c r="M731" s="1063">
        <v>0</v>
      </c>
      <c r="N731" s="1056">
        <v>0</v>
      </c>
      <c r="O731" s="1056">
        <v>507</v>
      </c>
      <c r="P731" s="1056">
        <v>2004596.58</v>
      </c>
      <c r="Q731" s="1056">
        <v>0</v>
      </c>
      <c r="R731" s="1056">
        <v>0</v>
      </c>
      <c r="S731" s="1056">
        <v>0</v>
      </c>
      <c r="T731" s="1056">
        <v>0</v>
      </c>
      <c r="U731" s="1056">
        <v>0</v>
      </c>
      <c r="V731" s="1056">
        <v>0</v>
      </c>
      <c r="W731" s="1056">
        <v>0</v>
      </c>
      <c r="X731" s="1056">
        <v>0</v>
      </c>
      <c r="Y731" s="1056">
        <v>0</v>
      </c>
      <c r="Z731" s="1056">
        <v>116710.64</v>
      </c>
      <c r="AA731" s="1056">
        <v>0</v>
      </c>
    </row>
    <row r="732" spans="1:27" s="1079" customFormat="1" ht="87.6" customHeight="1">
      <c r="A732" s="1322">
        <v>248</v>
      </c>
      <c r="B732" s="1062" t="s">
        <v>1159</v>
      </c>
      <c r="C732" s="1056">
        <f t="shared" si="398"/>
        <v>943734.47</v>
      </c>
      <c r="D732" s="1056">
        <f t="shared" si="399"/>
        <v>0</v>
      </c>
      <c r="E732" s="1056">
        <v>0</v>
      </c>
      <c r="F732" s="1056">
        <v>0</v>
      </c>
      <c r="G732" s="1056">
        <v>0</v>
      </c>
      <c r="H732" s="1056">
        <v>0</v>
      </c>
      <c r="I732" s="1056">
        <v>0</v>
      </c>
      <c r="J732" s="1056">
        <v>0</v>
      </c>
      <c r="K732" s="1063">
        <v>0</v>
      </c>
      <c r="L732" s="1056">
        <v>0</v>
      </c>
      <c r="M732" s="1063">
        <v>0</v>
      </c>
      <c r="N732" s="1056">
        <v>0</v>
      </c>
      <c r="O732" s="1056">
        <v>0</v>
      </c>
      <c r="P732" s="1056">
        <v>0</v>
      </c>
      <c r="Q732" s="1056">
        <v>0</v>
      </c>
      <c r="R732" s="1056">
        <v>0</v>
      </c>
      <c r="S732" s="1056">
        <v>412</v>
      </c>
      <c r="T732" s="1056">
        <v>898244</v>
      </c>
      <c r="U732" s="1056">
        <v>0</v>
      </c>
      <c r="V732" s="1056">
        <v>0</v>
      </c>
      <c r="W732" s="1056">
        <v>0</v>
      </c>
      <c r="X732" s="1056">
        <v>0</v>
      </c>
      <c r="Y732" s="1056">
        <v>0</v>
      </c>
      <c r="Z732" s="1056">
        <v>45490.47</v>
      </c>
      <c r="AA732" s="1056">
        <v>0</v>
      </c>
    </row>
    <row r="733" spans="1:27" s="1079" customFormat="1" ht="87.6" customHeight="1">
      <c r="A733" s="1322">
        <v>249</v>
      </c>
      <c r="B733" s="1062" t="s">
        <v>1280</v>
      </c>
      <c r="C733" s="1056">
        <f t="shared" si="398"/>
        <v>1679437.55</v>
      </c>
      <c r="D733" s="1056">
        <f t="shared" si="399"/>
        <v>0</v>
      </c>
      <c r="E733" s="1056">
        <v>0</v>
      </c>
      <c r="F733" s="1056">
        <v>0</v>
      </c>
      <c r="G733" s="1056">
        <v>0</v>
      </c>
      <c r="H733" s="1056">
        <v>0</v>
      </c>
      <c r="I733" s="1056">
        <v>0</v>
      </c>
      <c r="J733" s="1056">
        <v>0</v>
      </c>
      <c r="K733" s="1063">
        <v>0</v>
      </c>
      <c r="L733" s="1056">
        <v>0</v>
      </c>
      <c r="M733" s="1063">
        <v>0</v>
      </c>
      <c r="N733" s="1056">
        <v>0</v>
      </c>
      <c r="O733" s="1056">
        <v>400</v>
      </c>
      <c r="P733" s="1056">
        <v>1581535.76</v>
      </c>
      <c r="Q733" s="1056">
        <v>0</v>
      </c>
      <c r="R733" s="1056">
        <v>0</v>
      </c>
      <c r="S733" s="1056">
        <v>0</v>
      </c>
      <c r="T733" s="1056">
        <v>0</v>
      </c>
      <c r="U733" s="1056">
        <v>0</v>
      </c>
      <c r="V733" s="1056">
        <v>0</v>
      </c>
      <c r="W733" s="1056">
        <v>0</v>
      </c>
      <c r="X733" s="1056">
        <v>0</v>
      </c>
      <c r="Y733" s="1056">
        <v>0</v>
      </c>
      <c r="Z733" s="1056">
        <v>97901.79</v>
      </c>
      <c r="AA733" s="1056">
        <v>0</v>
      </c>
    </row>
    <row r="734" spans="1:27" s="1079" customFormat="1" ht="87.6" customHeight="1">
      <c r="A734" s="1322">
        <v>250</v>
      </c>
      <c r="B734" s="1062" t="s">
        <v>1131</v>
      </c>
      <c r="C734" s="1056">
        <f t="shared" si="398"/>
        <v>3195065</v>
      </c>
      <c r="D734" s="1056">
        <f t="shared" si="399"/>
        <v>0</v>
      </c>
      <c r="E734" s="1056">
        <v>0</v>
      </c>
      <c r="F734" s="1056">
        <v>0</v>
      </c>
      <c r="G734" s="1056">
        <v>0</v>
      </c>
      <c r="H734" s="1056">
        <v>0</v>
      </c>
      <c r="I734" s="1056">
        <v>0</v>
      </c>
      <c r="J734" s="1056">
        <v>0</v>
      </c>
      <c r="K734" s="1063">
        <v>0</v>
      </c>
      <c r="L734" s="1056">
        <v>0</v>
      </c>
      <c r="M734" s="1063">
        <v>0</v>
      </c>
      <c r="N734" s="1056">
        <v>0</v>
      </c>
      <c r="O734" s="1056">
        <v>944</v>
      </c>
      <c r="P734" s="1056">
        <v>2962992</v>
      </c>
      <c r="Q734" s="1056">
        <v>0</v>
      </c>
      <c r="R734" s="1056">
        <v>0</v>
      </c>
      <c r="S734" s="1056">
        <v>0</v>
      </c>
      <c r="T734" s="1056">
        <v>0</v>
      </c>
      <c r="U734" s="1056">
        <v>0</v>
      </c>
      <c r="V734" s="1056">
        <v>0</v>
      </c>
      <c r="W734" s="1056">
        <v>0</v>
      </c>
      <c r="X734" s="1056">
        <v>0</v>
      </c>
      <c r="Y734" s="1056">
        <v>0</v>
      </c>
      <c r="Z734" s="1056">
        <v>232073</v>
      </c>
      <c r="AA734" s="1056">
        <v>0</v>
      </c>
    </row>
    <row r="735" spans="1:27" s="1079" customFormat="1" ht="94.9" customHeight="1">
      <c r="A735" s="1322">
        <v>251</v>
      </c>
      <c r="B735" s="1062" t="s">
        <v>1132</v>
      </c>
      <c r="C735" s="1056">
        <f t="shared" si="398"/>
        <v>846151</v>
      </c>
      <c r="D735" s="1056">
        <f t="shared" si="399"/>
        <v>0</v>
      </c>
      <c r="E735" s="1056">
        <v>0</v>
      </c>
      <c r="F735" s="1056">
        <v>0</v>
      </c>
      <c r="G735" s="1056">
        <v>0</v>
      </c>
      <c r="H735" s="1056">
        <v>0</v>
      </c>
      <c r="I735" s="1056">
        <v>0</v>
      </c>
      <c r="J735" s="1056">
        <v>0</v>
      </c>
      <c r="K735" s="1063">
        <v>0</v>
      </c>
      <c r="L735" s="1056">
        <v>0</v>
      </c>
      <c r="M735" s="1063">
        <v>0</v>
      </c>
      <c r="N735" s="1056">
        <v>0</v>
      </c>
      <c r="O735" s="1056">
        <v>250</v>
      </c>
      <c r="P735" s="1056">
        <v>784691</v>
      </c>
      <c r="Q735" s="1056">
        <v>0</v>
      </c>
      <c r="R735" s="1056">
        <v>0</v>
      </c>
      <c r="S735" s="1056">
        <v>0</v>
      </c>
      <c r="T735" s="1056">
        <v>0</v>
      </c>
      <c r="U735" s="1056">
        <v>0</v>
      </c>
      <c r="V735" s="1056">
        <v>0</v>
      </c>
      <c r="W735" s="1056">
        <v>0</v>
      </c>
      <c r="X735" s="1056">
        <v>0</v>
      </c>
      <c r="Y735" s="1056">
        <v>0</v>
      </c>
      <c r="Z735" s="1056">
        <v>61460</v>
      </c>
      <c r="AA735" s="1056">
        <v>0</v>
      </c>
    </row>
    <row r="736" spans="1:27" s="1079" customFormat="1" ht="109.15" customHeight="1">
      <c r="A736" s="1322">
        <v>252</v>
      </c>
      <c r="B736" s="1062" t="s">
        <v>1148</v>
      </c>
      <c r="C736" s="1056">
        <f t="shared" si="398"/>
        <v>3182230.96</v>
      </c>
      <c r="D736" s="1056">
        <f t="shared" si="399"/>
        <v>0</v>
      </c>
      <c r="E736" s="1056">
        <v>0</v>
      </c>
      <c r="F736" s="1056">
        <v>0</v>
      </c>
      <c r="G736" s="1056">
        <v>0</v>
      </c>
      <c r="H736" s="1056">
        <v>0</v>
      </c>
      <c r="I736" s="1056">
        <v>0</v>
      </c>
      <c r="J736" s="1056">
        <v>0</v>
      </c>
      <c r="K736" s="1063">
        <v>0</v>
      </c>
      <c r="L736" s="1056">
        <v>0</v>
      </c>
      <c r="M736" s="1063">
        <v>0</v>
      </c>
      <c r="N736" s="1056">
        <v>0</v>
      </c>
      <c r="O736" s="1056">
        <v>460</v>
      </c>
      <c r="P736" s="1056">
        <v>2951090.16</v>
      </c>
      <c r="Q736" s="1056">
        <v>0</v>
      </c>
      <c r="R736" s="1056">
        <v>0</v>
      </c>
      <c r="S736" s="1056">
        <v>0</v>
      </c>
      <c r="T736" s="1056">
        <v>0</v>
      </c>
      <c r="U736" s="1056">
        <v>0</v>
      </c>
      <c r="V736" s="1056">
        <v>0</v>
      </c>
      <c r="W736" s="1056">
        <v>0</v>
      </c>
      <c r="X736" s="1056">
        <v>0</v>
      </c>
      <c r="Y736" s="1056">
        <v>0</v>
      </c>
      <c r="Z736" s="1056">
        <v>231140.8</v>
      </c>
      <c r="AA736" s="1056">
        <v>0</v>
      </c>
    </row>
    <row r="737" spans="1:27" s="1079" customFormat="1" ht="84.75" customHeight="1">
      <c r="A737" s="1322">
        <v>253</v>
      </c>
      <c r="B737" s="1062" t="s">
        <v>1149</v>
      </c>
      <c r="C737" s="1056">
        <f t="shared" si="398"/>
        <v>4012378.17</v>
      </c>
      <c r="D737" s="1056">
        <f t="shared" si="399"/>
        <v>0</v>
      </c>
      <c r="E737" s="1056">
        <v>0</v>
      </c>
      <c r="F737" s="1056">
        <v>0</v>
      </c>
      <c r="G737" s="1056">
        <v>0</v>
      </c>
      <c r="H737" s="1056">
        <v>0</v>
      </c>
      <c r="I737" s="1056">
        <v>0</v>
      </c>
      <c r="J737" s="1056">
        <v>0</v>
      </c>
      <c r="K737" s="1063">
        <v>0</v>
      </c>
      <c r="L737" s="1056">
        <v>0</v>
      </c>
      <c r="M737" s="1063">
        <v>0</v>
      </c>
      <c r="N737" s="1056">
        <v>0</v>
      </c>
      <c r="O737" s="1056">
        <v>580</v>
      </c>
      <c r="P737" s="1056">
        <v>3720939.77</v>
      </c>
      <c r="Q737" s="1056">
        <v>0</v>
      </c>
      <c r="R737" s="1056">
        <v>0</v>
      </c>
      <c r="S737" s="1056">
        <v>0</v>
      </c>
      <c r="T737" s="1056">
        <v>0</v>
      </c>
      <c r="U737" s="1056">
        <v>0</v>
      </c>
      <c r="V737" s="1056">
        <v>0</v>
      </c>
      <c r="W737" s="1056">
        <v>0</v>
      </c>
      <c r="X737" s="1056">
        <v>0</v>
      </c>
      <c r="Y737" s="1056">
        <v>0</v>
      </c>
      <c r="Z737" s="1056">
        <v>291438.40000000002</v>
      </c>
      <c r="AA737" s="1056">
        <v>0</v>
      </c>
    </row>
    <row r="738" spans="1:27" s="1079" customFormat="1" ht="81" customHeight="1">
      <c r="A738" s="1322"/>
      <c r="B738" s="1055" t="s">
        <v>41</v>
      </c>
      <c r="C738" s="1056">
        <f>C739+C750</f>
        <v>39849754.019999996</v>
      </c>
      <c r="D738" s="1056">
        <f t="shared" ref="D738:AA738" si="400">D739+D750</f>
        <v>5332601.07</v>
      </c>
      <c r="E738" s="1056">
        <f t="shared" si="400"/>
        <v>1422503.78</v>
      </c>
      <c r="F738" s="1056">
        <f t="shared" si="400"/>
        <v>2737748.4699999997</v>
      </c>
      <c r="G738" s="1056">
        <f t="shared" si="400"/>
        <v>0</v>
      </c>
      <c r="H738" s="1056">
        <f t="shared" si="400"/>
        <v>0</v>
      </c>
      <c r="I738" s="1056">
        <f t="shared" si="400"/>
        <v>0</v>
      </c>
      <c r="J738" s="1056">
        <f t="shared" si="400"/>
        <v>1172348.8199999998</v>
      </c>
      <c r="K738" s="1056">
        <f t="shared" si="400"/>
        <v>0</v>
      </c>
      <c r="L738" s="1056">
        <f t="shared" si="400"/>
        <v>0</v>
      </c>
      <c r="M738" s="1056">
        <f t="shared" si="400"/>
        <v>0</v>
      </c>
      <c r="N738" s="1056">
        <f t="shared" si="400"/>
        <v>0</v>
      </c>
      <c r="O738" s="1056">
        <f t="shared" si="400"/>
        <v>4969.9900000000007</v>
      </c>
      <c r="P738" s="1056">
        <f t="shared" si="400"/>
        <v>32044580.759999998</v>
      </c>
      <c r="Q738" s="1056">
        <f t="shared" si="400"/>
        <v>0</v>
      </c>
      <c r="R738" s="1056">
        <f t="shared" si="400"/>
        <v>0</v>
      </c>
      <c r="S738" s="1056">
        <f t="shared" si="400"/>
        <v>0</v>
      </c>
      <c r="T738" s="1056">
        <f t="shared" si="400"/>
        <v>0</v>
      </c>
      <c r="U738" s="1056">
        <f t="shared" si="400"/>
        <v>0</v>
      </c>
      <c r="V738" s="1056">
        <f t="shared" si="400"/>
        <v>0</v>
      </c>
      <c r="W738" s="1056">
        <f t="shared" si="400"/>
        <v>0</v>
      </c>
      <c r="X738" s="1056">
        <f t="shared" si="400"/>
        <v>0</v>
      </c>
      <c r="Y738" s="1056">
        <f t="shared" si="400"/>
        <v>0</v>
      </c>
      <c r="Z738" s="1056">
        <f t="shared" si="400"/>
        <v>2472572.1900000004</v>
      </c>
      <c r="AA738" s="1056">
        <f t="shared" si="400"/>
        <v>0</v>
      </c>
    </row>
    <row r="739" spans="1:27" s="1079" customFormat="1" ht="102" customHeight="1">
      <c r="A739" s="1322"/>
      <c r="B739" s="1055" t="s">
        <v>1025</v>
      </c>
      <c r="C739" s="1068">
        <f>SUM(C740:C749)</f>
        <v>37157047.019999996</v>
      </c>
      <c r="D739" s="1068">
        <f t="shared" ref="D739:AA739" si="401">SUM(D740:D749)</f>
        <v>5332601.07</v>
      </c>
      <c r="E739" s="1068">
        <f t="shared" si="401"/>
        <v>1422503.78</v>
      </c>
      <c r="F739" s="1068">
        <f t="shared" si="401"/>
        <v>2737748.4699999997</v>
      </c>
      <c r="G739" s="1068">
        <f t="shared" si="401"/>
        <v>0</v>
      </c>
      <c r="H739" s="1068">
        <f t="shared" si="401"/>
        <v>0</v>
      </c>
      <c r="I739" s="1068">
        <f t="shared" si="401"/>
        <v>0</v>
      </c>
      <c r="J739" s="1068">
        <f t="shared" si="401"/>
        <v>1172348.8199999998</v>
      </c>
      <c r="K739" s="1073">
        <f t="shared" si="401"/>
        <v>0</v>
      </c>
      <c r="L739" s="1068">
        <f t="shared" si="401"/>
        <v>0</v>
      </c>
      <c r="M739" s="1073">
        <f t="shared" si="401"/>
        <v>0</v>
      </c>
      <c r="N739" s="1068">
        <f t="shared" si="401"/>
        <v>0</v>
      </c>
      <c r="O739" s="1068">
        <f t="shared" si="401"/>
        <v>4224.8500000000004</v>
      </c>
      <c r="P739" s="1068">
        <f t="shared" si="401"/>
        <v>29547457.759999998</v>
      </c>
      <c r="Q739" s="1068">
        <f t="shared" si="401"/>
        <v>0</v>
      </c>
      <c r="R739" s="1068">
        <f t="shared" si="401"/>
        <v>0</v>
      </c>
      <c r="S739" s="1068">
        <f t="shared" si="401"/>
        <v>0</v>
      </c>
      <c r="T739" s="1068">
        <f t="shared" si="401"/>
        <v>0</v>
      </c>
      <c r="U739" s="1056">
        <v>0</v>
      </c>
      <c r="V739" s="1056">
        <v>0</v>
      </c>
      <c r="W739" s="1068">
        <f t="shared" si="401"/>
        <v>0</v>
      </c>
      <c r="X739" s="1068">
        <f t="shared" si="401"/>
        <v>0</v>
      </c>
      <c r="Y739" s="1068">
        <f t="shared" si="401"/>
        <v>0</v>
      </c>
      <c r="Z739" s="1068">
        <f t="shared" si="401"/>
        <v>2276988.1900000004</v>
      </c>
      <c r="AA739" s="1068">
        <f t="shared" si="401"/>
        <v>0</v>
      </c>
    </row>
    <row r="740" spans="1:27" s="1079" customFormat="1" ht="97.15" customHeight="1">
      <c r="A740" s="1322">
        <v>254</v>
      </c>
      <c r="B740" s="1233" t="s">
        <v>827</v>
      </c>
      <c r="C740" s="1056">
        <f>D740+N740+P740+R740+T740+X740+Z740</f>
        <v>873523.9</v>
      </c>
      <c r="D740" s="1056">
        <f>SUM(E740:J740)</f>
        <v>834483.8</v>
      </c>
      <c r="E740" s="1056">
        <v>834483.8</v>
      </c>
      <c r="F740" s="1056">
        <v>0</v>
      </c>
      <c r="G740" s="1056">
        <v>0</v>
      </c>
      <c r="H740" s="1056">
        <v>0</v>
      </c>
      <c r="I740" s="1056">
        <v>0</v>
      </c>
      <c r="J740" s="1056">
        <v>0</v>
      </c>
      <c r="K740" s="1063">
        <v>0</v>
      </c>
      <c r="L740" s="1056">
        <v>0</v>
      </c>
      <c r="M740" s="1063">
        <v>0</v>
      </c>
      <c r="N740" s="1056">
        <v>0</v>
      </c>
      <c r="O740" s="1056">
        <v>0</v>
      </c>
      <c r="P740" s="1056">
        <v>0</v>
      </c>
      <c r="Q740" s="1056">
        <v>0</v>
      </c>
      <c r="R740" s="1056">
        <v>0</v>
      </c>
      <c r="S740" s="1056">
        <v>0</v>
      </c>
      <c r="T740" s="1056">
        <v>0</v>
      </c>
      <c r="U740" s="1056">
        <v>0</v>
      </c>
      <c r="V740" s="1056">
        <v>0</v>
      </c>
      <c r="W740" s="1056">
        <v>0</v>
      </c>
      <c r="X740" s="1056">
        <v>0</v>
      </c>
      <c r="Y740" s="1056">
        <v>0</v>
      </c>
      <c r="Z740" s="1056">
        <v>39040.1</v>
      </c>
      <c r="AA740" s="1056">
        <v>0</v>
      </c>
    </row>
    <row r="741" spans="1:27" s="1079" customFormat="1" ht="99" customHeight="1">
      <c r="A741" s="1322">
        <v>255</v>
      </c>
      <c r="B741" s="1233" t="s">
        <v>828</v>
      </c>
      <c r="C741" s="1056">
        <f t="shared" ref="C741" si="402">D741+N741+P741+R741+T741+X741+Z741</f>
        <v>1451416.99</v>
      </c>
      <c r="D741" s="1056">
        <f t="shared" ref="D741" si="403">SUM(E741:J741)</f>
        <v>1347384.47</v>
      </c>
      <c r="E741" s="1056">
        <v>0</v>
      </c>
      <c r="F741" s="1056">
        <v>891407</v>
      </c>
      <c r="G741" s="1056">
        <v>0</v>
      </c>
      <c r="H741" s="1056">
        <v>0</v>
      </c>
      <c r="I741" s="1056">
        <v>0</v>
      </c>
      <c r="J741" s="1056">
        <v>455977.47</v>
      </c>
      <c r="K741" s="1063">
        <v>0</v>
      </c>
      <c r="L741" s="1056">
        <v>0</v>
      </c>
      <c r="M741" s="1063">
        <v>0</v>
      </c>
      <c r="N741" s="1056">
        <v>0</v>
      </c>
      <c r="O741" s="1056">
        <v>0</v>
      </c>
      <c r="P741" s="1056">
        <v>0</v>
      </c>
      <c r="Q741" s="1056">
        <v>0</v>
      </c>
      <c r="R741" s="1056">
        <v>0</v>
      </c>
      <c r="S741" s="1056">
        <v>0</v>
      </c>
      <c r="T741" s="1056">
        <v>0</v>
      </c>
      <c r="U741" s="1056">
        <v>0</v>
      </c>
      <c r="V741" s="1056">
        <v>0</v>
      </c>
      <c r="W741" s="1056">
        <v>0</v>
      </c>
      <c r="X741" s="1056">
        <v>0</v>
      </c>
      <c r="Y741" s="1056">
        <v>0</v>
      </c>
      <c r="Z741" s="1056">
        <v>104032.52</v>
      </c>
      <c r="AA741" s="1056">
        <v>0</v>
      </c>
    </row>
    <row r="742" spans="1:27" s="1079" customFormat="1" ht="78.599999999999994" customHeight="1">
      <c r="A742" s="1322">
        <v>256</v>
      </c>
      <c r="B742" s="1233" t="s">
        <v>1453</v>
      </c>
      <c r="C742" s="1056">
        <f>D742+N742+P742+R742+T742+X742+Z742</f>
        <v>2715253.21</v>
      </c>
      <c r="D742" s="1056">
        <f>SUM(E742:J742)</f>
        <v>2562712.8199999998</v>
      </c>
      <c r="E742" s="1056">
        <v>0</v>
      </c>
      <c r="F742" s="1056">
        <v>1846341.47</v>
      </c>
      <c r="G742" s="1056">
        <v>0</v>
      </c>
      <c r="H742" s="1056">
        <v>0</v>
      </c>
      <c r="I742" s="1056">
        <v>0</v>
      </c>
      <c r="J742" s="1056">
        <v>716371.35</v>
      </c>
      <c r="K742" s="1063">
        <v>0</v>
      </c>
      <c r="L742" s="1056">
        <v>0</v>
      </c>
      <c r="M742" s="1063">
        <v>0</v>
      </c>
      <c r="N742" s="1056">
        <v>0</v>
      </c>
      <c r="O742" s="1056">
        <v>0</v>
      </c>
      <c r="P742" s="1056">
        <v>0</v>
      </c>
      <c r="Q742" s="1056">
        <v>0</v>
      </c>
      <c r="R742" s="1056">
        <v>0</v>
      </c>
      <c r="S742" s="1056">
        <v>0</v>
      </c>
      <c r="T742" s="1056">
        <v>0</v>
      </c>
      <c r="U742" s="1056">
        <v>0</v>
      </c>
      <c r="V742" s="1056">
        <v>0</v>
      </c>
      <c r="W742" s="1056">
        <v>0</v>
      </c>
      <c r="X742" s="1056">
        <v>0</v>
      </c>
      <c r="Y742" s="1056">
        <v>0</v>
      </c>
      <c r="Z742" s="1056">
        <v>152540.39000000001</v>
      </c>
      <c r="AA742" s="1056">
        <v>0</v>
      </c>
    </row>
    <row r="743" spans="1:27" s="1079" customFormat="1" ht="96" customHeight="1">
      <c r="A743" s="1322">
        <v>257</v>
      </c>
      <c r="B743" s="1233" t="s">
        <v>1454</v>
      </c>
      <c r="C743" s="1056">
        <f t="shared" ref="C743" si="404">D743+N743+P743+R743+T743+X743+Z743</f>
        <v>634075.98</v>
      </c>
      <c r="D743" s="1056">
        <f t="shared" ref="D743" si="405">SUM(E743:J743)</f>
        <v>588019.98</v>
      </c>
      <c r="E743" s="1056">
        <v>588019.98</v>
      </c>
      <c r="F743" s="1056">
        <v>0</v>
      </c>
      <c r="G743" s="1056">
        <v>0</v>
      </c>
      <c r="H743" s="1056">
        <v>0</v>
      </c>
      <c r="I743" s="1056">
        <v>0</v>
      </c>
      <c r="J743" s="1056">
        <v>0</v>
      </c>
      <c r="K743" s="1063">
        <v>0</v>
      </c>
      <c r="L743" s="1056">
        <v>0</v>
      </c>
      <c r="M743" s="1063">
        <v>0</v>
      </c>
      <c r="N743" s="1056">
        <v>0</v>
      </c>
      <c r="O743" s="1056">
        <v>0</v>
      </c>
      <c r="P743" s="1056">
        <v>0</v>
      </c>
      <c r="Q743" s="1056">
        <v>0</v>
      </c>
      <c r="R743" s="1056">
        <v>0</v>
      </c>
      <c r="S743" s="1056">
        <v>0</v>
      </c>
      <c r="T743" s="1056">
        <v>0</v>
      </c>
      <c r="U743" s="1056">
        <v>0</v>
      </c>
      <c r="V743" s="1056">
        <v>0</v>
      </c>
      <c r="W743" s="1056">
        <v>0</v>
      </c>
      <c r="X743" s="1056">
        <v>0</v>
      </c>
      <c r="Y743" s="1056">
        <v>0</v>
      </c>
      <c r="Z743" s="1056">
        <v>46056</v>
      </c>
      <c r="AA743" s="1056">
        <v>0</v>
      </c>
    </row>
    <row r="744" spans="1:27" s="1079" customFormat="1" ht="101.25" customHeight="1">
      <c r="A744" s="1322">
        <v>258</v>
      </c>
      <c r="B744" s="1233" t="s">
        <v>2120</v>
      </c>
      <c r="C744" s="1056">
        <f t="shared" ref="C744:C749" si="406">D744+N744+P744+R744+T744+X744+Z744</f>
        <v>6749007.4000000004</v>
      </c>
      <c r="D744" s="1056">
        <f t="shared" ref="D744:D749" si="407">SUM(E744:J744)</f>
        <v>0</v>
      </c>
      <c r="E744" s="1056">
        <v>0</v>
      </c>
      <c r="F744" s="1056">
        <v>0</v>
      </c>
      <c r="G744" s="1056">
        <v>0</v>
      </c>
      <c r="H744" s="1056">
        <v>0</v>
      </c>
      <c r="I744" s="1056">
        <v>0</v>
      </c>
      <c r="J744" s="1056">
        <v>0</v>
      </c>
      <c r="K744" s="1063">
        <v>0</v>
      </c>
      <c r="L744" s="1056">
        <v>0</v>
      </c>
      <c r="M744" s="1063">
        <v>0</v>
      </c>
      <c r="N744" s="1056">
        <v>0</v>
      </c>
      <c r="O744" s="1056">
        <v>877.89</v>
      </c>
      <c r="P744" s="1056">
        <v>6494630.4000000004</v>
      </c>
      <c r="Q744" s="1056">
        <v>0</v>
      </c>
      <c r="R744" s="1056">
        <v>0</v>
      </c>
      <c r="S744" s="1056">
        <v>0</v>
      </c>
      <c r="T744" s="1056">
        <v>0</v>
      </c>
      <c r="U744" s="1056">
        <v>0</v>
      </c>
      <c r="V744" s="1056">
        <v>0</v>
      </c>
      <c r="W744" s="1056">
        <v>0</v>
      </c>
      <c r="X744" s="1056">
        <v>0</v>
      </c>
      <c r="Y744" s="1056">
        <v>0</v>
      </c>
      <c r="Z744" s="1056">
        <v>254377</v>
      </c>
      <c r="AA744" s="1056">
        <v>0</v>
      </c>
    </row>
    <row r="745" spans="1:27" s="1079" customFormat="1" ht="93" customHeight="1">
      <c r="A745" s="1322">
        <v>259</v>
      </c>
      <c r="B745" s="1233" t="s">
        <v>1461</v>
      </c>
      <c r="C745" s="1056">
        <f t="shared" si="406"/>
        <v>5000298.04</v>
      </c>
      <c r="D745" s="1056">
        <f t="shared" si="407"/>
        <v>0</v>
      </c>
      <c r="E745" s="1056">
        <v>0</v>
      </c>
      <c r="F745" s="1056">
        <v>0</v>
      </c>
      <c r="G745" s="1056">
        <v>0</v>
      </c>
      <c r="H745" s="1056">
        <v>0</v>
      </c>
      <c r="I745" s="1056">
        <v>0</v>
      </c>
      <c r="J745" s="1056">
        <v>0</v>
      </c>
      <c r="K745" s="1063">
        <v>0</v>
      </c>
      <c r="L745" s="1056">
        <v>0</v>
      </c>
      <c r="M745" s="1063">
        <v>0</v>
      </c>
      <c r="N745" s="1056">
        <v>0</v>
      </c>
      <c r="O745" s="1056">
        <v>443.61</v>
      </c>
      <c r="P745" s="1056">
        <v>4752692.68</v>
      </c>
      <c r="Q745" s="1056">
        <v>0</v>
      </c>
      <c r="R745" s="1056">
        <v>0</v>
      </c>
      <c r="S745" s="1056">
        <v>0</v>
      </c>
      <c r="T745" s="1056">
        <v>0</v>
      </c>
      <c r="U745" s="1056">
        <v>0</v>
      </c>
      <c r="V745" s="1056">
        <v>0</v>
      </c>
      <c r="W745" s="1056">
        <v>0</v>
      </c>
      <c r="X745" s="1056">
        <v>0</v>
      </c>
      <c r="Y745" s="1056">
        <v>0</v>
      </c>
      <c r="Z745" s="1056">
        <v>247605.36</v>
      </c>
      <c r="AA745" s="1056">
        <v>0</v>
      </c>
    </row>
    <row r="746" spans="1:27" s="1079" customFormat="1" ht="96" customHeight="1">
      <c r="A746" s="1322">
        <v>260</v>
      </c>
      <c r="B746" s="1233" t="s">
        <v>1457</v>
      </c>
      <c r="C746" s="1056">
        <f t="shared" si="406"/>
        <v>5148593</v>
      </c>
      <c r="D746" s="1056">
        <f t="shared" si="407"/>
        <v>0</v>
      </c>
      <c r="E746" s="1056">
        <v>0</v>
      </c>
      <c r="F746" s="1056">
        <v>0</v>
      </c>
      <c r="G746" s="1056">
        <v>0</v>
      </c>
      <c r="H746" s="1056">
        <v>0</v>
      </c>
      <c r="I746" s="1056">
        <v>0</v>
      </c>
      <c r="J746" s="1056">
        <v>0</v>
      </c>
      <c r="K746" s="1063">
        <v>0</v>
      </c>
      <c r="L746" s="1056">
        <v>0</v>
      </c>
      <c r="M746" s="1063">
        <v>0</v>
      </c>
      <c r="N746" s="1056">
        <v>0</v>
      </c>
      <c r="O746" s="1056">
        <v>670</v>
      </c>
      <c r="P746" s="1056">
        <v>4774626</v>
      </c>
      <c r="Q746" s="1056">
        <v>0</v>
      </c>
      <c r="R746" s="1056">
        <v>0</v>
      </c>
      <c r="S746" s="1056">
        <v>0</v>
      </c>
      <c r="T746" s="1056">
        <v>0</v>
      </c>
      <c r="U746" s="1056">
        <v>0</v>
      </c>
      <c r="V746" s="1056">
        <v>0</v>
      </c>
      <c r="W746" s="1056">
        <v>0</v>
      </c>
      <c r="X746" s="1056">
        <v>0</v>
      </c>
      <c r="Y746" s="1056">
        <v>0</v>
      </c>
      <c r="Z746" s="1056">
        <v>373967</v>
      </c>
      <c r="AA746" s="1056">
        <v>0</v>
      </c>
    </row>
    <row r="747" spans="1:27" s="1079" customFormat="1" ht="73.900000000000006" customHeight="1">
      <c r="A747" s="1322">
        <v>261</v>
      </c>
      <c r="B747" s="1233" t="s">
        <v>1458</v>
      </c>
      <c r="C747" s="1056">
        <f t="shared" si="406"/>
        <v>6693171</v>
      </c>
      <c r="D747" s="1056">
        <f t="shared" si="407"/>
        <v>0</v>
      </c>
      <c r="E747" s="1056">
        <v>0</v>
      </c>
      <c r="F747" s="1056">
        <v>0</v>
      </c>
      <c r="G747" s="1056">
        <v>0</v>
      </c>
      <c r="H747" s="1056">
        <v>0</v>
      </c>
      <c r="I747" s="1056">
        <v>0</v>
      </c>
      <c r="J747" s="1056">
        <v>0</v>
      </c>
      <c r="K747" s="1063">
        <v>0</v>
      </c>
      <c r="L747" s="1056">
        <v>0</v>
      </c>
      <c r="M747" s="1063">
        <v>0</v>
      </c>
      <c r="N747" s="1056">
        <v>0</v>
      </c>
      <c r="O747" s="1056">
        <v>871</v>
      </c>
      <c r="P747" s="1056">
        <v>6207014</v>
      </c>
      <c r="Q747" s="1056">
        <v>0</v>
      </c>
      <c r="R747" s="1056">
        <v>0</v>
      </c>
      <c r="S747" s="1056">
        <v>0</v>
      </c>
      <c r="T747" s="1056">
        <v>0</v>
      </c>
      <c r="U747" s="1056">
        <v>0</v>
      </c>
      <c r="V747" s="1056">
        <v>0</v>
      </c>
      <c r="W747" s="1056">
        <v>0</v>
      </c>
      <c r="X747" s="1056">
        <v>0</v>
      </c>
      <c r="Y747" s="1056">
        <v>0</v>
      </c>
      <c r="Z747" s="1056">
        <v>486157</v>
      </c>
      <c r="AA747" s="1056">
        <v>0</v>
      </c>
    </row>
    <row r="748" spans="1:27" s="1079" customFormat="1" ht="71.45" customHeight="1">
      <c r="A748" s="1322">
        <v>262</v>
      </c>
      <c r="B748" s="1233" t="s">
        <v>1459</v>
      </c>
      <c r="C748" s="1056">
        <f t="shared" si="406"/>
        <v>2701628.34</v>
      </c>
      <c r="D748" s="1056">
        <f t="shared" si="407"/>
        <v>0</v>
      </c>
      <c r="E748" s="1056">
        <v>0</v>
      </c>
      <c r="F748" s="1056">
        <v>0</v>
      </c>
      <c r="G748" s="1056">
        <v>0</v>
      </c>
      <c r="H748" s="1056">
        <v>0</v>
      </c>
      <c r="I748" s="1056">
        <v>0</v>
      </c>
      <c r="J748" s="1056">
        <v>0</v>
      </c>
      <c r="K748" s="1063">
        <v>0</v>
      </c>
      <c r="L748" s="1056">
        <v>0</v>
      </c>
      <c r="M748" s="1063">
        <v>0</v>
      </c>
      <c r="N748" s="1056">
        <v>0</v>
      </c>
      <c r="O748" s="1056">
        <v>351.57</v>
      </c>
      <c r="P748" s="1056">
        <v>2505396.0299999998</v>
      </c>
      <c r="Q748" s="1056">
        <v>0</v>
      </c>
      <c r="R748" s="1056">
        <v>0</v>
      </c>
      <c r="S748" s="1056">
        <v>0</v>
      </c>
      <c r="T748" s="1056">
        <v>0</v>
      </c>
      <c r="U748" s="1056">
        <v>0</v>
      </c>
      <c r="V748" s="1056">
        <v>0</v>
      </c>
      <c r="W748" s="1056">
        <v>0</v>
      </c>
      <c r="X748" s="1056">
        <v>0</v>
      </c>
      <c r="Y748" s="1056">
        <v>0</v>
      </c>
      <c r="Z748" s="1056">
        <v>196232.31</v>
      </c>
      <c r="AA748" s="1056">
        <v>0</v>
      </c>
    </row>
    <row r="749" spans="1:27" s="1079" customFormat="1" ht="78.599999999999994" customHeight="1">
      <c r="A749" s="1322">
        <v>263</v>
      </c>
      <c r="B749" s="1233" t="s">
        <v>1460</v>
      </c>
      <c r="C749" s="1056">
        <f t="shared" si="406"/>
        <v>5190079.16</v>
      </c>
      <c r="D749" s="1056">
        <f t="shared" si="407"/>
        <v>0</v>
      </c>
      <c r="E749" s="1056">
        <v>0</v>
      </c>
      <c r="F749" s="1056">
        <v>0</v>
      </c>
      <c r="G749" s="1056">
        <v>0</v>
      </c>
      <c r="H749" s="1056">
        <v>0</v>
      </c>
      <c r="I749" s="1056">
        <v>0</v>
      </c>
      <c r="J749" s="1056">
        <v>0</v>
      </c>
      <c r="K749" s="1063">
        <v>0</v>
      </c>
      <c r="L749" s="1056">
        <v>0</v>
      </c>
      <c r="M749" s="1063">
        <v>0</v>
      </c>
      <c r="N749" s="1056">
        <v>0</v>
      </c>
      <c r="O749" s="1056">
        <v>1010.78</v>
      </c>
      <c r="P749" s="1056">
        <v>4813098.6500000004</v>
      </c>
      <c r="Q749" s="1056">
        <v>0</v>
      </c>
      <c r="R749" s="1056">
        <v>0</v>
      </c>
      <c r="S749" s="1056">
        <v>0</v>
      </c>
      <c r="T749" s="1056">
        <v>0</v>
      </c>
      <c r="U749" s="1056">
        <v>0</v>
      </c>
      <c r="V749" s="1056">
        <v>0</v>
      </c>
      <c r="W749" s="1056">
        <v>0</v>
      </c>
      <c r="X749" s="1056">
        <v>0</v>
      </c>
      <c r="Y749" s="1056">
        <v>0</v>
      </c>
      <c r="Z749" s="1056">
        <v>376980.51</v>
      </c>
      <c r="AA749" s="1056">
        <v>0</v>
      </c>
    </row>
    <row r="750" spans="1:27" s="1079" customFormat="1" ht="93" customHeight="1">
      <c r="A750" s="1322"/>
      <c r="B750" s="1055" t="s">
        <v>2049</v>
      </c>
      <c r="C750" s="1056">
        <f>C751</f>
        <v>2692707</v>
      </c>
      <c r="D750" s="1056">
        <f t="shared" ref="D750:AA750" si="408">D751</f>
        <v>0</v>
      </c>
      <c r="E750" s="1056">
        <f t="shared" si="408"/>
        <v>0</v>
      </c>
      <c r="F750" s="1056">
        <f t="shared" si="408"/>
        <v>0</v>
      </c>
      <c r="G750" s="1056">
        <f t="shared" si="408"/>
        <v>0</v>
      </c>
      <c r="H750" s="1056">
        <f t="shared" si="408"/>
        <v>0</v>
      </c>
      <c r="I750" s="1056">
        <f t="shared" si="408"/>
        <v>0</v>
      </c>
      <c r="J750" s="1056">
        <f t="shared" si="408"/>
        <v>0</v>
      </c>
      <c r="K750" s="1056">
        <f t="shared" si="408"/>
        <v>0</v>
      </c>
      <c r="L750" s="1056">
        <f t="shared" si="408"/>
        <v>0</v>
      </c>
      <c r="M750" s="1056">
        <f t="shared" si="408"/>
        <v>0</v>
      </c>
      <c r="N750" s="1056">
        <f t="shared" si="408"/>
        <v>0</v>
      </c>
      <c r="O750" s="1056">
        <f t="shared" si="408"/>
        <v>745.14</v>
      </c>
      <c r="P750" s="1056">
        <f t="shared" si="408"/>
        <v>2497123</v>
      </c>
      <c r="Q750" s="1056">
        <f t="shared" si="408"/>
        <v>0</v>
      </c>
      <c r="R750" s="1056">
        <f t="shared" si="408"/>
        <v>0</v>
      </c>
      <c r="S750" s="1056">
        <f t="shared" si="408"/>
        <v>0</v>
      </c>
      <c r="T750" s="1056">
        <f t="shared" si="408"/>
        <v>0</v>
      </c>
      <c r="U750" s="1056">
        <v>0</v>
      </c>
      <c r="V750" s="1056">
        <v>0</v>
      </c>
      <c r="W750" s="1056">
        <f t="shared" si="408"/>
        <v>0</v>
      </c>
      <c r="X750" s="1056">
        <f t="shared" si="408"/>
        <v>0</v>
      </c>
      <c r="Y750" s="1056">
        <f t="shared" si="408"/>
        <v>0</v>
      </c>
      <c r="Z750" s="1056">
        <f t="shared" si="408"/>
        <v>195584</v>
      </c>
      <c r="AA750" s="1056">
        <f t="shared" si="408"/>
        <v>0</v>
      </c>
    </row>
    <row r="751" spans="1:27" s="1079" customFormat="1" ht="78.599999999999994" customHeight="1">
      <c r="A751" s="1322">
        <v>264</v>
      </c>
      <c r="B751" s="1055" t="s">
        <v>2050</v>
      </c>
      <c r="C751" s="1056">
        <f t="shared" ref="C751" si="409">D751+N751+P751+R751+T751+X751+Z751</f>
        <v>2692707</v>
      </c>
      <c r="D751" s="1056">
        <f t="shared" ref="D751" si="410">SUM(E751:J751)</f>
        <v>0</v>
      </c>
      <c r="E751" s="1056">
        <v>0</v>
      </c>
      <c r="F751" s="1056">
        <v>0</v>
      </c>
      <c r="G751" s="1056">
        <v>0</v>
      </c>
      <c r="H751" s="1056">
        <v>0</v>
      </c>
      <c r="I751" s="1056">
        <v>0</v>
      </c>
      <c r="J751" s="1056">
        <v>0</v>
      </c>
      <c r="K751" s="1063">
        <v>0</v>
      </c>
      <c r="L751" s="1056">
        <v>0</v>
      </c>
      <c r="M751" s="1063">
        <v>0</v>
      </c>
      <c r="N751" s="1056">
        <v>0</v>
      </c>
      <c r="O751" s="1056">
        <v>745.14</v>
      </c>
      <c r="P751" s="1056">
        <v>2497123</v>
      </c>
      <c r="Q751" s="1056">
        <v>0</v>
      </c>
      <c r="R751" s="1056">
        <v>0</v>
      </c>
      <c r="S751" s="1056">
        <v>0</v>
      </c>
      <c r="T751" s="1056">
        <v>0</v>
      </c>
      <c r="U751" s="1056">
        <v>0</v>
      </c>
      <c r="V751" s="1056">
        <v>0</v>
      </c>
      <c r="W751" s="1056">
        <v>0</v>
      </c>
      <c r="X751" s="1056">
        <v>0</v>
      </c>
      <c r="Y751" s="1056">
        <v>0</v>
      </c>
      <c r="Z751" s="1056">
        <v>195584</v>
      </c>
      <c r="AA751" s="1056">
        <v>0</v>
      </c>
    </row>
    <row r="752" spans="1:27" s="1079" customFormat="1" ht="123" customHeight="1">
      <c r="A752" s="1322"/>
      <c r="B752" s="1055" t="s">
        <v>1237</v>
      </c>
      <c r="C752" s="1068">
        <f>SUM(C753:C762)</f>
        <v>5829116.3200000003</v>
      </c>
      <c r="D752" s="1068">
        <f t="shared" ref="D752:AA752" si="411">SUM(D753:D762)</f>
        <v>2728229.26</v>
      </c>
      <c r="E752" s="1068">
        <f t="shared" si="411"/>
        <v>2382531.73</v>
      </c>
      <c r="F752" s="1068">
        <f t="shared" si="411"/>
        <v>0</v>
      </c>
      <c r="G752" s="1068">
        <f t="shared" si="411"/>
        <v>0</v>
      </c>
      <c r="H752" s="1068">
        <f t="shared" si="411"/>
        <v>0</v>
      </c>
      <c r="I752" s="1068">
        <f t="shared" si="411"/>
        <v>0</v>
      </c>
      <c r="J752" s="1068">
        <f t="shared" si="411"/>
        <v>345697.53</v>
      </c>
      <c r="K752" s="1068">
        <f t="shared" si="411"/>
        <v>0</v>
      </c>
      <c r="L752" s="1068">
        <f t="shared" si="411"/>
        <v>0</v>
      </c>
      <c r="M752" s="1068">
        <f t="shared" si="411"/>
        <v>0</v>
      </c>
      <c r="N752" s="1068">
        <f t="shared" si="411"/>
        <v>0</v>
      </c>
      <c r="O752" s="1068">
        <f t="shared" si="411"/>
        <v>411.4</v>
      </c>
      <c r="P752" s="1068">
        <f t="shared" si="411"/>
        <v>1860793.06</v>
      </c>
      <c r="Q752" s="1068">
        <f t="shared" si="411"/>
        <v>0</v>
      </c>
      <c r="R752" s="1068">
        <f t="shared" si="411"/>
        <v>0</v>
      </c>
      <c r="S752" s="1068">
        <f t="shared" si="411"/>
        <v>266.8</v>
      </c>
      <c r="T752" s="1068">
        <f t="shared" si="411"/>
        <v>836331.71</v>
      </c>
      <c r="U752" s="1068">
        <f t="shared" si="411"/>
        <v>0</v>
      </c>
      <c r="V752" s="1068">
        <f t="shared" si="411"/>
        <v>0</v>
      </c>
      <c r="W752" s="1068">
        <f t="shared" si="411"/>
        <v>0</v>
      </c>
      <c r="X752" s="1068">
        <f t="shared" si="411"/>
        <v>0</v>
      </c>
      <c r="Y752" s="1068">
        <f t="shared" si="411"/>
        <v>0</v>
      </c>
      <c r="Z752" s="1068">
        <f t="shared" si="411"/>
        <v>403762.29000000004</v>
      </c>
      <c r="AA752" s="1068">
        <f t="shared" si="411"/>
        <v>0</v>
      </c>
    </row>
    <row r="753" spans="1:27" s="1079" customFormat="1" ht="96.75" customHeight="1">
      <c r="A753" s="1322">
        <v>265</v>
      </c>
      <c r="B753" s="1256" t="s">
        <v>1242</v>
      </c>
      <c r="C753" s="1056">
        <f t="shared" ref="C753" si="412">D753+N753+P753+R753+T753+X753+Z753</f>
        <v>372773.9</v>
      </c>
      <c r="D753" s="1056">
        <f t="shared" ref="D753" si="413">SUM(E753:J753)</f>
        <v>345697.53</v>
      </c>
      <c r="E753" s="1056">
        <v>0</v>
      </c>
      <c r="F753" s="1056">
        <v>0</v>
      </c>
      <c r="G753" s="1056">
        <v>0</v>
      </c>
      <c r="H753" s="1056">
        <v>0</v>
      </c>
      <c r="I753" s="1056">
        <v>0</v>
      </c>
      <c r="J753" s="1056">
        <v>345697.53</v>
      </c>
      <c r="K753" s="1063">
        <v>0</v>
      </c>
      <c r="L753" s="1056">
        <v>0</v>
      </c>
      <c r="M753" s="1063">
        <v>0</v>
      </c>
      <c r="N753" s="1056">
        <v>0</v>
      </c>
      <c r="O753" s="1056">
        <v>0</v>
      </c>
      <c r="P753" s="1056">
        <v>0</v>
      </c>
      <c r="Q753" s="1056">
        <v>0</v>
      </c>
      <c r="R753" s="1056">
        <v>0</v>
      </c>
      <c r="S753" s="1056">
        <v>0</v>
      </c>
      <c r="T753" s="1056">
        <v>0</v>
      </c>
      <c r="U753" s="1056">
        <v>0</v>
      </c>
      <c r="V753" s="1056">
        <v>0</v>
      </c>
      <c r="W753" s="1056">
        <v>0</v>
      </c>
      <c r="X753" s="1056">
        <v>0</v>
      </c>
      <c r="Y753" s="1056">
        <v>0</v>
      </c>
      <c r="Z753" s="1056">
        <v>27076.37</v>
      </c>
      <c r="AA753" s="1056">
        <v>0</v>
      </c>
    </row>
    <row r="754" spans="1:27" s="1079" customFormat="1" ht="96.75" customHeight="1">
      <c r="A754" s="1322">
        <v>266</v>
      </c>
      <c r="B754" s="1256" t="s">
        <v>2121</v>
      </c>
      <c r="C754" s="1056">
        <f t="shared" ref="C754:C762" si="414">D754+N754+P754+R754+T754+X754+Z754</f>
        <v>422490.54000000004</v>
      </c>
      <c r="D754" s="1056">
        <f t="shared" ref="D754:D762" si="415">SUM(E754:J754)</f>
        <v>391803.01</v>
      </c>
      <c r="E754" s="1056">
        <v>391803.01</v>
      </c>
      <c r="F754" s="1056">
        <v>0</v>
      </c>
      <c r="G754" s="1056">
        <v>0</v>
      </c>
      <c r="H754" s="1056">
        <v>0</v>
      </c>
      <c r="I754" s="1056">
        <v>0</v>
      </c>
      <c r="J754" s="1056">
        <v>0</v>
      </c>
      <c r="K754" s="1063">
        <v>0</v>
      </c>
      <c r="L754" s="1056">
        <v>0</v>
      </c>
      <c r="M754" s="1063">
        <v>0</v>
      </c>
      <c r="N754" s="1056">
        <v>0</v>
      </c>
      <c r="O754" s="1056">
        <v>0</v>
      </c>
      <c r="P754" s="1056">
        <v>0</v>
      </c>
      <c r="Q754" s="1056">
        <v>0</v>
      </c>
      <c r="R754" s="1056">
        <v>0</v>
      </c>
      <c r="S754" s="1056">
        <v>0</v>
      </c>
      <c r="T754" s="1056">
        <v>0</v>
      </c>
      <c r="U754" s="1056">
        <v>0</v>
      </c>
      <c r="V754" s="1056">
        <v>0</v>
      </c>
      <c r="W754" s="1056">
        <v>0</v>
      </c>
      <c r="X754" s="1056">
        <v>0</v>
      </c>
      <c r="Y754" s="1056">
        <v>0</v>
      </c>
      <c r="Z754" s="1056">
        <v>30687.53</v>
      </c>
      <c r="AA754" s="1056">
        <v>0</v>
      </c>
    </row>
    <row r="755" spans="1:27" s="1079" customFormat="1" ht="123" customHeight="1">
      <c r="A755" s="1322">
        <v>267</v>
      </c>
      <c r="B755" s="1256" t="s">
        <v>2122</v>
      </c>
      <c r="C755" s="1056">
        <f t="shared" si="414"/>
        <v>1988195.4100000001</v>
      </c>
      <c r="D755" s="1056">
        <f t="shared" si="415"/>
        <v>0</v>
      </c>
      <c r="E755" s="1056"/>
      <c r="F755" s="1056">
        <v>0</v>
      </c>
      <c r="G755" s="1056">
        <v>0</v>
      </c>
      <c r="H755" s="1056">
        <v>0</v>
      </c>
      <c r="I755" s="1056">
        <v>0</v>
      </c>
      <c r="J755" s="1056">
        <v>0</v>
      </c>
      <c r="K755" s="1063">
        <v>0</v>
      </c>
      <c r="L755" s="1056">
        <v>0</v>
      </c>
      <c r="M755" s="1063">
        <v>0</v>
      </c>
      <c r="N755" s="1056">
        <v>0</v>
      </c>
      <c r="O755" s="1056">
        <v>411.4</v>
      </c>
      <c r="P755" s="1056">
        <v>1860793.06</v>
      </c>
      <c r="Q755" s="1056">
        <v>0</v>
      </c>
      <c r="R755" s="1056">
        <v>0</v>
      </c>
      <c r="S755" s="1056">
        <v>0</v>
      </c>
      <c r="T755" s="1056">
        <v>0</v>
      </c>
      <c r="U755" s="1056">
        <v>0</v>
      </c>
      <c r="V755" s="1056">
        <v>0</v>
      </c>
      <c r="W755" s="1056">
        <v>0</v>
      </c>
      <c r="X755" s="1056">
        <v>0</v>
      </c>
      <c r="Y755" s="1056">
        <v>0</v>
      </c>
      <c r="Z755" s="1056">
        <v>127402.35</v>
      </c>
      <c r="AA755" s="1056">
        <v>0</v>
      </c>
    </row>
    <row r="756" spans="1:27" s="1079" customFormat="1" ht="96.75" customHeight="1">
      <c r="A756" s="1322">
        <v>268</v>
      </c>
      <c r="B756" s="1256" t="s">
        <v>2123</v>
      </c>
      <c r="C756" s="1056">
        <f t="shared" si="414"/>
        <v>286827.57999999996</v>
      </c>
      <c r="D756" s="1056">
        <f t="shared" si="415"/>
        <v>265993.90999999997</v>
      </c>
      <c r="E756" s="1056">
        <v>265993.90999999997</v>
      </c>
      <c r="F756" s="1056">
        <v>0</v>
      </c>
      <c r="G756" s="1056">
        <v>0</v>
      </c>
      <c r="H756" s="1056">
        <v>0</v>
      </c>
      <c r="I756" s="1056">
        <v>0</v>
      </c>
      <c r="J756" s="1056">
        <v>0</v>
      </c>
      <c r="K756" s="1063">
        <v>0</v>
      </c>
      <c r="L756" s="1056">
        <v>0</v>
      </c>
      <c r="M756" s="1063">
        <v>0</v>
      </c>
      <c r="N756" s="1056">
        <v>0</v>
      </c>
      <c r="O756" s="1056">
        <v>0</v>
      </c>
      <c r="P756" s="1056">
        <v>0</v>
      </c>
      <c r="Q756" s="1056">
        <v>0</v>
      </c>
      <c r="R756" s="1056">
        <v>0</v>
      </c>
      <c r="S756" s="1056">
        <v>0</v>
      </c>
      <c r="T756" s="1056">
        <v>0</v>
      </c>
      <c r="U756" s="1056">
        <v>0</v>
      </c>
      <c r="V756" s="1056">
        <v>0</v>
      </c>
      <c r="W756" s="1056">
        <v>0</v>
      </c>
      <c r="X756" s="1056">
        <v>0</v>
      </c>
      <c r="Y756" s="1056">
        <v>0</v>
      </c>
      <c r="Z756" s="1056">
        <v>20833.669999999998</v>
      </c>
      <c r="AA756" s="1056">
        <v>0</v>
      </c>
    </row>
    <row r="757" spans="1:27" s="1079" customFormat="1" ht="123" customHeight="1">
      <c r="A757" s="1322">
        <v>269</v>
      </c>
      <c r="B757" s="1256" t="s">
        <v>2124</v>
      </c>
      <c r="C757" s="1056">
        <f t="shared" si="414"/>
        <v>144588.15999999997</v>
      </c>
      <c r="D757" s="1056">
        <f t="shared" si="415"/>
        <v>134086.01999999999</v>
      </c>
      <c r="E757" s="1056">
        <v>134086.01999999999</v>
      </c>
      <c r="F757" s="1056">
        <v>0</v>
      </c>
      <c r="G757" s="1056">
        <v>0</v>
      </c>
      <c r="H757" s="1056">
        <v>0</v>
      </c>
      <c r="I757" s="1056">
        <v>0</v>
      </c>
      <c r="J757" s="1056">
        <v>0</v>
      </c>
      <c r="K757" s="1063">
        <v>0</v>
      </c>
      <c r="L757" s="1056">
        <v>0</v>
      </c>
      <c r="M757" s="1063">
        <v>0</v>
      </c>
      <c r="N757" s="1056">
        <v>0</v>
      </c>
      <c r="O757" s="1056">
        <v>0</v>
      </c>
      <c r="P757" s="1056">
        <v>0</v>
      </c>
      <c r="Q757" s="1056">
        <v>0</v>
      </c>
      <c r="R757" s="1056">
        <v>0</v>
      </c>
      <c r="S757" s="1056">
        <v>0</v>
      </c>
      <c r="T757" s="1056">
        <v>0</v>
      </c>
      <c r="U757" s="1056">
        <v>0</v>
      </c>
      <c r="V757" s="1056">
        <v>0</v>
      </c>
      <c r="W757" s="1056">
        <v>0</v>
      </c>
      <c r="X757" s="1056">
        <v>0</v>
      </c>
      <c r="Y757" s="1056">
        <v>0</v>
      </c>
      <c r="Z757" s="1056">
        <v>10502.14</v>
      </c>
      <c r="AA757" s="1056">
        <v>0</v>
      </c>
    </row>
    <row r="758" spans="1:27" s="1079" customFormat="1" ht="123" customHeight="1">
      <c r="A758" s="1322">
        <v>270</v>
      </c>
      <c r="B758" s="1256" t="s">
        <v>2156</v>
      </c>
      <c r="C758" s="1056">
        <f t="shared" si="414"/>
        <v>229600.59</v>
      </c>
      <c r="D758" s="1056">
        <f t="shared" si="415"/>
        <v>215548.29</v>
      </c>
      <c r="E758" s="1056">
        <v>215548.29</v>
      </c>
      <c r="F758" s="1056">
        <v>0</v>
      </c>
      <c r="G758" s="1056">
        <v>0</v>
      </c>
      <c r="H758" s="1056">
        <v>0</v>
      </c>
      <c r="I758" s="1056">
        <v>0</v>
      </c>
      <c r="J758" s="1056">
        <v>0</v>
      </c>
      <c r="K758" s="1063">
        <v>0</v>
      </c>
      <c r="L758" s="1056">
        <v>0</v>
      </c>
      <c r="M758" s="1063">
        <v>0</v>
      </c>
      <c r="N758" s="1056">
        <v>0</v>
      </c>
      <c r="O758" s="1056">
        <v>0</v>
      </c>
      <c r="P758" s="1056">
        <v>0</v>
      </c>
      <c r="Q758" s="1056">
        <v>0</v>
      </c>
      <c r="R758" s="1056">
        <v>0</v>
      </c>
      <c r="S758" s="1056">
        <v>0</v>
      </c>
      <c r="T758" s="1056">
        <v>0</v>
      </c>
      <c r="U758" s="1056">
        <v>0</v>
      </c>
      <c r="V758" s="1056">
        <v>0</v>
      </c>
      <c r="W758" s="1056">
        <v>0</v>
      </c>
      <c r="X758" s="1056">
        <v>0</v>
      </c>
      <c r="Y758" s="1056">
        <v>0</v>
      </c>
      <c r="Z758" s="1056">
        <v>14052.3</v>
      </c>
      <c r="AA758" s="1056">
        <v>0</v>
      </c>
    </row>
    <row r="759" spans="1:27" s="1079" customFormat="1" ht="123" customHeight="1">
      <c r="A759" s="1322">
        <v>271</v>
      </c>
      <c r="B759" s="1267" t="s">
        <v>2124</v>
      </c>
      <c r="C759" s="1056">
        <f t="shared" si="414"/>
        <v>901836.45</v>
      </c>
      <c r="D759" s="1056">
        <f t="shared" si="415"/>
        <v>0</v>
      </c>
      <c r="E759" s="1056">
        <v>0</v>
      </c>
      <c r="F759" s="1056">
        <v>0</v>
      </c>
      <c r="G759" s="1056">
        <v>0</v>
      </c>
      <c r="H759" s="1056">
        <v>0</v>
      </c>
      <c r="I759" s="1056">
        <v>0</v>
      </c>
      <c r="J759" s="1056">
        <v>0</v>
      </c>
      <c r="K759" s="1063">
        <v>0</v>
      </c>
      <c r="L759" s="1056">
        <v>0</v>
      </c>
      <c r="M759" s="1063">
        <v>0</v>
      </c>
      <c r="N759" s="1056">
        <v>0</v>
      </c>
      <c r="O759" s="1056">
        <v>0</v>
      </c>
      <c r="P759" s="1056">
        <v>0</v>
      </c>
      <c r="Q759" s="1056">
        <v>0</v>
      </c>
      <c r="R759" s="1056">
        <v>0</v>
      </c>
      <c r="S759" s="1056">
        <v>266.8</v>
      </c>
      <c r="T759" s="1056">
        <v>836331.71</v>
      </c>
      <c r="U759" s="1056">
        <v>0</v>
      </c>
      <c r="V759" s="1056">
        <v>0</v>
      </c>
      <c r="W759" s="1056">
        <v>0</v>
      </c>
      <c r="X759" s="1056">
        <v>0</v>
      </c>
      <c r="Y759" s="1056">
        <v>0</v>
      </c>
      <c r="Z759" s="1056">
        <v>65504.74</v>
      </c>
      <c r="AA759" s="1056">
        <v>0</v>
      </c>
    </row>
    <row r="760" spans="1:27" s="1079" customFormat="1" ht="96.75" customHeight="1">
      <c r="A760" s="1322">
        <v>272</v>
      </c>
      <c r="B760" s="1256" t="s">
        <v>1392</v>
      </c>
      <c r="C760" s="1056">
        <f t="shared" si="414"/>
        <v>680381.70000000007</v>
      </c>
      <c r="D760" s="1056">
        <f t="shared" si="415"/>
        <v>630962.29</v>
      </c>
      <c r="E760" s="1056">
        <v>630962.29</v>
      </c>
      <c r="F760" s="1056">
        <v>0</v>
      </c>
      <c r="G760" s="1056">
        <v>0</v>
      </c>
      <c r="H760" s="1056">
        <v>0</v>
      </c>
      <c r="I760" s="1056">
        <v>0</v>
      </c>
      <c r="J760" s="1056">
        <v>0</v>
      </c>
      <c r="K760" s="1063">
        <v>0</v>
      </c>
      <c r="L760" s="1056">
        <v>0</v>
      </c>
      <c r="M760" s="1063">
        <v>0</v>
      </c>
      <c r="N760" s="1056">
        <v>0</v>
      </c>
      <c r="O760" s="1056">
        <v>0</v>
      </c>
      <c r="P760" s="1056">
        <v>0</v>
      </c>
      <c r="Q760" s="1056">
        <v>0</v>
      </c>
      <c r="R760" s="1056">
        <v>0</v>
      </c>
      <c r="S760" s="1056">
        <v>0</v>
      </c>
      <c r="T760" s="1056">
        <v>0</v>
      </c>
      <c r="U760" s="1056">
        <v>0</v>
      </c>
      <c r="V760" s="1056">
        <v>0</v>
      </c>
      <c r="W760" s="1056">
        <v>0</v>
      </c>
      <c r="X760" s="1056">
        <v>0</v>
      </c>
      <c r="Y760" s="1056">
        <v>0</v>
      </c>
      <c r="Z760" s="1056">
        <v>49419.41</v>
      </c>
      <c r="AA760" s="1056">
        <v>0</v>
      </c>
    </row>
    <row r="761" spans="1:27" s="1079" customFormat="1" ht="104.25" customHeight="1">
      <c r="A761" s="1322">
        <v>273</v>
      </c>
      <c r="B761" s="1256" t="s">
        <v>2127</v>
      </c>
      <c r="C761" s="1056">
        <f t="shared" si="414"/>
        <v>203494.44</v>
      </c>
      <c r="D761" s="1056">
        <f t="shared" si="415"/>
        <v>188713.66</v>
      </c>
      <c r="E761" s="1056">
        <v>188713.66</v>
      </c>
      <c r="F761" s="1056">
        <v>0</v>
      </c>
      <c r="G761" s="1056">
        <v>0</v>
      </c>
      <c r="H761" s="1056">
        <v>0</v>
      </c>
      <c r="I761" s="1056">
        <v>0</v>
      </c>
      <c r="J761" s="1056">
        <v>0</v>
      </c>
      <c r="K761" s="1063">
        <v>0</v>
      </c>
      <c r="L761" s="1056">
        <v>0</v>
      </c>
      <c r="M761" s="1063">
        <v>0</v>
      </c>
      <c r="N761" s="1056">
        <v>0</v>
      </c>
      <c r="O761" s="1056">
        <v>0</v>
      </c>
      <c r="P761" s="1056">
        <v>0</v>
      </c>
      <c r="Q761" s="1056">
        <v>0</v>
      </c>
      <c r="R761" s="1056">
        <v>0</v>
      </c>
      <c r="S761" s="1056">
        <v>0</v>
      </c>
      <c r="T761" s="1056">
        <v>0</v>
      </c>
      <c r="U761" s="1056">
        <v>0</v>
      </c>
      <c r="V761" s="1056">
        <v>0</v>
      </c>
      <c r="W761" s="1056">
        <v>0</v>
      </c>
      <c r="X761" s="1056">
        <v>0</v>
      </c>
      <c r="Y761" s="1056">
        <v>0</v>
      </c>
      <c r="Z761" s="1056">
        <v>14780.78</v>
      </c>
      <c r="AA761" s="1056">
        <v>0</v>
      </c>
    </row>
    <row r="762" spans="1:27" s="1079" customFormat="1" ht="104.25" customHeight="1">
      <c r="A762" s="1322">
        <v>274</v>
      </c>
      <c r="B762" s="1256" t="s">
        <v>2157</v>
      </c>
      <c r="C762" s="1056">
        <f t="shared" si="414"/>
        <v>598927.55000000005</v>
      </c>
      <c r="D762" s="1056">
        <f t="shared" si="415"/>
        <v>555424.55000000005</v>
      </c>
      <c r="E762" s="1056">
        <v>555424.55000000005</v>
      </c>
      <c r="F762" s="1056">
        <v>0</v>
      </c>
      <c r="G762" s="1056">
        <v>0</v>
      </c>
      <c r="H762" s="1056">
        <v>0</v>
      </c>
      <c r="I762" s="1056">
        <v>0</v>
      </c>
      <c r="J762" s="1056">
        <v>0</v>
      </c>
      <c r="K762" s="1063">
        <v>0</v>
      </c>
      <c r="L762" s="1056">
        <v>0</v>
      </c>
      <c r="M762" s="1063">
        <v>0</v>
      </c>
      <c r="N762" s="1056">
        <v>0</v>
      </c>
      <c r="O762" s="1056">
        <v>0</v>
      </c>
      <c r="P762" s="1056">
        <v>0</v>
      </c>
      <c r="Q762" s="1056">
        <v>0</v>
      </c>
      <c r="R762" s="1056">
        <v>0</v>
      </c>
      <c r="S762" s="1056">
        <v>0</v>
      </c>
      <c r="T762" s="1056">
        <v>0</v>
      </c>
      <c r="U762" s="1056">
        <v>0</v>
      </c>
      <c r="V762" s="1056">
        <v>0</v>
      </c>
      <c r="W762" s="1056">
        <v>0</v>
      </c>
      <c r="X762" s="1056">
        <v>0</v>
      </c>
      <c r="Y762" s="1056">
        <v>0</v>
      </c>
      <c r="Z762" s="1056">
        <v>43503</v>
      </c>
      <c r="AA762" s="1056">
        <v>0</v>
      </c>
    </row>
    <row r="763" spans="1:27" s="1079" customFormat="1" ht="93" customHeight="1">
      <c r="A763" s="1322"/>
      <c r="B763" s="1062" t="s">
        <v>43</v>
      </c>
      <c r="C763" s="1056">
        <f>C764+C785</f>
        <v>57184535.030000009</v>
      </c>
      <c r="D763" s="1056">
        <f t="shared" ref="D763:AA763" si="416">D764+D785</f>
        <v>15182541.16</v>
      </c>
      <c r="E763" s="1056">
        <f t="shared" si="416"/>
        <v>0</v>
      </c>
      <c r="F763" s="1056">
        <f t="shared" si="416"/>
        <v>13575214.949999999</v>
      </c>
      <c r="G763" s="1056">
        <f t="shared" si="416"/>
        <v>0</v>
      </c>
      <c r="H763" s="1056">
        <f t="shared" si="416"/>
        <v>1298452.71</v>
      </c>
      <c r="I763" s="1056">
        <f t="shared" si="416"/>
        <v>0</v>
      </c>
      <c r="J763" s="1056">
        <f t="shared" si="416"/>
        <v>308873.5</v>
      </c>
      <c r="K763" s="1056">
        <f t="shared" si="416"/>
        <v>0</v>
      </c>
      <c r="L763" s="1056">
        <f t="shared" si="416"/>
        <v>0</v>
      </c>
      <c r="M763" s="1056">
        <f t="shared" si="416"/>
        <v>0</v>
      </c>
      <c r="N763" s="1056">
        <f t="shared" si="416"/>
        <v>0</v>
      </c>
      <c r="O763" s="1056">
        <f t="shared" si="416"/>
        <v>8785.52</v>
      </c>
      <c r="P763" s="1056">
        <f t="shared" si="416"/>
        <v>30275748.210000001</v>
      </c>
      <c r="Q763" s="1056">
        <f t="shared" si="416"/>
        <v>625.5</v>
      </c>
      <c r="R763" s="1056">
        <f t="shared" si="416"/>
        <v>1004328.32</v>
      </c>
      <c r="S763" s="1056">
        <f t="shared" si="416"/>
        <v>2513.04</v>
      </c>
      <c r="T763" s="1056">
        <f t="shared" si="416"/>
        <v>6201436</v>
      </c>
      <c r="U763" s="1056">
        <f t="shared" si="416"/>
        <v>0</v>
      </c>
      <c r="V763" s="1056">
        <f t="shared" si="416"/>
        <v>0</v>
      </c>
      <c r="W763" s="1056">
        <f t="shared" si="416"/>
        <v>0</v>
      </c>
      <c r="X763" s="1056">
        <f t="shared" si="416"/>
        <v>0</v>
      </c>
      <c r="Y763" s="1056">
        <f t="shared" si="416"/>
        <v>0</v>
      </c>
      <c r="Z763" s="1056">
        <f t="shared" si="416"/>
        <v>4367554.34</v>
      </c>
      <c r="AA763" s="1056">
        <f t="shared" si="416"/>
        <v>152927</v>
      </c>
    </row>
    <row r="764" spans="1:27" s="1079" customFormat="1" ht="88.15" customHeight="1">
      <c r="A764" s="1322"/>
      <c r="B764" s="1062" t="s">
        <v>1040</v>
      </c>
      <c r="C764" s="1056">
        <f>SUM(C765:C784)</f>
        <v>54667477.030000009</v>
      </c>
      <c r="D764" s="1056">
        <f t="shared" ref="D764:AA764" si="417">SUM(D765:D784)</f>
        <v>15182541.16</v>
      </c>
      <c r="E764" s="1056">
        <f t="shared" si="417"/>
        <v>0</v>
      </c>
      <c r="F764" s="1056">
        <f t="shared" si="417"/>
        <v>13575214.949999999</v>
      </c>
      <c r="G764" s="1056">
        <f t="shared" si="417"/>
        <v>0</v>
      </c>
      <c r="H764" s="1056">
        <f t="shared" si="417"/>
        <v>1298452.71</v>
      </c>
      <c r="I764" s="1056">
        <f t="shared" si="417"/>
        <v>0</v>
      </c>
      <c r="J764" s="1056">
        <f t="shared" si="417"/>
        <v>308873.5</v>
      </c>
      <c r="K764" s="1063">
        <f t="shared" si="417"/>
        <v>0</v>
      </c>
      <c r="L764" s="1056">
        <f t="shared" si="417"/>
        <v>0</v>
      </c>
      <c r="M764" s="1063">
        <f t="shared" si="417"/>
        <v>0</v>
      </c>
      <c r="N764" s="1056">
        <f t="shared" si="417"/>
        <v>0</v>
      </c>
      <c r="O764" s="1056">
        <f t="shared" si="417"/>
        <v>8200.52</v>
      </c>
      <c r="P764" s="1056">
        <f t="shared" si="417"/>
        <v>28111534.210000001</v>
      </c>
      <c r="Q764" s="1056">
        <f t="shared" si="417"/>
        <v>625.5</v>
      </c>
      <c r="R764" s="1056">
        <f t="shared" si="417"/>
        <v>1004328.32</v>
      </c>
      <c r="S764" s="1056">
        <f t="shared" si="417"/>
        <v>2513.04</v>
      </c>
      <c r="T764" s="1056">
        <f t="shared" si="417"/>
        <v>6201436</v>
      </c>
      <c r="U764" s="1056">
        <v>0</v>
      </c>
      <c r="V764" s="1056">
        <v>0</v>
      </c>
      <c r="W764" s="1056">
        <f t="shared" si="417"/>
        <v>0</v>
      </c>
      <c r="X764" s="1056">
        <f t="shared" si="417"/>
        <v>0</v>
      </c>
      <c r="Y764" s="1056">
        <v>0</v>
      </c>
      <c r="Z764" s="1056">
        <f t="shared" si="417"/>
        <v>4014710.3399999994</v>
      </c>
      <c r="AA764" s="1056">
        <f t="shared" si="417"/>
        <v>152927</v>
      </c>
    </row>
    <row r="765" spans="1:27" s="1079" customFormat="1" ht="84.6" customHeight="1">
      <c r="A765" s="1322">
        <v>275</v>
      </c>
      <c r="B765" s="1245" t="s">
        <v>1612</v>
      </c>
      <c r="C765" s="1056">
        <f t="shared" ref="C765" si="418">D765+N765+P765+R765+T765+X765+Z765</f>
        <v>7570644.7200000007</v>
      </c>
      <c r="D765" s="1056">
        <f t="shared" ref="D765" si="419">SUM(E765:J765)</f>
        <v>7020752.2400000002</v>
      </c>
      <c r="E765" s="1056">
        <v>0</v>
      </c>
      <c r="F765" s="1056">
        <v>7020752.2400000002</v>
      </c>
      <c r="G765" s="1056">
        <v>0</v>
      </c>
      <c r="H765" s="1056">
        <v>0</v>
      </c>
      <c r="I765" s="1056">
        <v>0</v>
      </c>
      <c r="J765" s="1056">
        <v>0</v>
      </c>
      <c r="K765" s="1063">
        <v>0</v>
      </c>
      <c r="L765" s="1056">
        <v>0</v>
      </c>
      <c r="M765" s="1063">
        <v>0</v>
      </c>
      <c r="N765" s="1056">
        <v>0</v>
      </c>
      <c r="O765" s="1056">
        <v>0</v>
      </c>
      <c r="P765" s="1056">
        <v>0</v>
      </c>
      <c r="Q765" s="1056">
        <v>0</v>
      </c>
      <c r="R765" s="1056">
        <v>0</v>
      </c>
      <c r="S765" s="1056">
        <v>0</v>
      </c>
      <c r="T765" s="1056">
        <v>0</v>
      </c>
      <c r="U765" s="1056">
        <v>0</v>
      </c>
      <c r="V765" s="1056">
        <v>0</v>
      </c>
      <c r="W765" s="1056">
        <v>0</v>
      </c>
      <c r="X765" s="1056">
        <v>0</v>
      </c>
      <c r="Y765" s="1056">
        <v>0</v>
      </c>
      <c r="Z765" s="1056">
        <v>549892.48</v>
      </c>
      <c r="AA765" s="1056">
        <v>0</v>
      </c>
    </row>
    <row r="766" spans="1:27" s="1079" customFormat="1" ht="81" customHeight="1">
      <c r="A766" s="1322">
        <v>276</v>
      </c>
      <c r="B766" s="1062" t="s">
        <v>1614</v>
      </c>
      <c r="C766" s="1056">
        <f t="shared" ref="C766:C779" si="420">D766+N766+P766+R766+T766+X766+Z766</f>
        <v>1082991.2</v>
      </c>
      <c r="D766" s="1056">
        <f t="shared" ref="D766:D779" si="421">SUM(E766:J766)</f>
        <v>0</v>
      </c>
      <c r="E766" s="1056">
        <v>0</v>
      </c>
      <c r="F766" s="1056">
        <v>0</v>
      </c>
      <c r="G766" s="1056">
        <v>0</v>
      </c>
      <c r="H766" s="1056">
        <v>0</v>
      </c>
      <c r="I766" s="1056">
        <v>0</v>
      </c>
      <c r="J766" s="1056">
        <v>0</v>
      </c>
      <c r="K766" s="1063">
        <v>0</v>
      </c>
      <c r="L766" s="1056">
        <v>0</v>
      </c>
      <c r="M766" s="1063">
        <v>0</v>
      </c>
      <c r="N766" s="1056">
        <v>0</v>
      </c>
      <c r="O766" s="1056">
        <v>0</v>
      </c>
      <c r="P766" s="1056">
        <v>0</v>
      </c>
      <c r="Q766" s="1056">
        <v>625.5</v>
      </c>
      <c r="R766" s="1056">
        <v>1004328.32</v>
      </c>
      <c r="S766" s="1056">
        <v>0</v>
      </c>
      <c r="T766" s="1056">
        <v>0</v>
      </c>
      <c r="U766" s="1056">
        <v>0</v>
      </c>
      <c r="V766" s="1056">
        <v>0</v>
      </c>
      <c r="W766" s="1056">
        <v>0</v>
      </c>
      <c r="X766" s="1056">
        <v>0</v>
      </c>
      <c r="Y766" s="1056">
        <v>0</v>
      </c>
      <c r="Z766" s="1056">
        <v>78662.880000000005</v>
      </c>
      <c r="AA766" s="1056">
        <v>0</v>
      </c>
    </row>
    <row r="767" spans="1:27" s="1079" customFormat="1" ht="71.45" customHeight="1">
      <c r="A767" s="1322">
        <v>277</v>
      </c>
      <c r="B767" s="1062" t="s">
        <v>1615</v>
      </c>
      <c r="C767" s="1056">
        <f t="shared" si="420"/>
        <v>1100148.81</v>
      </c>
      <c r="D767" s="1056">
        <f t="shared" si="421"/>
        <v>1020239.6900000001</v>
      </c>
      <c r="E767" s="1056">
        <v>0</v>
      </c>
      <c r="F767" s="1056">
        <v>632173.06000000006</v>
      </c>
      <c r="G767" s="1056">
        <v>0</v>
      </c>
      <c r="H767" s="1056">
        <v>388066.63</v>
      </c>
      <c r="I767" s="1056">
        <v>0</v>
      </c>
      <c r="J767" s="1056">
        <v>0</v>
      </c>
      <c r="K767" s="1063">
        <v>0</v>
      </c>
      <c r="L767" s="1056">
        <v>0</v>
      </c>
      <c r="M767" s="1063">
        <v>0</v>
      </c>
      <c r="N767" s="1056">
        <v>0</v>
      </c>
      <c r="O767" s="1056">
        <v>0</v>
      </c>
      <c r="P767" s="1056">
        <v>0</v>
      </c>
      <c r="Q767" s="1056">
        <v>0</v>
      </c>
      <c r="R767" s="1056">
        <v>0</v>
      </c>
      <c r="S767" s="1056">
        <v>0</v>
      </c>
      <c r="T767" s="1056">
        <v>0</v>
      </c>
      <c r="U767" s="1056">
        <v>0</v>
      </c>
      <c r="V767" s="1056">
        <v>0</v>
      </c>
      <c r="W767" s="1056">
        <v>0</v>
      </c>
      <c r="X767" s="1056">
        <v>0</v>
      </c>
      <c r="Y767" s="1056">
        <v>0</v>
      </c>
      <c r="Z767" s="1056">
        <v>79909.119999999995</v>
      </c>
      <c r="AA767" s="1056">
        <v>0</v>
      </c>
    </row>
    <row r="768" spans="1:27" s="1079" customFormat="1" ht="85.9" customHeight="1">
      <c r="A768" s="1322">
        <v>278</v>
      </c>
      <c r="B768" s="1062" t="s">
        <v>1613</v>
      </c>
      <c r="C768" s="1056">
        <f t="shared" si="420"/>
        <v>6192213</v>
      </c>
      <c r="D768" s="1056">
        <f t="shared" si="421"/>
        <v>0</v>
      </c>
      <c r="E768" s="1056">
        <v>0</v>
      </c>
      <c r="F768" s="1056">
        <v>0</v>
      </c>
      <c r="G768" s="1056">
        <v>0</v>
      </c>
      <c r="H768" s="1056">
        <v>0</v>
      </c>
      <c r="I768" s="1056">
        <v>0</v>
      </c>
      <c r="J768" s="1056">
        <v>0</v>
      </c>
      <c r="K768" s="1063">
        <v>0</v>
      </c>
      <c r="L768" s="1056">
        <v>0</v>
      </c>
      <c r="M768" s="1063">
        <v>0</v>
      </c>
      <c r="N768" s="1056">
        <v>0</v>
      </c>
      <c r="O768" s="1056">
        <v>0</v>
      </c>
      <c r="P768" s="1056">
        <v>0</v>
      </c>
      <c r="Q768" s="1056">
        <v>0</v>
      </c>
      <c r="R768" s="1056">
        <v>0</v>
      </c>
      <c r="S768" s="1056">
        <v>2327.04</v>
      </c>
      <c r="T768" s="1056">
        <v>5742443</v>
      </c>
      <c r="U768" s="1056">
        <v>0</v>
      </c>
      <c r="V768" s="1056">
        <v>0</v>
      </c>
      <c r="W768" s="1056">
        <v>0</v>
      </c>
      <c r="X768" s="1056">
        <v>0</v>
      </c>
      <c r="Y768" s="1056">
        <v>0</v>
      </c>
      <c r="Z768" s="1056">
        <v>449770</v>
      </c>
      <c r="AA768" s="1056">
        <v>0</v>
      </c>
    </row>
    <row r="769" spans="1:27" s="1079" customFormat="1" ht="73.150000000000006" customHeight="1">
      <c r="A769" s="1322">
        <v>279</v>
      </c>
      <c r="B769" s="1062" t="s">
        <v>1622</v>
      </c>
      <c r="C769" s="1056">
        <f t="shared" si="420"/>
        <v>4188076.4200000004</v>
      </c>
      <c r="D769" s="1056">
        <f t="shared" si="421"/>
        <v>0</v>
      </c>
      <c r="E769" s="1056">
        <v>0</v>
      </c>
      <c r="F769" s="1056">
        <v>0</v>
      </c>
      <c r="G769" s="1056">
        <v>0</v>
      </c>
      <c r="H769" s="1056">
        <v>0</v>
      </c>
      <c r="I769" s="1056">
        <v>0</v>
      </c>
      <c r="J769" s="1056">
        <v>0</v>
      </c>
      <c r="K769" s="1063">
        <v>0</v>
      </c>
      <c r="L769" s="1056">
        <v>0</v>
      </c>
      <c r="M769" s="1063">
        <v>0</v>
      </c>
      <c r="N769" s="1056">
        <v>0</v>
      </c>
      <c r="O769" s="1056">
        <v>1049.7</v>
      </c>
      <c r="P769" s="1056">
        <v>3948778.47</v>
      </c>
      <c r="Q769" s="1056">
        <v>0</v>
      </c>
      <c r="R769" s="1056">
        <v>0</v>
      </c>
      <c r="S769" s="1056">
        <v>0</v>
      </c>
      <c r="T769" s="1056">
        <v>0</v>
      </c>
      <c r="U769" s="1056">
        <v>0</v>
      </c>
      <c r="V769" s="1056">
        <v>0</v>
      </c>
      <c r="W769" s="1056">
        <v>0</v>
      </c>
      <c r="X769" s="1056">
        <v>0</v>
      </c>
      <c r="Y769" s="1056">
        <v>0</v>
      </c>
      <c r="Z769" s="1056">
        <v>239297.95</v>
      </c>
      <c r="AA769" s="1056">
        <v>0</v>
      </c>
    </row>
    <row r="770" spans="1:27" s="1079" customFormat="1" ht="93.75" customHeight="1">
      <c r="A770" s="1322">
        <v>280</v>
      </c>
      <c r="B770" s="1062" t="s">
        <v>1630</v>
      </c>
      <c r="C770" s="1056">
        <f t="shared" si="420"/>
        <v>1203937.3999999999</v>
      </c>
      <c r="D770" s="1056">
        <f t="shared" si="421"/>
        <v>1108678.22</v>
      </c>
      <c r="E770" s="1056">
        <v>0</v>
      </c>
      <c r="F770" s="1056">
        <v>686972.39</v>
      </c>
      <c r="G770" s="1056">
        <v>0</v>
      </c>
      <c r="H770" s="1056">
        <v>421705.83</v>
      </c>
      <c r="I770" s="1056">
        <v>0</v>
      </c>
      <c r="J770" s="1056">
        <v>0</v>
      </c>
      <c r="K770" s="1063">
        <v>0</v>
      </c>
      <c r="L770" s="1056">
        <v>0</v>
      </c>
      <c r="M770" s="1063">
        <v>0</v>
      </c>
      <c r="N770" s="1056">
        <v>0</v>
      </c>
      <c r="O770" s="1056">
        <v>0</v>
      </c>
      <c r="P770" s="1056">
        <v>0</v>
      </c>
      <c r="Q770" s="1056">
        <v>0</v>
      </c>
      <c r="R770" s="1056">
        <v>0</v>
      </c>
      <c r="S770" s="1056">
        <v>0</v>
      </c>
      <c r="T770" s="1056">
        <v>0</v>
      </c>
      <c r="U770" s="1056">
        <v>0</v>
      </c>
      <c r="V770" s="1056">
        <v>0</v>
      </c>
      <c r="W770" s="1056">
        <v>0</v>
      </c>
      <c r="X770" s="1056">
        <v>0</v>
      </c>
      <c r="Y770" s="1056">
        <v>0</v>
      </c>
      <c r="Z770" s="1056">
        <v>95259.18</v>
      </c>
      <c r="AA770" s="1056">
        <v>0</v>
      </c>
    </row>
    <row r="771" spans="1:27" s="1079" customFormat="1" ht="101.25" customHeight="1">
      <c r="A771" s="1322">
        <v>281</v>
      </c>
      <c r="B771" s="1233" t="s">
        <v>1617</v>
      </c>
      <c r="C771" s="1056">
        <f t="shared" si="420"/>
        <v>3891225.05</v>
      </c>
      <c r="D771" s="1056">
        <f t="shared" si="421"/>
        <v>0</v>
      </c>
      <c r="E771" s="1056">
        <v>0</v>
      </c>
      <c r="F771" s="1056">
        <v>0</v>
      </c>
      <c r="G771" s="1056">
        <v>0</v>
      </c>
      <c r="H771" s="1056">
        <v>0</v>
      </c>
      <c r="I771" s="1056">
        <v>0</v>
      </c>
      <c r="J771" s="1056">
        <v>0</v>
      </c>
      <c r="K771" s="1063">
        <v>0</v>
      </c>
      <c r="L771" s="1056">
        <v>0</v>
      </c>
      <c r="M771" s="1063">
        <v>0</v>
      </c>
      <c r="N771" s="1056">
        <v>0</v>
      </c>
      <c r="O771" s="1056">
        <v>1076.8</v>
      </c>
      <c r="P771" s="1056">
        <v>3608586.59</v>
      </c>
      <c r="Q771" s="1056">
        <v>0</v>
      </c>
      <c r="R771" s="1056">
        <v>0</v>
      </c>
      <c r="S771" s="1056">
        <v>0</v>
      </c>
      <c r="T771" s="1056">
        <v>0</v>
      </c>
      <c r="U771" s="1056">
        <v>0</v>
      </c>
      <c r="V771" s="1056">
        <v>0</v>
      </c>
      <c r="W771" s="1056">
        <v>0</v>
      </c>
      <c r="X771" s="1056">
        <v>0</v>
      </c>
      <c r="Y771" s="1056">
        <v>0</v>
      </c>
      <c r="Z771" s="1056">
        <v>282638.46000000002</v>
      </c>
      <c r="AA771" s="1056">
        <v>0</v>
      </c>
    </row>
    <row r="772" spans="1:27" s="1079" customFormat="1" ht="71.45" customHeight="1">
      <c r="A772" s="1322">
        <v>282</v>
      </c>
      <c r="B772" s="1233" t="s">
        <v>1618</v>
      </c>
      <c r="C772" s="1056">
        <f t="shared" si="420"/>
        <v>8271227.6400000006</v>
      </c>
      <c r="D772" s="1056">
        <f t="shared" si="421"/>
        <v>0</v>
      </c>
      <c r="E772" s="1056">
        <v>0</v>
      </c>
      <c r="F772" s="1056">
        <v>0</v>
      </c>
      <c r="G772" s="1056">
        <v>0</v>
      </c>
      <c r="H772" s="1056">
        <v>0</v>
      </c>
      <c r="I772" s="1056">
        <v>0</v>
      </c>
      <c r="J772" s="1056">
        <v>0</v>
      </c>
      <c r="K772" s="1063">
        <v>0</v>
      </c>
      <c r="L772" s="1056">
        <v>0</v>
      </c>
      <c r="M772" s="1063">
        <v>0</v>
      </c>
      <c r="N772" s="1056">
        <v>0</v>
      </c>
      <c r="O772" s="1056">
        <v>1940</v>
      </c>
      <c r="P772" s="1056">
        <v>7670448.4400000004</v>
      </c>
      <c r="Q772" s="1056">
        <v>0</v>
      </c>
      <c r="R772" s="1056">
        <v>0</v>
      </c>
      <c r="S772" s="1056">
        <v>0</v>
      </c>
      <c r="T772" s="1056">
        <v>0</v>
      </c>
      <c r="U772" s="1056">
        <v>0</v>
      </c>
      <c r="V772" s="1056">
        <v>0</v>
      </c>
      <c r="W772" s="1056">
        <v>0</v>
      </c>
      <c r="X772" s="1056">
        <v>0</v>
      </c>
      <c r="Y772" s="1056">
        <v>0</v>
      </c>
      <c r="Z772" s="1056">
        <v>600779.19999999995</v>
      </c>
      <c r="AA772" s="1056">
        <v>0</v>
      </c>
    </row>
    <row r="773" spans="1:27" s="1079" customFormat="1" ht="73.900000000000006" customHeight="1">
      <c r="A773" s="1322">
        <v>283</v>
      </c>
      <c r="B773" s="1233" t="s">
        <v>1619</v>
      </c>
      <c r="C773" s="1056">
        <f t="shared" si="420"/>
        <v>860021.25</v>
      </c>
      <c r="D773" s="1056">
        <f t="shared" si="421"/>
        <v>797553.75</v>
      </c>
      <c r="E773" s="1056">
        <v>0</v>
      </c>
      <c r="F773" s="1056">
        <v>0</v>
      </c>
      <c r="G773" s="1056">
        <v>0</v>
      </c>
      <c r="H773" s="1056">
        <v>488680.25</v>
      </c>
      <c r="I773" s="1056">
        <v>0</v>
      </c>
      <c r="J773" s="1056">
        <v>308873.5</v>
      </c>
      <c r="K773" s="1063">
        <v>0</v>
      </c>
      <c r="L773" s="1056">
        <v>0</v>
      </c>
      <c r="M773" s="1063">
        <v>0</v>
      </c>
      <c r="N773" s="1056">
        <v>0</v>
      </c>
      <c r="O773" s="1056">
        <v>0</v>
      </c>
      <c r="P773" s="1056">
        <v>0</v>
      </c>
      <c r="Q773" s="1056">
        <v>0</v>
      </c>
      <c r="R773" s="1056">
        <v>0</v>
      </c>
      <c r="S773" s="1056">
        <v>0</v>
      </c>
      <c r="T773" s="1056">
        <v>0</v>
      </c>
      <c r="U773" s="1056">
        <v>0</v>
      </c>
      <c r="V773" s="1056">
        <v>0</v>
      </c>
      <c r="W773" s="1056">
        <v>0</v>
      </c>
      <c r="X773" s="1056">
        <v>0</v>
      </c>
      <c r="Y773" s="1056">
        <v>0</v>
      </c>
      <c r="Z773" s="1056">
        <v>62467.5</v>
      </c>
      <c r="AA773" s="1056">
        <v>0</v>
      </c>
    </row>
    <row r="774" spans="1:27" s="1079" customFormat="1" ht="71.45" customHeight="1">
      <c r="A774" s="1322">
        <v>284</v>
      </c>
      <c r="B774" s="1233" t="s">
        <v>1620</v>
      </c>
      <c r="C774" s="1056">
        <f t="shared" si="420"/>
        <v>937974.27</v>
      </c>
      <c r="D774" s="1056">
        <f t="shared" si="421"/>
        <v>0</v>
      </c>
      <c r="E774" s="1056">
        <v>0</v>
      </c>
      <c r="F774" s="1056">
        <v>0</v>
      </c>
      <c r="G774" s="1056">
        <v>0</v>
      </c>
      <c r="H774" s="1056">
        <v>0</v>
      </c>
      <c r="I774" s="1056">
        <v>0</v>
      </c>
      <c r="J774" s="1056">
        <v>0</v>
      </c>
      <c r="K774" s="1063">
        <v>0</v>
      </c>
      <c r="L774" s="1056">
        <v>0</v>
      </c>
      <c r="M774" s="1063">
        <v>0</v>
      </c>
      <c r="N774" s="1056">
        <v>0</v>
      </c>
      <c r="O774" s="1056">
        <v>220</v>
      </c>
      <c r="P774" s="1056">
        <v>869844.67</v>
      </c>
      <c r="Q774" s="1056">
        <v>0</v>
      </c>
      <c r="R774" s="1056">
        <v>0</v>
      </c>
      <c r="S774" s="1056">
        <v>0</v>
      </c>
      <c r="T774" s="1056">
        <v>0</v>
      </c>
      <c r="U774" s="1056">
        <v>0</v>
      </c>
      <c r="V774" s="1056">
        <v>0</v>
      </c>
      <c r="W774" s="1056">
        <v>0</v>
      </c>
      <c r="X774" s="1056">
        <v>0</v>
      </c>
      <c r="Y774" s="1056">
        <v>0</v>
      </c>
      <c r="Z774" s="1056">
        <v>68129.600000000006</v>
      </c>
      <c r="AA774" s="1056">
        <v>0</v>
      </c>
    </row>
    <row r="775" spans="1:27" s="1079" customFormat="1" ht="71.45" customHeight="1">
      <c r="A775" s="1322">
        <v>285</v>
      </c>
      <c r="B775" s="1233" t="s">
        <v>1621</v>
      </c>
      <c r="C775" s="1056">
        <f t="shared" si="420"/>
        <v>2645172.71</v>
      </c>
      <c r="D775" s="1056">
        <f t="shared" si="421"/>
        <v>0</v>
      </c>
      <c r="E775" s="1056">
        <v>0</v>
      </c>
      <c r="F775" s="1056">
        <v>0</v>
      </c>
      <c r="G775" s="1056">
        <v>0</v>
      </c>
      <c r="H775" s="1056">
        <v>0</v>
      </c>
      <c r="I775" s="1056">
        <v>0</v>
      </c>
      <c r="J775" s="1056">
        <v>0</v>
      </c>
      <c r="K775" s="1063">
        <v>0</v>
      </c>
      <c r="L775" s="1056">
        <v>0</v>
      </c>
      <c r="M775" s="1063">
        <v>0</v>
      </c>
      <c r="N775" s="1056">
        <v>0</v>
      </c>
      <c r="O775" s="1056">
        <v>620.41999999999996</v>
      </c>
      <c r="P775" s="1056">
        <v>2453041.04</v>
      </c>
      <c r="Q775" s="1056">
        <v>0</v>
      </c>
      <c r="R775" s="1056">
        <v>0</v>
      </c>
      <c r="S775" s="1056">
        <v>0</v>
      </c>
      <c r="T775" s="1056">
        <v>0</v>
      </c>
      <c r="U775" s="1056">
        <v>0</v>
      </c>
      <c r="V775" s="1056">
        <v>0</v>
      </c>
      <c r="W775" s="1056">
        <v>0</v>
      </c>
      <c r="X775" s="1056">
        <v>0</v>
      </c>
      <c r="Y775" s="1056">
        <v>0</v>
      </c>
      <c r="Z775" s="1056">
        <v>192131.67</v>
      </c>
      <c r="AA775" s="1056">
        <v>0</v>
      </c>
    </row>
    <row r="776" spans="1:27" s="1079" customFormat="1" ht="76.150000000000006" customHeight="1">
      <c r="A776" s="1322">
        <v>286</v>
      </c>
      <c r="B776" s="1233" t="s">
        <v>1622</v>
      </c>
      <c r="C776" s="1056">
        <f t="shared" si="420"/>
        <v>5645367.5599999996</v>
      </c>
      <c r="D776" s="1056">
        <f t="shared" si="421"/>
        <v>5235317.26</v>
      </c>
      <c r="E776" s="1056">
        <v>0</v>
      </c>
      <c r="F776" s="1056">
        <v>5235317.26</v>
      </c>
      <c r="G776" s="1056">
        <v>0</v>
      </c>
      <c r="H776" s="1056">
        <v>0</v>
      </c>
      <c r="I776" s="1056">
        <v>0</v>
      </c>
      <c r="J776" s="1056">
        <v>0</v>
      </c>
      <c r="K776" s="1063">
        <v>0</v>
      </c>
      <c r="L776" s="1056">
        <v>0</v>
      </c>
      <c r="M776" s="1063">
        <v>0</v>
      </c>
      <c r="N776" s="1056">
        <v>0</v>
      </c>
      <c r="O776" s="1056">
        <v>0</v>
      </c>
      <c r="P776" s="1056">
        <v>0</v>
      </c>
      <c r="Q776" s="1056">
        <v>0</v>
      </c>
      <c r="R776" s="1056">
        <v>0</v>
      </c>
      <c r="S776" s="1056">
        <v>0</v>
      </c>
      <c r="T776" s="1056">
        <v>0</v>
      </c>
      <c r="U776" s="1056">
        <v>0</v>
      </c>
      <c r="V776" s="1056">
        <v>0</v>
      </c>
      <c r="W776" s="1056">
        <v>0</v>
      </c>
      <c r="X776" s="1056">
        <v>0</v>
      </c>
      <c r="Y776" s="1056">
        <v>0</v>
      </c>
      <c r="Z776" s="1056">
        <v>410050.3</v>
      </c>
      <c r="AA776" s="1056">
        <v>0</v>
      </c>
    </row>
    <row r="777" spans="1:27" s="1079" customFormat="1" ht="75.599999999999994" customHeight="1">
      <c r="A777" s="1322">
        <v>287</v>
      </c>
      <c r="B777" s="1233" t="s">
        <v>1623</v>
      </c>
      <c r="C777" s="1056">
        <f t="shared" si="420"/>
        <v>1523071</v>
      </c>
      <c r="D777" s="1056">
        <f t="shared" si="421"/>
        <v>0</v>
      </c>
      <c r="E777" s="1056">
        <v>0</v>
      </c>
      <c r="F777" s="1056">
        <v>0</v>
      </c>
      <c r="G777" s="1056">
        <v>0</v>
      </c>
      <c r="H777" s="1056">
        <v>0</v>
      </c>
      <c r="I777" s="1056">
        <v>0</v>
      </c>
      <c r="J777" s="1056">
        <v>0</v>
      </c>
      <c r="K777" s="1063">
        <v>0</v>
      </c>
      <c r="L777" s="1056">
        <v>0</v>
      </c>
      <c r="M777" s="1063">
        <v>0</v>
      </c>
      <c r="N777" s="1056">
        <v>0</v>
      </c>
      <c r="O777" s="1056">
        <v>450</v>
      </c>
      <c r="P777" s="1056">
        <v>1412443</v>
      </c>
      <c r="Q777" s="1056">
        <v>0</v>
      </c>
      <c r="R777" s="1056">
        <v>0</v>
      </c>
      <c r="S777" s="1056">
        <v>0</v>
      </c>
      <c r="T777" s="1056">
        <v>0</v>
      </c>
      <c r="U777" s="1056">
        <v>0</v>
      </c>
      <c r="V777" s="1056">
        <v>0</v>
      </c>
      <c r="W777" s="1056">
        <v>0</v>
      </c>
      <c r="X777" s="1056">
        <v>0</v>
      </c>
      <c r="Y777" s="1056">
        <v>0</v>
      </c>
      <c r="Z777" s="1056">
        <v>110628</v>
      </c>
      <c r="AA777" s="1056">
        <v>0</v>
      </c>
    </row>
    <row r="778" spans="1:27" s="1079" customFormat="1" ht="78.599999999999994" customHeight="1">
      <c r="A778" s="1322">
        <v>288</v>
      </c>
      <c r="B778" s="1233" t="s">
        <v>1624</v>
      </c>
      <c r="C778" s="1056">
        <f t="shared" si="420"/>
        <v>1967908</v>
      </c>
      <c r="D778" s="1056">
        <f t="shared" si="421"/>
        <v>0</v>
      </c>
      <c r="E778" s="1056">
        <v>0</v>
      </c>
      <c r="F778" s="1056">
        <v>0</v>
      </c>
      <c r="G778" s="1056">
        <v>0</v>
      </c>
      <c r="H778" s="1056">
        <v>0</v>
      </c>
      <c r="I778" s="1056">
        <v>0</v>
      </c>
      <c r="J778" s="1056">
        <v>0</v>
      </c>
      <c r="K778" s="1063">
        <v>0</v>
      </c>
      <c r="L778" s="1056">
        <v>0</v>
      </c>
      <c r="M778" s="1063">
        <v>0</v>
      </c>
      <c r="N778" s="1056">
        <v>0</v>
      </c>
      <c r="O778" s="1056">
        <v>493.3</v>
      </c>
      <c r="P778" s="1056">
        <v>1824969</v>
      </c>
      <c r="Q778" s="1056">
        <v>0</v>
      </c>
      <c r="R778" s="1056">
        <v>0</v>
      </c>
      <c r="S778" s="1056">
        <v>0</v>
      </c>
      <c r="T778" s="1056">
        <v>0</v>
      </c>
      <c r="U778" s="1056">
        <v>0</v>
      </c>
      <c r="V778" s="1056">
        <v>0</v>
      </c>
      <c r="W778" s="1056">
        <v>0</v>
      </c>
      <c r="X778" s="1056">
        <v>0</v>
      </c>
      <c r="Y778" s="1056">
        <v>0</v>
      </c>
      <c r="Z778" s="1056">
        <v>142939</v>
      </c>
      <c r="AA778" s="1056">
        <v>0</v>
      </c>
    </row>
    <row r="779" spans="1:27" s="1079" customFormat="1" ht="90.75" customHeight="1">
      <c r="A779" s="1322">
        <v>289</v>
      </c>
      <c r="B779" s="1233" t="s">
        <v>1625</v>
      </c>
      <c r="C779" s="1056">
        <f t="shared" si="420"/>
        <v>2193560</v>
      </c>
      <c r="D779" s="1056">
        <f t="shared" si="421"/>
        <v>0</v>
      </c>
      <c r="E779" s="1056">
        <v>0</v>
      </c>
      <c r="F779" s="1056">
        <v>0</v>
      </c>
      <c r="G779" s="1056">
        <v>0</v>
      </c>
      <c r="H779" s="1056">
        <v>0</v>
      </c>
      <c r="I779" s="1056">
        <v>0</v>
      </c>
      <c r="J779" s="1056">
        <v>0</v>
      </c>
      <c r="K779" s="1063">
        <v>0</v>
      </c>
      <c r="L779" s="1056">
        <v>0</v>
      </c>
      <c r="M779" s="1063">
        <v>0</v>
      </c>
      <c r="N779" s="1056">
        <v>0</v>
      </c>
      <c r="O779" s="1056">
        <v>648.1</v>
      </c>
      <c r="P779" s="1056">
        <v>2034231</v>
      </c>
      <c r="Q779" s="1056">
        <v>0</v>
      </c>
      <c r="R779" s="1056">
        <v>0</v>
      </c>
      <c r="S779" s="1056">
        <v>0</v>
      </c>
      <c r="T779" s="1056">
        <v>0</v>
      </c>
      <c r="U779" s="1056">
        <v>0</v>
      </c>
      <c r="V779" s="1056">
        <v>0</v>
      </c>
      <c r="W779" s="1056">
        <v>0</v>
      </c>
      <c r="X779" s="1056">
        <v>0</v>
      </c>
      <c r="Y779" s="1056">
        <v>0</v>
      </c>
      <c r="Z779" s="1056">
        <v>159329</v>
      </c>
      <c r="AA779" s="1056">
        <v>0</v>
      </c>
    </row>
    <row r="780" spans="1:27" s="1079" customFormat="1" ht="79.5" customHeight="1">
      <c r="A780" s="1322">
        <v>290</v>
      </c>
      <c r="B780" s="1233" t="s">
        <v>1626</v>
      </c>
      <c r="C780" s="1056">
        <f t="shared" ref="C780:C783" si="422">D780+N780+P780+R780+T780+X780+Z780</f>
        <v>2037865</v>
      </c>
      <c r="D780" s="1056">
        <f t="shared" ref="D780:D783" si="423">SUM(E780:J780)</f>
        <v>0</v>
      </c>
      <c r="E780" s="1056">
        <v>0</v>
      </c>
      <c r="F780" s="1056">
        <v>0</v>
      </c>
      <c r="G780" s="1056">
        <v>0</v>
      </c>
      <c r="H780" s="1056">
        <v>0</v>
      </c>
      <c r="I780" s="1056">
        <v>0</v>
      </c>
      <c r="J780" s="1056">
        <v>0</v>
      </c>
      <c r="K780" s="1063">
        <v>0</v>
      </c>
      <c r="L780" s="1056">
        <v>0</v>
      </c>
      <c r="M780" s="1063">
        <v>0</v>
      </c>
      <c r="N780" s="1056">
        <v>0</v>
      </c>
      <c r="O780" s="1056">
        <v>750</v>
      </c>
      <c r="P780" s="1056">
        <v>1889845</v>
      </c>
      <c r="Q780" s="1056">
        <v>0</v>
      </c>
      <c r="R780" s="1056">
        <v>0</v>
      </c>
      <c r="S780" s="1056">
        <v>0</v>
      </c>
      <c r="T780" s="1056">
        <v>0</v>
      </c>
      <c r="U780" s="1056">
        <v>0</v>
      </c>
      <c r="V780" s="1056">
        <v>0</v>
      </c>
      <c r="W780" s="1056">
        <v>0</v>
      </c>
      <c r="X780" s="1056">
        <v>0</v>
      </c>
      <c r="Y780" s="1056">
        <v>0</v>
      </c>
      <c r="Z780" s="1056">
        <v>148020</v>
      </c>
      <c r="AA780" s="1056">
        <v>0</v>
      </c>
    </row>
    <row r="781" spans="1:27" s="1079" customFormat="1" ht="82.5" customHeight="1">
      <c r="A781" s="1322">
        <v>291</v>
      </c>
      <c r="B781" s="1233" t="s">
        <v>1627</v>
      </c>
      <c r="C781" s="1056">
        <f t="shared" si="422"/>
        <v>2587273</v>
      </c>
      <c r="D781" s="1056">
        <f t="shared" si="423"/>
        <v>0</v>
      </c>
      <c r="E781" s="1056">
        <v>0</v>
      </c>
      <c r="F781" s="1056">
        <v>0</v>
      </c>
      <c r="G781" s="1056">
        <v>0</v>
      </c>
      <c r="H781" s="1056">
        <v>0</v>
      </c>
      <c r="I781" s="1056">
        <v>0</v>
      </c>
      <c r="J781" s="1056">
        <v>0</v>
      </c>
      <c r="K781" s="1063">
        <v>0</v>
      </c>
      <c r="L781" s="1056">
        <v>0</v>
      </c>
      <c r="M781" s="1063">
        <v>0</v>
      </c>
      <c r="N781" s="1056">
        <v>0</v>
      </c>
      <c r="O781" s="1056">
        <v>952.2</v>
      </c>
      <c r="P781" s="1056">
        <v>2399347</v>
      </c>
      <c r="Q781" s="1056">
        <v>0</v>
      </c>
      <c r="R781" s="1056">
        <v>0</v>
      </c>
      <c r="S781" s="1056">
        <v>0</v>
      </c>
      <c r="T781" s="1056">
        <v>0</v>
      </c>
      <c r="U781" s="1056">
        <v>0</v>
      </c>
      <c r="V781" s="1056">
        <v>0</v>
      </c>
      <c r="W781" s="1056">
        <v>0</v>
      </c>
      <c r="X781" s="1056">
        <v>0</v>
      </c>
      <c r="Y781" s="1056">
        <v>0</v>
      </c>
      <c r="Z781" s="1056">
        <v>187926</v>
      </c>
      <c r="AA781" s="1056">
        <v>0</v>
      </c>
    </row>
    <row r="782" spans="1:27" s="1079" customFormat="1" ht="99" customHeight="1">
      <c r="A782" s="1322">
        <v>292</v>
      </c>
      <c r="B782" s="1233" t="s">
        <v>1628</v>
      </c>
      <c r="C782" s="1056">
        <f>D782+N782+P782+R782+T782+X782+Z782+AA782</f>
        <v>647870</v>
      </c>
      <c r="D782" s="1056">
        <f t="shared" si="423"/>
        <v>0</v>
      </c>
      <c r="E782" s="1056">
        <v>0</v>
      </c>
      <c r="F782" s="1056">
        <v>0</v>
      </c>
      <c r="G782" s="1056">
        <v>0</v>
      </c>
      <c r="H782" s="1056">
        <v>0</v>
      </c>
      <c r="I782" s="1056">
        <v>0</v>
      </c>
      <c r="J782" s="1056">
        <v>0</v>
      </c>
      <c r="K782" s="1063">
        <v>0</v>
      </c>
      <c r="L782" s="1056">
        <v>0</v>
      </c>
      <c r="M782" s="1063">
        <v>0</v>
      </c>
      <c r="N782" s="1056">
        <v>0</v>
      </c>
      <c r="O782" s="1056">
        <v>0</v>
      </c>
      <c r="P782" s="1056">
        <v>0</v>
      </c>
      <c r="Q782" s="1056">
        <v>0</v>
      </c>
      <c r="R782" s="1056">
        <v>0</v>
      </c>
      <c r="S782" s="1056">
        <v>186</v>
      </c>
      <c r="T782" s="1056">
        <v>458993</v>
      </c>
      <c r="U782" s="1056">
        <v>0</v>
      </c>
      <c r="V782" s="1056">
        <v>0</v>
      </c>
      <c r="W782" s="1056">
        <v>0</v>
      </c>
      <c r="X782" s="1056">
        <v>0</v>
      </c>
      <c r="Y782" s="1056">
        <v>0</v>
      </c>
      <c r="Z782" s="1056">
        <v>35950</v>
      </c>
      <c r="AA782" s="1056">
        <v>152927</v>
      </c>
    </row>
    <row r="783" spans="1:27" s="1079" customFormat="1" ht="82.5" customHeight="1">
      <c r="A783" s="1322">
        <v>293</v>
      </c>
      <c r="B783" s="1233" t="s">
        <v>1629</v>
      </c>
      <c r="C783" s="1056">
        <f t="shared" si="422"/>
        <v>67897</v>
      </c>
      <c r="D783" s="1056">
        <f t="shared" si="423"/>
        <v>0</v>
      </c>
      <c r="E783" s="1056">
        <v>0</v>
      </c>
      <c r="F783" s="1056">
        <v>0</v>
      </c>
      <c r="G783" s="1056">
        <v>0</v>
      </c>
      <c r="H783" s="1056">
        <v>0</v>
      </c>
      <c r="I783" s="1056">
        <v>0</v>
      </c>
      <c r="J783" s="1056">
        <v>0</v>
      </c>
      <c r="K783" s="1063">
        <v>0</v>
      </c>
      <c r="L783" s="1056">
        <v>0</v>
      </c>
      <c r="M783" s="1063">
        <v>0</v>
      </c>
      <c r="N783" s="1056">
        <v>0</v>
      </c>
      <c r="O783" s="1056"/>
      <c r="P783" s="1056">
        <v>0</v>
      </c>
      <c r="Q783" s="1056">
        <v>0</v>
      </c>
      <c r="R783" s="1056">
        <v>0</v>
      </c>
      <c r="S783" s="1056">
        <v>0</v>
      </c>
      <c r="T783" s="1056">
        <v>0</v>
      </c>
      <c r="U783" s="1056">
        <v>0</v>
      </c>
      <c r="V783" s="1056">
        <v>0</v>
      </c>
      <c r="W783" s="1056">
        <v>0</v>
      </c>
      <c r="X783" s="1056">
        <v>0</v>
      </c>
      <c r="Y783" s="1056">
        <v>0</v>
      </c>
      <c r="Z783" s="1056">
        <v>67897</v>
      </c>
      <c r="AA783" s="1056">
        <v>0</v>
      </c>
    </row>
    <row r="784" spans="1:27" s="1079" customFormat="1" ht="100.5" customHeight="1">
      <c r="A784" s="1322">
        <v>294</v>
      </c>
      <c r="B784" s="1233" t="s">
        <v>1619</v>
      </c>
      <c r="C784" s="1056">
        <f t="shared" ref="C784" si="424">D784+N784+P784+R784+T784+X784+Z784</f>
        <v>53033</v>
      </c>
      <c r="D784" s="1056">
        <f t="shared" ref="D784" si="425">SUM(E784:J784)</f>
        <v>0</v>
      </c>
      <c r="E784" s="1056">
        <v>0</v>
      </c>
      <c r="F784" s="1056">
        <v>0</v>
      </c>
      <c r="G784" s="1056">
        <v>0</v>
      </c>
      <c r="H784" s="1056">
        <v>0</v>
      </c>
      <c r="I784" s="1056">
        <v>0</v>
      </c>
      <c r="J784" s="1056">
        <v>0</v>
      </c>
      <c r="K784" s="1063">
        <v>0</v>
      </c>
      <c r="L784" s="1056">
        <v>0</v>
      </c>
      <c r="M784" s="1063">
        <v>0</v>
      </c>
      <c r="N784" s="1056">
        <v>0</v>
      </c>
      <c r="O784" s="1056">
        <v>0</v>
      </c>
      <c r="P784" s="1056">
        <v>0</v>
      </c>
      <c r="Q784" s="1056">
        <v>0</v>
      </c>
      <c r="R784" s="1056">
        <v>0</v>
      </c>
      <c r="S784" s="1056">
        <v>0</v>
      </c>
      <c r="T784" s="1056">
        <v>0</v>
      </c>
      <c r="U784" s="1056">
        <v>0</v>
      </c>
      <c r="V784" s="1056">
        <v>0</v>
      </c>
      <c r="W784" s="1056">
        <v>0</v>
      </c>
      <c r="X784" s="1056">
        <v>0</v>
      </c>
      <c r="Y784" s="1056">
        <v>0</v>
      </c>
      <c r="Z784" s="1056">
        <v>53033</v>
      </c>
      <c r="AA784" s="1056">
        <v>0</v>
      </c>
    </row>
    <row r="785" spans="1:27" s="1079" customFormat="1" ht="100.5" customHeight="1">
      <c r="A785" s="1322"/>
      <c r="B785" s="1062" t="s">
        <v>2010</v>
      </c>
      <c r="C785" s="1056">
        <f>C786+C787</f>
        <v>2517058</v>
      </c>
      <c r="D785" s="1056">
        <f t="shared" ref="D785:AA785" si="426">D786+D787</f>
        <v>0</v>
      </c>
      <c r="E785" s="1056">
        <f t="shared" si="426"/>
        <v>0</v>
      </c>
      <c r="F785" s="1056">
        <f t="shared" si="426"/>
        <v>0</v>
      </c>
      <c r="G785" s="1056">
        <f t="shared" si="426"/>
        <v>0</v>
      </c>
      <c r="H785" s="1056">
        <f t="shared" si="426"/>
        <v>0</v>
      </c>
      <c r="I785" s="1056">
        <f t="shared" si="426"/>
        <v>0</v>
      </c>
      <c r="J785" s="1056">
        <f t="shared" si="426"/>
        <v>0</v>
      </c>
      <c r="K785" s="1056">
        <f t="shared" si="426"/>
        <v>0</v>
      </c>
      <c r="L785" s="1056">
        <f t="shared" si="426"/>
        <v>0</v>
      </c>
      <c r="M785" s="1056">
        <f t="shared" si="426"/>
        <v>0</v>
      </c>
      <c r="N785" s="1056">
        <f t="shared" si="426"/>
        <v>0</v>
      </c>
      <c r="O785" s="1056">
        <f t="shared" si="426"/>
        <v>585</v>
      </c>
      <c r="P785" s="1056">
        <f t="shared" si="426"/>
        <v>2164214</v>
      </c>
      <c r="Q785" s="1056">
        <f t="shared" si="426"/>
        <v>0</v>
      </c>
      <c r="R785" s="1056">
        <f t="shared" si="426"/>
        <v>0</v>
      </c>
      <c r="S785" s="1056">
        <f t="shared" si="426"/>
        <v>0</v>
      </c>
      <c r="T785" s="1056">
        <f t="shared" si="426"/>
        <v>0</v>
      </c>
      <c r="U785" s="1056">
        <f t="shared" si="426"/>
        <v>0</v>
      </c>
      <c r="V785" s="1056">
        <f t="shared" si="426"/>
        <v>0</v>
      </c>
      <c r="W785" s="1056">
        <f t="shared" si="426"/>
        <v>0</v>
      </c>
      <c r="X785" s="1056">
        <f t="shared" si="426"/>
        <v>0</v>
      </c>
      <c r="Y785" s="1056">
        <f t="shared" si="426"/>
        <v>0</v>
      </c>
      <c r="Z785" s="1056">
        <f t="shared" si="426"/>
        <v>352844</v>
      </c>
      <c r="AA785" s="1056">
        <f t="shared" si="426"/>
        <v>0</v>
      </c>
    </row>
    <row r="786" spans="1:27" s="1079" customFormat="1" ht="102" customHeight="1">
      <c r="A786" s="1322">
        <v>295</v>
      </c>
      <c r="B786" s="1062" t="s">
        <v>2012</v>
      </c>
      <c r="C786" s="1056">
        <v>183334</v>
      </c>
      <c r="D786" s="1056">
        <v>0</v>
      </c>
      <c r="E786" s="1056">
        <v>0</v>
      </c>
      <c r="F786" s="1056">
        <v>0</v>
      </c>
      <c r="G786" s="1056">
        <v>0</v>
      </c>
      <c r="H786" s="1056">
        <v>0</v>
      </c>
      <c r="I786" s="1056">
        <v>0</v>
      </c>
      <c r="J786" s="1056">
        <v>0</v>
      </c>
      <c r="K786" s="1063">
        <v>0</v>
      </c>
      <c r="L786" s="1056">
        <v>0</v>
      </c>
      <c r="M786" s="1063">
        <v>0</v>
      </c>
      <c r="N786" s="1056">
        <v>0</v>
      </c>
      <c r="O786" s="1056">
        <v>0</v>
      </c>
      <c r="P786" s="1056">
        <v>0</v>
      </c>
      <c r="Q786" s="1056">
        <v>0</v>
      </c>
      <c r="R786" s="1056">
        <v>0</v>
      </c>
      <c r="S786" s="1056">
        <v>0</v>
      </c>
      <c r="T786" s="1056">
        <v>0</v>
      </c>
      <c r="U786" s="1056">
        <v>0</v>
      </c>
      <c r="V786" s="1056">
        <v>0</v>
      </c>
      <c r="W786" s="1056">
        <v>0</v>
      </c>
      <c r="X786" s="1056">
        <v>0</v>
      </c>
      <c r="Y786" s="1056">
        <v>0</v>
      </c>
      <c r="Z786" s="1056">
        <v>183334</v>
      </c>
      <c r="AA786" s="1056">
        <v>0</v>
      </c>
    </row>
    <row r="787" spans="1:27" s="1079" customFormat="1" ht="102" customHeight="1">
      <c r="A787" s="1322">
        <v>296</v>
      </c>
      <c r="B787" s="1062" t="s">
        <v>2033</v>
      </c>
      <c r="C787" s="1056">
        <f t="shared" ref="C787" si="427">D787+N787+P787+R787+T787+X787+Z787</f>
        <v>2333724</v>
      </c>
      <c r="D787" s="1056">
        <f t="shared" ref="D787" si="428">SUM(E787:J787)</f>
        <v>0</v>
      </c>
      <c r="E787" s="1056">
        <v>0</v>
      </c>
      <c r="F787" s="1056">
        <v>0</v>
      </c>
      <c r="G787" s="1056">
        <v>0</v>
      </c>
      <c r="H787" s="1056">
        <v>0</v>
      </c>
      <c r="I787" s="1056">
        <v>0</v>
      </c>
      <c r="J787" s="1056">
        <v>0</v>
      </c>
      <c r="K787" s="1063">
        <v>0</v>
      </c>
      <c r="L787" s="1056">
        <v>0</v>
      </c>
      <c r="M787" s="1063">
        <v>0</v>
      </c>
      <c r="N787" s="1056">
        <v>0</v>
      </c>
      <c r="O787" s="1056">
        <v>585</v>
      </c>
      <c r="P787" s="1056">
        <v>2164214</v>
      </c>
      <c r="Q787" s="1056">
        <v>0</v>
      </c>
      <c r="R787" s="1056">
        <v>0</v>
      </c>
      <c r="S787" s="1056">
        <v>0</v>
      </c>
      <c r="T787" s="1056">
        <v>0</v>
      </c>
      <c r="U787" s="1056">
        <v>0</v>
      </c>
      <c r="V787" s="1056">
        <v>0</v>
      </c>
      <c r="W787" s="1056">
        <v>0</v>
      </c>
      <c r="X787" s="1056">
        <v>0</v>
      </c>
      <c r="Y787" s="1056">
        <v>0</v>
      </c>
      <c r="Z787" s="1056">
        <v>169510</v>
      </c>
      <c r="AA787" s="1056">
        <v>0</v>
      </c>
    </row>
    <row r="788" spans="1:27" s="1079" customFormat="1" ht="92.45" customHeight="1">
      <c r="A788" s="1322"/>
      <c r="B788" s="1062" t="s">
        <v>1092</v>
      </c>
      <c r="C788" s="1056">
        <f t="shared" ref="C788:T788" si="429">SUM(C789:C791)</f>
        <v>8098594.330000001</v>
      </c>
      <c r="D788" s="1056">
        <f t="shared" si="429"/>
        <v>0</v>
      </c>
      <c r="E788" s="1056">
        <f t="shared" si="429"/>
        <v>0</v>
      </c>
      <c r="F788" s="1056">
        <f t="shared" si="429"/>
        <v>0</v>
      </c>
      <c r="G788" s="1056">
        <f t="shared" si="429"/>
        <v>0</v>
      </c>
      <c r="H788" s="1056">
        <f t="shared" si="429"/>
        <v>0</v>
      </c>
      <c r="I788" s="1056">
        <f t="shared" si="429"/>
        <v>0</v>
      </c>
      <c r="J788" s="1056">
        <f t="shared" si="429"/>
        <v>0</v>
      </c>
      <c r="K788" s="1063">
        <f t="shared" si="429"/>
        <v>0</v>
      </c>
      <c r="L788" s="1056">
        <f t="shared" si="429"/>
        <v>0</v>
      </c>
      <c r="M788" s="1063">
        <f t="shared" si="429"/>
        <v>0</v>
      </c>
      <c r="N788" s="1056">
        <f t="shared" si="429"/>
        <v>0</v>
      </c>
      <c r="O788" s="1056">
        <f t="shared" si="429"/>
        <v>1340</v>
      </c>
      <c r="P788" s="1056">
        <f t="shared" si="429"/>
        <v>5553099.5199999996</v>
      </c>
      <c r="Q788" s="1056">
        <f t="shared" si="429"/>
        <v>0</v>
      </c>
      <c r="R788" s="1056">
        <f t="shared" si="429"/>
        <v>0</v>
      </c>
      <c r="S788" s="1056">
        <f t="shared" si="429"/>
        <v>534.94000000000005</v>
      </c>
      <c r="T788" s="1056">
        <f t="shared" si="429"/>
        <v>2111788.52</v>
      </c>
      <c r="U788" s="1056">
        <v>0</v>
      </c>
      <c r="V788" s="1056">
        <v>0</v>
      </c>
      <c r="W788" s="1056">
        <f>SUM(W789:W791)</f>
        <v>0</v>
      </c>
      <c r="X788" s="1056">
        <f>SUM(X789:X791)</f>
        <v>0</v>
      </c>
      <c r="Y788" s="1056">
        <v>0</v>
      </c>
      <c r="Z788" s="1056">
        <f>SUM(Z789:Z791)</f>
        <v>433706.29000000004</v>
      </c>
      <c r="AA788" s="1056">
        <f>SUM(AA789:AA791)</f>
        <v>0</v>
      </c>
    </row>
    <row r="789" spans="1:27" s="1079" customFormat="1" ht="90.75" customHeight="1">
      <c r="A789" s="1322">
        <v>297</v>
      </c>
      <c r="B789" s="1062" t="s">
        <v>1595</v>
      </c>
      <c r="C789" s="1056">
        <f t="shared" ref="C789" si="430">D789+N789+P789+R789+T789+X789+Z789</f>
        <v>2800229.35</v>
      </c>
      <c r="D789" s="1056">
        <f t="shared" ref="D789" si="431">SUM(E789:J789)</f>
        <v>0</v>
      </c>
      <c r="E789" s="1056">
        <v>0</v>
      </c>
      <c r="F789" s="1056">
        <v>0</v>
      </c>
      <c r="G789" s="1056">
        <v>0</v>
      </c>
      <c r="H789" s="1056">
        <v>0</v>
      </c>
      <c r="I789" s="1056">
        <v>0</v>
      </c>
      <c r="J789" s="1056">
        <v>0</v>
      </c>
      <c r="K789" s="1063">
        <v>0</v>
      </c>
      <c r="L789" s="1056">
        <v>0</v>
      </c>
      <c r="M789" s="1063">
        <v>0</v>
      </c>
      <c r="N789" s="1056">
        <v>0</v>
      </c>
      <c r="O789" s="1302">
        <v>420</v>
      </c>
      <c r="P789" s="1303">
        <v>2694473.63</v>
      </c>
      <c r="Q789" s="1056">
        <v>0</v>
      </c>
      <c r="R789" s="1056">
        <v>0</v>
      </c>
      <c r="S789" s="1056">
        <v>0</v>
      </c>
      <c r="T789" s="1056">
        <v>0</v>
      </c>
      <c r="U789" s="1056">
        <v>0</v>
      </c>
      <c r="V789" s="1056">
        <v>0</v>
      </c>
      <c r="W789" s="1056">
        <v>0</v>
      </c>
      <c r="X789" s="1056">
        <v>0</v>
      </c>
      <c r="Y789" s="1056">
        <v>0</v>
      </c>
      <c r="Z789" s="1303">
        <v>105755.72</v>
      </c>
      <c r="AA789" s="1056">
        <v>0</v>
      </c>
    </row>
    <row r="790" spans="1:27" s="1079" customFormat="1" ht="100.15" customHeight="1">
      <c r="A790" s="1322">
        <v>298</v>
      </c>
      <c r="B790" s="1062" t="s">
        <v>1207</v>
      </c>
      <c r="C790" s="1056">
        <f t="shared" ref="C790" si="432">D790+N790+P790+R790+T790+X790+Z790</f>
        <v>2215840.4500000002</v>
      </c>
      <c r="D790" s="1056">
        <f t="shared" ref="D790" si="433">SUM(E790:J790)</f>
        <v>0</v>
      </c>
      <c r="E790" s="1056">
        <v>0</v>
      </c>
      <c r="F790" s="1056">
        <v>0</v>
      </c>
      <c r="G790" s="1056">
        <v>0</v>
      </c>
      <c r="H790" s="1056">
        <v>0</v>
      </c>
      <c r="I790" s="1056">
        <v>0</v>
      </c>
      <c r="J790" s="1056">
        <v>0</v>
      </c>
      <c r="K790" s="1063">
        <v>0</v>
      </c>
      <c r="L790" s="1056">
        <v>0</v>
      </c>
      <c r="M790" s="1063">
        <v>0</v>
      </c>
      <c r="N790" s="1056">
        <v>0</v>
      </c>
      <c r="O790" s="1322">
        <v>0</v>
      </c>
      <c r="P790" s="1303">
        <v>0</v>
      </c>
      <c r="Q790" s="1056">
        <v>0</v>
      </c>
      <c r="R790" s="1056">
        <v>0</v>
      </c>
      <c r="S790" s="1056">
        <v>534.94000000000005</v>
      </c>
      <c r="T790" s="1056">
        <v>2111788.52</v>
      </c>
      <c r="U790" s="1056">
        <v>0</v>
      </c>
      <c r="V790" s="1056">
        <v>0</v>
      </c>
      <c r="W790" s="1056">
        <v>0</v>
      </c>
      <c r="X790" s="1056">
        <v>0</v>
      </c>
      <c r="Y790" s="1056">
        <v>0</v>
      </c>
      <c r="Z790" s="1303">
        <v>104051.93</v>
      </c>
      <c r="AA790" s="1056">
        <v>0</v>
      </c>
    </row>
    <row r="791" spans="1:27" s="1079" customFormat="1" ht="93" customHeight="1">
      <c r="A791" s="1322">
        <v>299</v>
      </c>
      <c r="B791" s="1062" t="s">
        <v>1208</v>
      </c>
      <c r="C791" s="1056">
        <f t="shared" ref="C791" si="434">D791+N791+P791+R791+T791+X791+Z791</f>
        <v>3082524.5300000003</v>
      </c>
      <c r="D791" s="1056">
        <f t="shared" ref="D791" si="435">SUM(E791:J791)</f>
        <v>0</v>
      </c>
      <c r="E791" s="1056">
        <v>0</v>
      </c>
      <c r="F791" s="1056">
        <v>0</v>
      </c>
      <c r="G791" s="1056">
        <v>0</v>
      </c>
      <c r="H791" s="1056">
        <v>0</v>
      </c>
      <c r="I791" s="1056">
        <v>0</v>
      </c>
      <c r="J791" s="1056">
        <v>0</v>
      </c>
      <c r="K791" s="1063">
        <v>0</v>
      </c>
      <c r="L791" s="1056">
        <v>0</v>
      </c>
      <c r="M791" s="1063">
        <v>0</v>
      </c>
      <c r="N791" s="1056">
        <v>0</v>
      </c>
      <c r="O791" s="1322">
        <v>920</v>
      </c>
      <c r="P791" s="1303">
        <v>2858625.89</v>
      </c>
      <c r="Q791" s="1056">
        <v>0</v>
      </c>
      <c r="R791" s="1056">
        <v>0</v>
      </c>
      <c r="S791" s="1056">
        <v>0</v>
      </c>
      <c r="T791" s="1056">
        <v>0</v>
      </c>
      <c r="U791" s="1056">
        <v>0</v>
      </c>
      <c r="V791" s="1056">
        <v>0</v>
      </c>
      <c r="W791" s="1056">
        <v>0</v>
      </c>
      <c r="X791" s="1056">
        <v>0</v>
      </c>
      <c r="Y791" s="1056">
        <v>0</v>
      </c>
      <c r="Z791" s="1303">
        <v>223898.64</v>
      </c>
      <c r="AA791" s="1056">
        <v>0</v>
      </c>
    </row>
    <row r="792" spans="1:27" s="1079" customFormat="1" ht="95.45" customHeight="1">
      <c r="A792" s="1322"/>
      <c r="B792" s="1062" t="s">
        <v>1312</v>
      </c>
      <c r="C792" s="1056">
        <f>C793+C794+C795</f>
        <v>7060927.3000000007</v>
      </c>
      <c r="D792" s="1056">
        <f t="shared" ref="D792:AA792" si="436">D793+D794+D795</f>
        <v>2493039.66</v>
      </c>
      <c r="E792" s="1056">
        <f t="shared" si="436"/>
        <v>0</v>
      </c>
      <c r="F792" s="1056">
        <f t="shared" si="436"/>
        <v>2493039.66</v>
      </c>
      <c r="G792" s="1056">
        <f t="shared" si="436"/>
        <v>0</v>
      </c>
      <c r="H792" s="1056">
        <f t="shared" si="436"/>
        <v>0</v>
      </c>
      <c r="I792" s="1056">
        <f t="shared" si="436"/>
        <v>0</v>
      </c>
      <c r="J792" s="1056">
        <f t="shared" si="436"/>
        <v>0</v>
      </c>
      <c r="K792" s="1056">
        <f t="shared" si="436"/>
        <v>0</v>
      </c>
      <c r="L792" s="1056">
        <f t="shared" si="436"/>
        <v>0</v>
      </c>
      <c r="M792" s="1056">
        <f t="shared" si="436"/>
        <v>0</v>
      </c>
      <c r="N792" s="1056">
        <f t="shared" si="436"/>
        <v>0</v>
      </c>
      <c r="O792" s="1056">
        <f t="shared" si="436"/>
        <v>1047</v>
      </c>
      <c r="P792" s="1056">
        <f t="shared" si="436"/>
        <v>4130087.93</v>
      </c>
      <c r="Q792" s="1056">
        <f t="shared" si="436"/>
        <v>0</v>
      </c>
      <c r="R792" s="1056">
        <f t="shared" si="436"/>
        <v>0</v>
      </c>
      <c r="S792" s="1056">
        <f t="shared" si="436"/>
        <v>0</v>
      </c>
      <c r="T792" s="1056">
        <f t="shared" si="436"/>
        <v>0</v>
      </c>
      <c r="U792" s="1056">
        <f t="shared" si="436"/>
        <v>0</v>
      </c>
      <c r="V792" s="1056">
        <f t="shared" si="436"/>
        <v>0</v>
      </c>
      <c r="W792" s="1056">
        <f t="shared" si="436"/>
        <v>0</v>
      </c>
      <c r="X792" s="1056">
        <f t="shared" si="436"/>
        <v>0</v>
      </c>
      <c r="Y792" s="1056">
        <f t="shared" si="436"/>
        <v>0</v>
      </c>
      <c r="Z792" s="1056">
        <f t="shared" si="436"/>
        <v>437799.71</v>
      </c>
      <c r="AA792" s="1056">
        <f t="shared" si="436"/>
        <v>0</v>
      </c>
    </row>
    <row r="793" spans="1:27" s="1079" customFormat="1" ht="130.9" customHeight="1">
      <c r="A793" s="1322">
        <v>300</v>
      </c>
      <c r="B793" s="1062" t="s">
        <v>1320</v>
      </c>
      <c r="C793" s="1056">
        <f t="shared" ref="C793" si="437">D793+N793+P793+R793+T793+X793+Z793</f>
        <v>1415265</v>
      </c>
      <c r="D793" s="1056">
        <f t="shared" ref="D793" si="438">SUM(E793:J793)</f>
        <v>0</v>
      </c>
      <c r="E793" s="1056">
        <v>0</v>
      </c>
      <c r="F793" s="1056">
        <v>0</v>
      </c>
      <c r="G793" s="1056">
        <v>0</v>
      </c>
      <c r="H793" s="1056">
        <v>0</v>
      </c>
      <c r="I793" s="1056">
        <v>0</v>
      </c>
      <c r="J793" s="1056">
        <v>0</v>
      </c>
      <c r="K793" s="1063">
        <v>0</v>
      </c>
      <c r="L793" s="1056">
        <v>0</v>
      </c>
      <c r="M793" s="1063">
        <v>0</v>
      </c>
      <c r="N793" s="1056">
        <v>0</v>
      </c>
      <c r="O793" s="1056">
        <v>457</v>
      </c>
      <c r="P793" s="1056">
        <v>1387537</v>
      </c>
      <c r="Q793" s="1056">
        <v>0</v>
      </c>
      <c r="R793" s="1056">
        <v>0</v>
      </c>
      <c r="S793" s="1056">
        <v>0</v>
      </c>
      <c r="T793" s="1056">
        <v>0</v>
      </c>
      <c r="U793" s="1056">
        <v>0</v>
      </c>
      <c r="V793" s="1056">
        <v>0</v>
      </c>
      <c r="W793" s="1056">
        <v>0</v>
      </c>
      <c r="X793" s="1056">
        <v>0</v>
      </c>
      <c r="Y793" s="1056">
        <v>0</v>
      </c>
      <c r="Z793" s="1056">
        <v>27728</v>
      </c>
      <c r="AA793" s="1056">
        <v>0</v>
      </c>
    </row>
    <row r="794" spans="1:27" s="1079" customFormat="1" ht="106.9" customHeight="1">
      <c r="A794" s="1322">
        <v>301</v>
      </c>
      <c r="B794" s="1062" t="s">
        <v>1438</v>
      </c>
      <c r="C794" s="1056">
        <f t="shared" ref="C794:C795" si="439">D794+N794+P794+R794+T794+X794+Z794</f>
        <v>2957358.1300000004</v>
      </c>
      <c r="D794" s="1056">
        <f t="shared" ref="D794:D795" si="440">SUM(E794:J794)</f>
        <v>0</v>
      </c>
      <c r="E794" s="1056">
        <v>0</v>
      </c>
      <c r="F794" s="1056">
        <v>0</v>
      </c>
      <c r="G794" s="1056">
        <v>0</v>
      </c>
      <c r="H794" s="1056">
        <v>0</v>
      </c>
      <c r="I794" s="1056">
        <v>0</v>
      </c>
      <c r="J794" s="1056">
        <v>0</v>
      </c>
      <c r="K794" s="1063">
        <v>0</v>
      </c>
      <c r="L794" s="1056">
        <v>0</v>
      </c>
      <c r="M794" s="1063">
        <v>0</v>
      </c>
      <c r="N794" s="1056">
        <v>0</v>
      </c>
      <c r="O794" s="1056">
        <v>590</v>
      </c>
      <c r="P794" s="1056">
        <v>2742550.93</v>
      </c>
      <c r="Q794" s="1056">
        <v>0</v>
      </c>
      <c r="R794" s="1056">
        <v>0</v>
      </c>
      <c r="S794" s="1056">
        <v>0</v>
      </c>
      <c r="T794" s="1056">
        <v>0</v>
      </c>
      <c r="U794" s="1056">
        <v>0</v>
      </c>
      <c r="V794" s="1056">
        <v>0</v>
      </c>
      <c r="W794" s="1056">
        <v>0</v>
      </c>
      <c r="X794" s="1056">
        <v>0</v>
      </c>
      <c r="Y794" s="1056">
        <v>0</v>
      </c>
      <c r="Z794" s="1056">
        <v>214807.2</v>
      </c>
      <c r="AA794" s="1056">
        <v>0</v>
      </c>
    </row>
    <row r="795" spans="1:27" s="1079" customFormat="1" ht="121.15" customHeight="1">
      <c r="A795" s="1322">
        <v>302</v>
      </c>
      <c r="B795" s="1062" t="s">
        <v>1318</v>
      </c>
      <c r="C795" s="1056">
        <f t="shared" si="439"/>
        <v>2688304.17</v>
      </c>
      <c r="D795" s="1056">
        <f t="shared" si="440"/>
        <v>2493039.66</v>
      </c>
      <c r="E795" s="1056">
        <v>0</v>
      </c>
      <c r="F795" s="1056">
        <v>2493039.66</v>
      </c>
      <c r="G795" s="1056">
        <v>0</v>
      </c>
      <c r="H795" s="1056">
        <v>0</v>
      </c>
      <c r="I795" s="1056">
        <v>0</v>
      </c>
      <c r="J795" s="1056">
        <v>0</v>
      </c>
      <c r="K795" s="1063">
        <v>0</v>
      </c>
      <c r="L795" s="1056">
        <v>0</v>
      </c>
      <c r="M795" s="1063">
        <v>0</v>
      </c>
      <c r="N795" s="1056">
        <v>0</v>
      </c>
      <c r="O795" s="1056">
        <v>0</v>
      </c>
      <c r="P795" s="1056">
        <v>0</v>
      </c>
      <c r="Q795" s="1056">
        <v>0</v>
      </c>
      <c r="R795" s="1056">
        <v>0</v>
      </c>
      <c r="S795" s="1056">
        <v>0</v>
      </c>
      <c r="T795" s="1056">
        <v>0</v>
      </c>
      <c r="U795" s="1056">
        <v>0</v>
      </c>
      <c r="V795" s="1056">
        <v>0</v>
      </c>
      <c r="W795" s="1056">
        <v>0</v>
      </c>
      <c r="X795" s="1056">
        <v>0</v>
      </c>
      <c r="Y795" s="1056">
        <v>0</v>
      </c>
      <c r="Z795" s="1056">
        <v>195264.51</v>
      </c>
      <c r="AA795" s="1056">
        <v>0</v>
      </c>
    </row>
    <row r="796" spans="1:27" s="1079" customFormat="1" ht="128.44999999999999" customHeight="1">
      <c r="A796" s="1322"/>
      <c r="B796" s="1062" t="s">
        <v>1098</v>
      </c>
      <c r="C796" s="1056">
        <f t="shared" ref="C796:T796" si="441">SUM(C797:C802)</f>
        <v>16602700.220000003</v>
      </c>
      <c r="D796" s="1056">
        <f t="shared" si="441"/>
        <v>640110.46</v>
      </c>
      <c r="E796" s="1056">
        <f t="shared" si="441"/>
        <v>640110.46</v>
      </c>
      <c r="F796" s="1056">
        <f t="shared" si="441"/>
        <v>0</v>
      </c>
      <c r="G796" s="1056">
        <f t="shared" si="441"/>
        <v>0</v>
      </c>
      <c r="H796" s="1056">
        <f t="shared" si="441"/>
        <v>0</v>
      </c>
      <c r="I796" s="1056">
        <f t="shared" si="441"/>
        <v>0</v>
      </c>
      <c r="J796" s="1056">
        <f t="shared" si="441"/>
        <v>0</v>
      </c>
      <c r="K796" s="1063">
        <f t="shared" si="441"/>
        <v>0</v>
      </c>
      <c r="L796" s="1056">
        <f t="shared" si="441"/>
        <v>0</v>
      </c>
      <c r="M796" s="1063">
        <f t="shared" si="441"/>
        <v>0</v>
      </c>
      <c r="N796" s="1056">
        <f t="shared" si="441"/>
        <v>0</v>
      </c>
      <c r="O796" s="1056">
        <f t="shared" si="441"/>
        <v>3582.9</v>
      </c>
      <c r="P796" s="1056">
        <f t="shared" si="441"/>
        <v>14974331.83</v>
      </c>
      <c r="Q796" s="1056">
        <f t="shared" si="441"/>
        <v>0</v>
      </c>
      <c r="R796" s="1056">
        <f t="shared" si="441"/>
        <v>0</v>
      </c>
      <c r="S796" s="1056">
        <f t="shared" si="441"/>
        <v>0</v>
      </c>
      <c r="T796" s="1056">
        <f t="shared" si="441"/>
        <v>0</v>
      </c>
      <c r="U796" s="1056">
        <v>0</v>
      </c>
      <c r="V796" s="1056">
        <v>0</v>
      </c>
      <c r="W796" s="1056">
        <f>SUM(W797:W802)</f>
        <v>0</v>
      </c>
      <c r="X796" s="1056">
        <f>SUM(X797:X802)</f>
        <v>0</v>
      </c>
      <c r="Y796" s="1056">
        <v>0</v>
      </c>
      <c r="Z796" s="1056">
        <f>SUM(Z797:Z802)</f>
        <v>988257.92999999993</v>
      </c>
      <c r="AA796" s="1056">
        <f>SUM(AA797:AA802)</f>
        <v>0</v>
      </c>
    </row>
    <row r="797" spans="1:27" s="1079" customFormat="1" ht="128.44999999999999" customHeight="1">
      <c r="A797" s="1322">
        <v>303</v>
      </c>
      <c r="B797" s="1055" t="s">
        <v>1220</v>
      </c>
      <c r="C797" s="1056">
        <f t="shared" ref="C797:C802" si="442">D797+N797+P797+R797+T797+X797+Z797</f>
        <v>3066572.83</v>
      </c>
      <c r="D797" s="1056">
        <f t="shared" ref="D797:D802" si="443">SUM(E797:J797)</f>
        <v>0</v>
      </c>
      <c r="E797" s="1056">
        <v>0</v>
      </c>
      <c r="F797" s="1056">
        <v>0</v>
      </c>
      <c r="G797" s="1056">
        <v>0</v>
      </c>
      <c r="H797" s="1056">
        <v>0</v>
      </c>
      <c r="I797" s="1056">
        <v>0</v>
      </c>
      <c r="J797" s="1056">
        <v>0</v>
      </c>
      <c r="K797" s="1063">
        <v>0</v>
      </c>
      <c r="L797" s="1056">
        <v>0</v>
      </c>
      <c r="M797" s="1063">
        <v>0</v>
      </c>
      <c r="N797" s="1056">
        <v>0</v>
      </c>
      <c r="O797" s="1056">
        <v>599</v>
      </c>
      <c r="P797" s="1056">
        <v>2948353.83</v>
      </c>
      <c r="Q797" s="1056">
        <v>0</v>
      </c>
      <c r="R797" s="1056">
        <v>0</v>
      </c>
      <c r="S797" s="1056">
        <v>0</v>
      </c>
      <c r="T797" s="1056">
        <v>0</v>
      </c>
      <c r="U797" s="1056">
        <v>0</v>
      </c>
      <c r="V797" s="1056">
        <v>0</v>
      </c>
      <c r="W797" s="1056">
        <v>0</v>
      </c>
      <c r="X797" s="1056">
        <v>0</v>
      </c>
      <c r="Y797" s="1056">
        <v>0</v>
      </c>
      <c r="Z797" s="1056">
        <v>118219</v>
      </c>
      <c r="AA797" s="1056">
        <v>0</v>
      </c>
    </row>
    <row r="798" spans="1:27" s="1079" customFormat="1" ht="109.15" customHeight="1">
      <c r="A798" s="1322">
        <v>304</v>
      </c>
      <c r="B798" s="1055" t="s">
        <v>1221</v>
      </c>
      <c r="C798" s="1056">
        <f t="shared" si="442"/>
        <v>3242499.05</v>
      </c>
      <c r="D798" s="1056">
        <f t="shared" si="443"/>
        <v>0</v>
      </c>
      <c r="E798" s="1056">
        <v>0</v>
      </c>
      <c r="F798" s="1056">
        <v>0</v>
      </c>
      <c r="G798" s="1056">
        <v>0</v>
      </c>
      <c r="H798" s="1056">
        <v>0</v>
      </c>
      <c r="I798" s="1056">
        <v>0</v>
      </c>
      <c r="J798" s="1056">
        <v>0</v>
      </c>
      <c r="K798" s="1063">
        <v>0</v>
      </c>
      <c r="L798" s="1056">
        <v>0</v>
      </c>
      <c r="M798" s="1063">
        <v>0</v>
      </c>
      <c r="N798" s="1056">
        <v>0</v>
      </c>
      <c r="O798" s="1056">
        <v>633.9</v>
      </c>
      <c r="P798" s="1056">
        <v>3120136.05</v>
      </c>
      <c r="Q798" s="1056">
        <v>0</v>
      </c>
      <c r="R798" s="1056">
        <v>0</v>
      </c>
      <c r="S798" s="1056">
        <v>0</v>
      </c>
      <c r="T798" s="1056">
        <v>0</v>
      </c>
      <c r="U798" s="1056">
        <v>0</v>
      </c>
      <c r="V798" s="1056">
        <v>0</v>
      </c>
      <c r="W798" s="1056">
        <v>0</v>
      </c>
      <c r="X798" s="1056">
        <v>0</v>
      </c>
      <c r="Y798" s="1056">
        <v>0</v>
      </c>
      <c r="Z798" s="1056">
        <v>122363</v>
      </c>
      <c r="AA798" s="1056">
        <v>0</v>
      </c>
    </row>
    <row r="799" spans="1:27" s="1079" customFormat="1" ht="104.45" customHeight="1">
      <c r="A799" s="1322">
        <v>305</v>
      </c>
      <c r="B799" s="1055" t="s">
        <v>1200</v>
      </c>
      <c r="C799" s="1056">
        <f t="shared" si="442"/>
        <v>1961218.9200000002</v>
      </c>
      <c r="D799" s="1056">
        <f t="shared" si="443"/>
        <v>0</v>
      </c>
      <c r="E799" s="1056">
        <v>0</v>
      </c>
      <c r="F799" s="1056">
        <v>0</v>
      </c>
      <c r="G799" s="1056">
        <v>0</v>
      </c>
      <c r="H799" s="1056">
        <v>0</v>
      </c>
      <c r="I799" s="1056">
        <v>0</v>
      </c>
      <c r="J799" s="1056">
        <v>0</v>
      </c>
      <c r="K799" s="1063">
        <v>0</v>
      </c>
      <c r="L799" s="1056">
        <v>0</v>
      </c>
      <c r="M799" s="1063">
        <v>0</v>
      </c>
      <c r="N799" s="1056">
        <v>0</v>
      </c>
      <c r="O799" s="1056">
        <v>460</v>
      </c>
      <c r="P799" s="1056">
        <v>1818766.12</v>
      </c>
      <c r="Q799" s="1056">
        <v>0</v>
      </c>
      <c r="R799" s="1056">
        <v>0</v>
      </c>
      <c r="S799" s="1056">
        <v>0</v>
      </c>
      <c r="T799" s="1056">
        <v>0</v>
      </c>
      <c r="U799" s="1056">
        <v>0</v>
      </c>
      <c r="V799" s="1056">
        <v>0</v>
      </c>
      <c r="W799" s="1056">
        <v>0</v>
      </c>
      <c r="X799" s="1056">
        <v>0</v>
      </c>
      <c r="Y799" s="1056">
        <v>0</v>
      </c>
      <c r="Z799" s="1056">
        <v>142452.79999999999</v>
      </c>
      <c r="AA799" s="1056">
        <v>0</v>
      </c>
    </row>
    <row r="800" spans="1:27" s="1079" customFormat="1" ht="90.6" customHeight="1">
      <c r="A800" s="1322">
        <v>306</v>
      </c>
      <c r="B800" s="1055" t="s">
        <v>1201</v>
      </c>
      <c r="C800" s="1056">
        <f t="shared" ref="C800" si="444">D800+N800+P800+R800+T800+X800+Z800</f>
        <v>2856558</v>
      </c>
      <c r="D800" s="1056">
        <f t="shared" ref="D800" si="445">SUM(E800:J800)</f>
        <v>0</v>
      </c>
      <c r="E800" s="1056">
        <v>0</v>
      </c>
      <c r="F800" s="1056">
        <v>0</v>
      </c>
      <c r="G800" s="1056">
        <v>0</v>
      </c>
      <c r="H800" s="1056">
        <v>0</v>
      </c>
      <c r="I800" s="1056">
        <v>0</v>
      </c>
      <c r="J800" s="1056">
        <v>0</v>
      </c>
      <c r="K800" s="1063">
        <v>0</v>
      </c>
      <c r="L800" s="1056">
        <v>0</v>
      </c>
      <c r="M800" s="1063">
        <v>0</v>
      </c>
      <c r="N800" s="1056">
        <v>0</v>
      </c>
      <c r="O800" s="1056">
        <v>670</v>
      </c>
      <c r="P800" s="1056">
        <v>2649072.4</v>
      </c>
      <c r="Q800" s="1056">
        <v>0</v>
      </c>
      <c r="R800" s="1056">
        <v>0</v>
      </c>
      <c r="S800" s="1056">
        <v>0</v>
      </c>
      <c r="T800" s="1056">
        <v>0</v>
      </c>
      <c r="U800" s="1056">
        <v>0</v>
      </c>
      <c r="V800" s="1056">
        <v>0</v>
      </c>
      <c r="W800" s="1056">
        <v>0</v>
      </c>
      <c r="X800" s="1056">
        <v>0</v>
      </c>
      <c r="Y800" s="1056">
        <v>0</v>
      </c>
      <c r="Z800" s="1056">
        <v>207485.6</v>
      </c>
      <c r="AA800" s="1056">
        <v>0</v>
      </c>
    </row>
    <row r="801" spans="1:27" s="1079" customFormat="1" ht="88.15" customHeight="1">
      <c r="A801" s="1322">
        <v>307</v>
      </c>
      <c r="B801" s="1055" t="s">
        <v>1209</v>
      </c>
      <c r="C801" s="1056">
        <f t="shared" si="442"/>
        <v>3163087.64</v>
      </c>
      <c r="D801" s="1056">
        <f t="shared" si="443"/>
        <v>640110.46</v>
      </c>
      <c r="E801" s="1056">
        <v>640110.46</v>
      </c>
      <c r="F801" s="1056">
        <v>0</v>
      </c>
      <c r="G801" s="1056">
        <v>0</v>
      </c>
      <c r="H801" s="1056">
        <v>0</v>
      </c>
      <c r="I801" s="1056">
        <v>0</v>
      </c>
      <c r="J801" s="1056">
        <v>0</v>
      </c>
      <c r="K801" s="1063">
        <v>0</v>
      </c>
      <c r="L801" s="1056">
        <v>0</v>
      </c>
      <c r="M801" s="1063">
        <v>0</v>
      </c>
      <c r="N801" s="1056">
        <v>0</v>
      </c>
      <c r="O801" s="1056">
        <v>580</v>
      </c>
      <c r="P801" s="1056">
        <v>2293226.85</v>
      </c>
      <c r="Q801" s="1056">
        <v>0</v>
      </c>
      <c r="R801" s="1056">
        <v>0</v>
      </c>
      <c r="S801" s="1056">
        <v>0</v>
      </c>
      <c r="T801" s="1056">
        <v>0</v>
      </c>
      <c r="U801" s="1056">
        <v>0</v>
      </c>
      <c r="V801" s="1056">
        <v>0</v>
      </c>
      <c r="W801" s="1056">
        <v>0</v>
      </c>
      <c r="X801" s="1056">
        <v>0</v>
      </c>
      <c r="Y801" s="1056">
        <v>0</v>
      </c>
      <c r="Z801" s="1056">
        <v>229750.33</v>
      </c>
      <c r="AA801" s="1056">
        <v>0</v>
      </c>
    </row>
    <row r="802" spans="1:27" s="1079" customFormat="1" ht="109.15" customHeight="1">
      <c r="A802" s="1322">
        <v>308</v>
      </c>
      <c r="B802" s="1055" t="s">
        <v>1601</v>
      </c>
      <c r="C802" s="1056">
        <f t="shared" si="442"/>
        <v>2312763.7800000003</v>
      </c>
      <c r="D802" s="1056">
        <f t="shared" si="443"/>
        <v>0</v>
      </c>
      <c r="E802" s="1056">
        <v>0</v>
      </c>
      <c r="F802" s="1056">
        <v>0</v>
      </c>
      <c r="G802" s="1056">
        <v>0</v>
      </c>
      <c r="H802" s="1056">
        <v>0</v>
      </c>
      <c r="I802" s="1056">
        <v>0</v>
      </c>
      <c r="J802" s="1056">
        <v>0</v>
      </c>
      <c r="K802" s="1063">
        <v>0</v>
      </c>
      <c r="L802" s="1056">
        <v>0</v>
      </c>
      <c r="M802" s="1063">
        <v>0</v>
      </c>
      <c r="N802" s="1056">
        <v>0</v>
      </c>
      <c r="O802" s="1056">
        <v>640</v>
      </c>
      <c r="P802" s="1056">
        <v>2144776.58</v>
      </c>
      <c r="Q802" s="1056">
        <v>0</v>
      </c>
      <c r="R802" s="1056">
        <v>0</v>
      </c>
      <c r="S802" s="1056">
        <v>0</v>
      </c>
      <c r="T802" s="1056">
        <v>0</v>
      </c>
      <c r="U802" s="1056">
        <v>0</v>
      </c>
      <c r="V802" s="1056">
        <v>0</v>
      </c>
      <c r="W802" s="1056">
        <v>0</v>
      </c>
      <c r="X802" s="1056">
        <v>0</v>
      </c>
      <c r="Y802" s="1056">
        <v>0</v>
      </c>
      <c r="Z802" s="1056">
        <v>167987.20000000001</v>
      </c>
      <c r="AA802" s="1056">
        <v>0</v>
      </c>
    </row>
    <row r="803" spans="1:27" s="1079" customFormat="1" ht="85.9" customHeight="1">
      <c r="A803" s="1322"/>
      <c r="B803" s="1062" t="s">
        <v>1238</v>
      </c>
      <c r="C803" s="1056">
        <f>C804+C805+C806</f>
        <v>5798049.5999999996</v>
      </c>
      <c r="D803" s="1056">
        <f t="shared" ref="D803:AA803" si="446">D804+D805+D806</f>
        <v>1204429.98</v>
      </c>
      <c r="E803" s="1056">
        <f t="shared" si="446"/>
        <v>0</v>
      </c>
      <c r="F803" s="1056">
        <f t="shared" si="446"/>
        <v>1204429.98</v>
      </c>
      <c r="G803" s="1056">
        <f t="shared" si="446"/>
        <v>0</v>
      </c>
      <c r="H803" s="1056">
        <f t="shared" si="446"/>
        <v>0</v>
      </c>
      <c r="I803" s="1056">
        <f t="shared" si="446"/>
        <v>0</v>
      </c>
      <c r="J803" s="1056">
        <f t="shared" si="446"/>
        <v>0</v>
      </c>
      <c r="K803" s="1056">
        <f t="shared" si="446"/>
        <v>0</v>
      </c>
      <c r="L803" s="1056">
        <f t="shared" si="446"/>
        <v>0</v>
      </c>
      <c r="M803" s="1056">
        <f t="shared" si="446"/>
        <v>0</v>
      </c>
      <c r="N803" s="1056">
        <f t="shared" si="446"/>
        <v>0</v>
      </c>
      <c r="O803" s="1056">
        <f t="shared" si="446"/>
        <v>1430.3</v>
      </c>
      <c r="P803" s="1056">
        <f t="shared" si="446"/>
        <v>4172480</v>
      </c>
      <c r="Q803" s="1056">
        <f t="shared" si="446"/>
        <v>0</v>
      </c>
      <c r="R803" s="1056">
        <f t="shared" si="446"/>
        <v>0</v>
      </c>
      <c r="S803" s="1056">
        <f t="shared" si="446"/>
        <v>0</v>
      </c>
      <c r="T803" s="1056">
        <f t="shared" si="446"/>
        <v>0</v>
      </c>
      <c r="U803" s="1056">
        <f t="shared" si="446"/>
        <v>0</v>
      </c>
      <c r="V803" s="1056">
        <f t="shared" si="446"/>
        <v>0</v>
      </c>
      <c r="W803" s="1056">
        <f t="shared" si="446"/>
        <v>0</v>
      </c>
      <c r="X803" s="1056">
        <f t="shared" si="446"/>
        <v>0</v>
      </c>
      <c r="Y803" s="1056">
        <f t="shared" si="446"/>
        <v>0</v>
      </c>
      <c r="Z803" s="1056">
        <f t="shared" si="446"/>
        <v>421139.62</v>
      </c>
      <c r="AA803" s="1056">
        <f t="shared" si="446"/>
        <v>0</v>
      </c>
    </row>
    <row r="804" spans="1:27" s="1079" customFormat="1" ht="139.9" customHeight="1">
      <c r="A804" s="1322">
        <v>309</v>
      </c>
      <c r="B804" s="1062" t="s">
        <v>1241</v>
      </c>
      <c r="C804" s="1056">
        <f t="shared" ref="C804" si="447">D804+N804+P804+R804+T804+X804+Z804</f>
        <v>1298765.6000000001</v>
      </c>
      <c r="D804" s="1056">
        <f t="shared" ref="D804" si="448">SUM(E804:J804)</f>
        <v>1204429.98</v>
      </c>
      <c r="E804" s="1056">
        <v>0</v>
      </c>
      <c r="F804" s="1056">
        <v>1204429.98</v>
      </c>
      <c r="G804" s="1056">
        <v>0</v>
      </c>
      <c r="H804" s="1056">
        <v>0</v>
      </c>
      <c r="I804" s="1056">
        <v>0</v>
      </c>
      <c r="J804" s="1056">
        <v>0</v>
      </c>
      <c r="K804" s="1063">
        <v>0</v>
      </c>
      <c r="L804" s="1056">
        <v>0</v>
      </c>
      <c r="M804" s="1063">
        <v>0</v>
      </c>
      <c r="N804" s="1056">
        <v>0</v>
      </c>
      <c r="O804" s="1056">
        <v>0</v>
      </c>
      <c r="P804" s="1056">
        <v>0</v>
      </c>
      <c r="Q804" s="1056">
        <v>0</v>
      </c>
      <c r="R804" s="1056">
        <v>0</v>
      </c>
      <c r="S804" s="1056">
        <v>0</v>
      </c>
      <c r="T804" s="1056">
        <v>0</v>
      </c>
      <c r="U804" s="1056">
        <v>0</v>
      </c>
      <c r="V804" s="1056">
        <v>0</v>
      </c>
      <c r="W804" s="1056">
        <v>0</v>
      </c>
      <c r="X804" s="1056">
        <v>0</v>
      </c>
      <c r="Y804" s="1056">
        <v>0</v>
      </c>
      <c r="Z804" s="1056">
        <v>94335.62</v>
      </c>
      <c r="AA804" s="1056">
        <v>0</v>
      </c>
    </row>
    <row r="805" spans="1:27" s="1079" customFormat="1" ht="139.9" customHeight="1">
      <c r="A805" s="1322">
        <v>310</v>
      </c>
      <c r="B805" s="1062" t="s">
        <v>1240</v>
      </c>
      <c r="C805" s="1056">
        <f t="shared" ref="C805" si="449">D805+N805+P805+R805+T805+X805+Z805</f>
        <v>1861026</v>
      </c>
      <c r="D805" s="1056">
        <f t="shared" ref="D805" si="450">SUM(E805:J805)</f>
        <v>0</v>
      </c>
      <c r="E805" s="1056">
        <v>0</v>
      </c>
      <c r="F805" s="1056">
        <v>0</v>
      </c>
      <c r="G805" s="1056">
        <v>0</v>
      </c>
      <c r="H805" s="1056">
        <v>0</v>
      </c>
      <c r="I805" s="1056">
        <v>0</v>
      </c>
      <c r="J805" s="1056">
        <v>0</v>
      </c>
      <c r="K805" s="1063">
        <v>0</v>
      </c>
      <c r="L805" s="1056">
        <v>0</v>
      </c>
      <c r="M805" s="1063">
        <v>0</v>
      </c>
      <c r="N805" s="1056">
        <v>0</v>
      </c>
      <c r="O805" s="1056">
        <v>662.8</v>
      </c>
      <c r="P805" s="1056">
        <v>1725851</v>
      </c>
      <c r="Q805" s="1070">
        <v>0</v>
      </c>
      <c r="R805" s="1056">
        <v>0</v>
      </c>
      <c r="S805" s="1056">
        <v>0</v>
      </c>
      <c r="T805" s="1056">
        <v>0</v>
      </c>
      <c r="U805" s="1056">
        <v>0</v>
      </c>
      <c r="V805" s="1056">
        <v>0</v>
      </c>
      <c r="W805" s="1070">
        <v>0</v>
      </c>
      <c r="X805" s="1056">
        <v>0</v>
      </c>
      <c r="Y805" s="1056">
        <v>0</v>
      </c>
      <c r="Z805" s="1056">
        <v>135175</v>
      </c>
      <c r="AA805" s="1056">
        <v>0</v>
      </c>
    </row>
    <row r="806" spans="1:27" s="1079" customFormat="1" ht="139.9" customHeight="1">
      <c r="A806" s="1322">
        <v>311</v>
      </c>
      <c r="B806" s="1062" t="s">
        <v>2045</v>
      </c>
      <c r="C806" s="1056">
        <f>D806+N806+P806+R806+T806+X806+Z806</f>
        <v>2638258</v>
      </c>
      <c r="D806" s="1056">
        <f>SUM(E806:J806)</f>
        <v>0</v>
      </c>
      <c r="E806" s="1056">
        <v>0</v>
      </c>
      <c r="F806" s="1056">
        <v>0</v>
      </c>
      <c r="G806" s="1056">
        <v>0</v>
      </c>
      <c r="H806" s="1056">
        <v>0</v>
      </c>
      <c r="I806" s="1056">
        <v>0</v>
      </c>
      <c r="J806" s="1056">
        <v>0</v>
      </c>
      <c r="K806" s="1063">
        <v>0</v>
      </c>
      <c r="L806" s="1056">
        <v>0</v>
      </c>
      <c r="M806" s="1063">
        <v>0</v>
      </c>
      <c r="N806" s="1056">
        <v>0</v>
      </c>
      <c r="O806" s="1056">
        <v>767.5</v>
      </c>
      <c r="P806" s="1056">
        <v>2446629</v>
      </c>
      <c r="Q806" s="1056">
        <v>0</v>
      </c>
      <c r="R806" s="1056">
        <v>0</v>
      </c>
      <c r="S806" s="1056">
        <v>0</v>
      </c>
      <c r="T806" s="1056">
        <v>0</v>
      </c>
      <c r="U806" s="1076">
        <v>0</v>
      </c>
      <c r="V806" s="1076">
        <v>0</v>
      </c>
      <c r="W806" s="1056">
        <v>0</v>
      </c>
      <c r="X806" s="1056">
        <v>0</v>
      </c>
      <c r="Y806" s="1056">
        <v>0</v>
      </c>
      <c r="Z806" s="1056">
        <v>191629</v>
      </c>
      <c r="AA806" s="1056">
        <v>0</v>
      </c>
    </row>
    <row r="807" spans="1:27" s="1079" customFormat="1" ht="139.9" customHeight="1">
      <c r="A807" s="1322"/>
      <c r="B807" s="1062" t="s">
        <v>49</v>
      </c>
      <c r="C807" s="1056">
        <f>C808+C810+C816+C820+C822+C814</f>
        <v>27352279.659999996</v>
      </c>
      <c r="D807" s="1056">
        <f t="shared" ref="D807:AA807" si="451">D808+D810+D816+D820+D822+D814</f>
        <v>5657701</v>
      </c>
      <c r="E807" s="1056">
        <f t="shared" si="451"/>
        <v>0</v>
      </c>
      <c r="F807" s="1056">
        <f t="shared" si="451"/>
        <v>5657701</v>
      </c>
      <c r="G807" s="1056">
        <f t="shared" si="451"/>
        <v>0</v>
      </c>
      <c r="H807" s="1056">
        <f t="shared" si="451"/>
        <v>0</v>
      </c>
      <c r="I807" s="1056">
        <f t="shared" si="451"/>
        <v>0</v>
      </c>
      <c r="J807" s="1056">
        <f t="shared" si="451"/>
        <v>0</v>
      </c>
      <c r="K807" s="1056">
        <f t="shared" si="451"/>
        <v>0</v>
      </c>
      <c r="L807" s="1056">
        <f t="shared" si="451"/>
        <v>0</v>
      </c>
      <c r="M807" s="1056">
        <f t="shared" si="451"/>
        <v>0</v>
      </c>
      <c r="N807" s="1056">
        <f t="shared" si="451"/>
        <v>0</v>
      </c>
      <c r="O807" s="1056">
        <f t="shared" si="451"/>
        <v>5484.05</v>
      </c>
      <c r="P807" s="1056">
        <f t="shared" si="451"/>
        <v>19962725.66</v>
      </c>
      <c r="Q807" s="1056">
        <f t="shared" si="451"/>
        <v>0</v>
      </c>
      <c r="R807" s="1056">
        <f t="shared" si="451"/>
        <v>0</v>
      </c>
      <c r="S807" s="1056">
        <f t="shared" si="451"/>
        <v>0</v>
      </c>
      <c r="T807" s="1056">
        <f t="shared" si="451"/>
        <v>0</v>
      </c>
      <c r="U807" s="1056">
        <f t="shared" si="451"/>
        <v>0</v>
      </c>
      <c r="V807" s="1056">
        <f t="shared" si="451"/>
        <v>0</v>
      </c>
      <c r="W807" s="1056">
        <f t="shared" si="451"/>
        <v>0</v>
      </c>
      <c r="X807" s="1056">
        <f t="shared" si="451"/>
        <v>0</v>
      </c>
      <c r="Y807" s="1056">
        <f t="shared" si="451"/>
        <v>0</v>
      </c>
      <c r="Z807" s="1056">
        <f t="shared" si="451"/>
        <v>1731853</v>
      </c>
      <c r="AA807" s="1056">
        <f t="shared" si="451"/>
        <v>0</v>
      </c>
    </row>
    <row r="808" spans="1:27" s="1079" customFormat="1" ht="90.6" customHeight="1">
      <c r="A808" s="1322"/>
      <c r="B808" s="1062" t="s">
        <v>1056</v>
      </c>
      <c r="C808" s="1056">
        <f>C809</f>
        <v>2674133</v>
      </c>
      <c r="D808" s="1056">
        <f t="shared" ref="D808:AA808" si="452">D809</f>
        <v>0</v>
      </c>
      <c r="E808" s="1056">
        <f t="shared" si="452"/>
        <v>0</v>
      </c>
      <c r="F808" s="1056">
        <f t="shared" si="452"/>
        <v>0</v>
      </c>
      <c r="G808" s="1056">
        <f t="shared" si="452"/>
        <v>0</v>
      </c>
      <c r="H808" s="1056">
        <f t="shared" si="452"/>
        <v>0</v>
      </c>
      <c r="I808" s="1056">
        <f t="shared" si="452"/>
        <v>0</v>
      </c>
      <c r="J808" s="1056">
        <f t="shared" si="452"/>
        <v>0</v>
      </c>
      <c r="K808" s="1056">
        <f t="shared" si="452"/>
        <v>0</v>
      </c>
      <c r="L808" s="1056">
        <f t="shared" si="452"/>
        <v>0</v>
      </c>
      <c r="M808" s="1056">
        <f t="shared" si="452"/>
        <v>0</v>
      </c>
      <c r="N808" s="1056">
        <f t="shared" si="452"/>
        <v>0</v>
      </c>
      <c r="O808" s="1056">
        <f t="shared" si="452"/>
        <v>740</v>
      </c>
      <c r="P808" s="1056">
        <f t="shared" si="452"/>
        <v>2479898</v>
      </c>
      <c r="Q808" s="1056">
        <f t="shared" si="452"/>
        <v>0</v>
      </c>
      <c r="R808" s="1056">
        <f t="shared" si="452"/>
        <v>0</v>
      </c>
      <c r="S808" s="1056">
        <f t="shared" si="452"/>
        <v>0</v>
      </c>
      <c r="T808" s="1056">
        <f t="shared" si="452"/>
        <v>0</v>
      </c>
      <c r="U808" s="1056">
        <f t="shared" si="452"/>
        <v>0</v>
      </c>
      <c r="V808" s="1056">
        <f t="shared" si="452"/>
        <v>0</v>
      </c>
      <c r="W808" s="1056">
        <f t="shared" si="452"/>
        <v>0</v>
      </c>
      <c r="X808" s="1056">
        <f t="shared" si="452"/>
        <v>0</v>
      </c>
      <c r="Y808" s="1056">
        <f t="shared" si="452"/>
        <v>0</v>
      </c>
      <c r="Z808" s="1056">
        <f t="shared" si="452"/>
        <v>194235</v>
      </c>
      <c r="AA808" s="1056">
        <f t="shared" si="452"/>
        <v>0</v>
      </c>
    </row>
    <row r="809" spans="1:27" s="1079" customFormat="1" ht="139.9" customHeight="1">
      <c r="A809" s="1322">
        <v>312</v>
      </c>
      <c r="B809" s="1055" t="s">
        <v>1226</v>
      </c>
      <c r="C809" s="1056">
        <f t="shared" ref="C809" si="453">D809+N809+P809+R809+T809+X809+Z809</f>
        <v>2674133</v>
      </c>
      <c r="D809" s="1056">
        <f t="shared" ref="D809" si="454">SUM(E809:J809)</f>
        <v>0</v>
      </c>
      <c r="E809" s="1056">
        <v>0</v>
      </c>
      <c r="F809" s="1056">
        <v>0</v>
      </c>
      <c r="G809" s="1056">
        <v>0</v>
      </c>
      <c r="H809" s="1056">
        <v>0</v>
      </c>
      <c r="I809" s="1056">
        <v>0</v>
      </c>
      <c r="J809" s="1056">
        <v>0</v>
      </c>
      <c r="K809" s="1063">
        <v>0</v>
      </c>
      <c r="L809" s="1056">
        <v>0</v>
      </c>
      <c r="M809" s="1063">
        <v>0</v>
      </c>
      <c r="N809" s="1056">
        <v>0</v>
      </c>
      <c r="O809" s="1056">
        <v>740</v>
      </c>
      <c r="P809" s="1056">
        <v>2479898</v>
      </c>
      <c r="Q809" s="1056">
        <v>0</v>
      </c>
      <c r="R809" s="1056">
        <v>0</v>
      </c>
      <c r="S809" s="1056">
        <v>0</v>
      </c>
      <c r="T809" s="1056">
        <v>0</v>
      </c>
      <c r="U809" s="1056">
        <v>0</v>
      </c>
      <c r="V809" s="1056">
        <v>0</v>
      </c>
      <c r="W809" s="1056">
        <v>0</v>
      </c>
      <c r="X809" s="1056">
        <v>0</v>
      </c>
      <c r="Y809" s="1056">
        <v>0</v>
      </c>
      <c r="Z809" s="1056">
        <v>194235</v>
      </c>
      <c r="AA809" s="1056">
        <v>0</v>
      </c>
    </row>
    <row r="810" spans="1:27" s="1079" customFormat="1" ht="111.6" customHeight="1">
      <c r="A810" s="1322"/>
      <c r="B810" s="1062" t="s">
        <v>1087</v>
      </c>
      <c r="C810" s="1056">
        <f>C811+C812+C813</f>
        <v>11161450</v>
      </c>
      <c r="D810" s="1056">
        <f t="shared" ref="D810:AA810" si="455">D811+D812+D813</f>
        <v>5657701</v>
      </c>
      <c r="E810" s="1056">
        <f t="shared" si="455"/>
        <v>0</v>
      </c>
      <c r="F810" s="1056">
        <f t="shared" si="455"/>
        <v>5657701</v>
      </c>
      <c r="G810" s="1056">
        <f t="shared" si="455"/>
        <v>0</v>
      </c>
      <c r="H810" s="1056">
        <f t="shared" si="455"/>
        <v>0</v>
      </c>
      <c r="I810" s="1056">
        <f t="shared" si="455"/>
        <v>0</v>
      </c>
      <c r="J810" s="1056">
        <f t="shared" si="455"/>
        <v>0</v>
      </c>
      <c r="K810" s="1056">
        <f t="shared" si="455"/>
        <v>0</v>
      </c>
      <c r="L810" s="1056">
        <f t="shared" si="455"/>
        <v>0</v>
      </c>
      <c r="M810" s="1056">
        <f t="shared" si="455"/>
        <v>0</v>
      </c>
      <c r="N810" s="1056">
        <f t="shared" si="455"/>
        <v>0</v>
      </c>
      <c r="O810" s="1056">
        <f t="shared" si="455"/>
        <v>1400.4</v>
      </c>
      <c r="P810" s="1056">
        <f t="shared" si="455"/>
        <v>4693039</v>
      </c>
      <c r="Q810" s="1056">
        <f t="shared" si="455"/>
        <v>0</v>
      </c>
      <c r="R810" s="1056">
        <f t="shared" si="455"/>
        <v>0</v>
      </c>
      <c r="S810" s="1056">
        <f t="shared" si="455"/>
        <v>0</v>
      </c>
      <c r="T810" s="1056">
        <f t="shared" si="455"/>
        <v>0</v>
      </c>
      <c r="U810" s="1056">
        <f t="shared" si="455"/>
        <v>0</v>
      </c>
      <c r="V810" s="1056">
        <f t="shared" si="455"/>
        <v>0</v>
      </c>
      <c r="W810" s="1056">
        <f t="shared" si="455"/>
        <v>0</v>
      </c>
      <c r="X810" s="1056">
        <f t="shared" si="455"/>
        <v>0</v>
      </c>
      <c r="Y810" s="1056">
        <f t="shared" si="455"/>
        <v>0</v>
      </c>
      <c r="Z810" s="1056">
        <f t="shared" si="455"/>
        <v>810710</v>
      </c>
      <c r="AA810" s="1056">
        <f t="shared" si="455"/>
        <v>0</v>
      </c>
    </row>
    <row r="811" spans="1:27" s="1079" customFormat="1" ht="99.6" customHeight="1">
      <c r="A811" s="1322">
        <v>313</v>
      </c>
      <c r="B811" s="1055" t="s">
        <v>1223</v>
      </c>
      <c r="C811" s="1056">
        <f>D811+N811+P811+R811+T811+X811+Z811</f>
        <v>2523803</v>
      </c>
      <c r="D811" s="1056">
        <f t="shared" ref="D811:D813" si="456">SUM(E811:J811)</f>
        <v>0</v>
      </c>
      <c r="E811" s="1056">
        <v>0</v>
      </c>
      <c r="F811" s="1056">
        <v>0</v>
      </c>
      <c r="G811" s="1056">
        <v>0</v>
      </c>
      <c r="H811" s="1056">
        <v>0</v>
      </c>
      <c r="I811" s="1056">
        <v>0</v>
      </c>
      <c r="J811" s="1056">
        <v>0</v>
      </c>
      <c r="K811" s="1063">
        <v>0</v>
      </c>
      <c r="L811" s="1056">
        <v>0</v>
      </c>
      <c r="M811" s="1063">
        <v>0</v>
      </c>
      <c r="N811" s="1056">
        <v>0</v>
      </c>
      <c r="O811" s="1056">
        <v>698.4</v>
      </c>
      <c r="P811" s="1056">
        <v>2340487</v>
      </c>
      <c r="Q811" s="1056">
        <v>0</v>
      </c>
      <c r="R811" s="1056">
        <v>0</v>
      </c>
      <c r="S811" s="1056">
        <v>0</v>
      </c>
      <c r="T811" s="1056">
        <v>0</v>
      </c>
      <c r="U811" s="1056">
        <v>0</v>
      </c>
      <c r="V811" s="1056">
        <v>0</v>
      </c>
      <c r="W811" s="1056">
        <v>0</v>
      </c>
      <c r="X811" s="1056">
        <v>0</v>
      </c>
      <c r="Y811" s="1076">
        <v>0</v>
      </c>
      <c r="Z811" s="1056">
        <v>183316</v>
      </c>
      <c r="AA811" s="1056">
        <v>0</v>
      </c>
    </row>
    <row r="812" spans="1:27" s="1079" customFormat="1" ht="78.599999999999994" customHeight="1">
      <c r="A812" s="1322">
        <v>314</v>
      </c>
      <c r="B812" s="1055" t="s">
        <v>1224</v>
      </c>
      <c r="C812" s="1056">
        <f>D812+N812+P812+R812+T812+X812+Z812</f>
        <v>2536813</v>
      </c>
      <c r="D812" s="1056">
        <f t="shared" si="456"/>
        <v>0</v>
      </c>
      <c r="E812" s="1056">
        <v>0</v>
      </c>
      <c r="F812" s="1056">
        <v>0</v>
      </c>
      <c r="G812" s="1056">
        <v>0</v>
      </c>
      <c r="H812" s="1056">
        <v>0</v>
      </c>
      <c r="I812" s="1056">
        <v>0</v>
      </c>
      <c r="J812" s="1056">
        <v>0</v>
      </c>
      <c r="K812" s="1063">
        <v>0</v>
      </c>
      <c r="L812" s="1056">
        <v>0</v>
      </c>
      <c r="M812" s="1063">
        <v>0</v>
      </c>
      <c r="N812" s="1056">
        <v>0</v>
      </c>
      <c r="O812" s="1056">
        <v>702</v>
      </c>
      <c r="P812" s="1056">
        <v>2352552</v>
      </c>
      <c r="Q812" s="1056">
        <v>0</v>
      </c>
      <c r="R812" s="1056">
        <v>0</v>
      </c>
      <c r="S812" s="1056">
        <v>0</v>
      </c>
      <c r="T812" s="1056">
        <v>0</v>
      </c>
      <c r="U812" s="1056">
        <v>0</v>
      </c>
      <c r="V812" s="1056">
        <v>0</v>
      </c>
      <c r="W812" s="1056">
        <v>0</v>
      </c>
      <c r="X812" s="1056">
        <v>0</v>
      </c>
      <c r="Y812" s="1076">
        <v>0</v>
      </c>
      <c r="Z812" s="1056">
        <v>184261</v>
      </c>
      <c r="AA812" s="1056">
        <v>0</v>
      </c>
    </row>
    <row r="813" spans="1:27" s="1079" customFormat="1" ht="123" customHeight="1">
      <c r="A813" s="1322">
        <v>315</v>
      </c>
      <c r="B813" s="1055" t="s">
        <v>1225</v>
      </c>
      <c r="C813" s="1056">
        <f>D813+N813+P813+R813+T813+X813+Z813</f>
        <v>6100834</v>
      </c>
      <c r="D813" s="1056">
        <f t="shared" si="456"/>
        <v>5657701</v>
      </c>
      <c r="E813" s="1056">
        <v>0</v>
      </c>
      <c r="F813" s="1056">
        <v>5657701</v>
      </c>
      <c r="G813" s="1056">
        <v>0</v>
      </c>
      <c r="H813" s="1056">
        <v>0</v>
      </c>
      <c r="I813" s="1056">
        <v>0</v>
      </c>
      <c r="J813" s="1056">
        <v>0</v>
      </c>
      <c r="K813" s="1063">
        <v>0</v>
      </c>
      <c r="L813" s="1056">
        <v>0</v>
      </c>
      <c r="M813" s="1063">
        <v>0</v>
      </c>
      <c r="N813" s="1056">
        <v>0</v>
      </c>
      <c r="O813" s="1056">
        <v>0</v>
      </c>
      <c r="P813" s="1056">
        <v>0</v>
      </c>
      <c r="Q813" s="1056">
        <v>0</v>
      </c>
      <c r="R813" s="1056">
        <v>0</v>
      </c>
      <c r="S813" s="1056">
        <v>0</v>
      </c>
      <c r="T813" s="1056">
        <v>0</v>
      </c>
      <c r="U813" s="1056">
        <v>0</v>
      </c>
      <c r="V813" s="1056">
        <v>0</v>
      </c>
      <c r="W813" s="1056">
        <v>0</v>
      </c>
      <c r="X813" s="1056">
        <v>0</v>
      </c>
      <c r="Y813" s="1076">
        <v>0</v>
      </c>
      <c r="Z813" s="1056">
        <v>443133</v>
      </c>
      <c r="AA813" s="1056">
        <v>0</v>
      </c>
    </row>
    <row r="814" spans="1:27" s="1079" customFormat="1" ht="123" customHeight="1">
      <c r="A814" s="1322"/>
      <c r="B814" s="1062" t="s">
        <v>2052</v>
      </c>
      <c r="C814" s="1056">
        <f>C815</f>
        <v>1808834</v>
      </c>
      <c r="D814" s="1056">
        <f t="shared" ref="D814:AA814" si="457">D815</f>
        <v>0</v>
      </c>
      <c r="E814" s="1056">
        <f t="shared" si="457"/>
        <v>0</v>
      </c>
      <c r="F814" s="1056">
        <f t="shared" si="457"/>
        <v>0</v>
      </c>
      <c r="G814" s="1056">
        <f t="shared" si="457"/>
        <v>0</v>
      </c>
      <c r="H814" s="1056">
        <f t="shared" si="457"/>
        <v>0</v>
      </c>
      <c r="I814" s="1056">
        <f t="shared" si="457"/>
        <v>0</v>
      </c>
      <c r="J814" s="1056">
        <f t="shared" si="457"/>
        <v>0</v>
      </c>
      <c r="K814" s="1063">
        <f t="shared" si="457"/>
        <v>0</v>
      </c>
      <c r="L814" s="1056">
        <f t="shared" si="457"/>
        <v>0</v>
      </c>
      <c r="M814" s="1063">
        <f t="shared" si="457"/>
        <v>0</v>
      </c>
      <c r="N814" s="1056">
        <f t="shared" si="457"/>
        <v>0</v>
      </c>
      <c r="O814" s="1056">
        <f t="shared" si="457"/>
        <v>500.55</v>
      </c>
      <c r="P814" s="1056">
        <f t="shared" si="457"/>
        <v>1677450</v>
      </c>
      <c r="Q814" s="1056">
        <f t="shared" si="457"/>
        <v>0</v>
      </c>
      <c r="R814" s="1056">
        <f t="shared" si="457"/>
        <v>0</v>
      </c>
      <c r="S814" s="1056">
        <f t="shared" si="457"/>
        <v>0</v>
      </c>
      <c r="T814" s="1056">
        <f t="shared" si="457"/>
        <v>0</v>
      </c>
      <c r="U814" s="1056">
        <v>0</v>
      </c>
      <c r="V814" s="1056">
        <v>0</v>
      </c>
      <c r="W814" s="1056">
        <f t="shared" si="457"/>
        <v>0</v>
      </c>
      <c r="X814" s="1056">
        <f t="shared" si="457"/>
        <v>0</v>
      </c>
      <c r="Y814" s="1056">
        <f t="shared" si="457"/>
        <v>0</v>
      </c>
      <c r="Z814" s="1056">
        <f t="shared" si="457"/>
        <v>131384</v>
      </c>
      <c r="AA814" s="1056">
        <f t="shared" si="457"/>
        <v>0</v>
      </c>
    </row>
    <row r="815" spans="1:27" s="1079" customFormat="1" ht="123" customHeight="1">
      <c r="A815" s="1322">
        <v>316</v>
      </c>
      <c r="B815" s="1062" t="s">
        <v>2054</v>
      </c>
      <c r="C815" s="1056">
        <f>D815+N815+P815+R815+T815+X815+Z815</f>
        <v>1808834</v>
      </c>
      <c r="D815" s="1056">
        <f>SUM(E815:J815)</f>
        <v>0</v>
      </c>
      <c r="E815" s="1056">
        <v>0</v>
      </c>
      <c r="F815" s="1056">
        <v>0</v>
      </c>
      <c r="G815" s="1056">
        <v>0</v>
      </c>
      <c r="H815" s="1056">
        <v>0</v>
      </c>
      <c r="I815" s="1056">
        <v>0</v>
      </c>
      <c r="J815" s="1056">
        <v>0</v>
      </c>
      <c r="K815" s="1063">
        <v>0</v>
      </c>
      <c r="L815" s="1056">
        <v>0</v>
      </c>
      <c r="M815" s="1063">
        <v>0</v>
      </c>
      <c r="N815" s="1056">
        <v>0</v>
      </c>
      <c r="O815" s="1056">
        <v>500.55</v>
      </c>
      <c r="P815" s="1056">
        <v>1677450</v>
      </c>
      <c r="Q815" s="1056">
        <v>0</v>
      </c>
      <c r="R815" s="1056">
        <v>0</v>
      </c>
      <c r="S815" s="1056">
        <v>0</v>
      </c>
      <c r="T815" s="1056">
        <v>0</v>
      </c>
      <c r="U815" s="1056">
        <v>0</v>
      </c>
      <c r="V815" s="1056">
        <v>0</v>
      </c>
      <c r="W815" s="1056">
        <v>0</v>
      </c>
      <c r="X815" s="1056">
        <v>0</v>
      </c>
      <c r="Y815" s="1056">
        <v>0</v>
      </c>
      <c r="Z815" s="1056">
        <v>131384</v>
      </c>
      <c r="AA815" s="1056">
        <v>0</v>
      </c>
    </row>
    <row r="816" spans="1:27" s="1079" customFormat="1" ht="113.25" customHeight="1">
      <c r="A816" s="1322"/>
      <c r="B816" s="1055" t="s">
        <v>1026</v>
      </c>
      <c r="C816" s="1056">
        <f>C817+C818+C819</f>
        <v>7623339.5099999998</v>
      </c>
      <c r="D816" s="1056">
        <f t="shared" ref="D816:AA816" si="458">D817+D818+D819</f>
        <v>0</v>
      </c>
      <c r="E816" s="1056">
        <f t="shared" si="458"/>
        <v>0</v>
      </c>
      <c r="F816" s="1056">
        <f t="shared" si="458"/>
        <v>0</v>
      </c>
      <c r="G816" s="1056">
        <f t="shared" si="458"/>
        <v>0</v>
      </c>
      <c r="H816" s="1056">
        <f t="shared" si="458"/>
        <v>0</v>
      </c>
      <c r="I816" s="1056">
        <f t="shared" si="458"/>
        <v>0</v>
      </c>
      <c r="J816" s="1056">
        <f t="shared" si="458"/>
        <v>0</v>
      </c>
      <c r="K816" s="1056">
        <f t="shared" si="458"/>
        <v>0</v>
      </c>
      <c r="L816" s="1056">
        <f t="shared" si="458"/>
        <v>0</v>
      </c>
      <c r="M816" s="1056">
        <f t="shared" si="458"/>
        <v>0</v>
      </c>
      <c r="N816" s="1056">
        <f t="shared" si="458"/>
        <v>0</v>
      </c>
      <c r="O816" s="1056">
        <f t="shared" si="458"/>
        <v>2037.1</v>
      </c>
      <c r="P816" s="1056">
        <f t="shared" si="458"/>
        <v>7225962.5099999998</v>
      </c>
      <c r="Q816" s="1056">
        <f t="shared" si="458"/>
        <v>0</v>
      </c>
      <c r="R816" s="1056">
        <f t="shared" si="458"/>
        <v>0</v>
      </c>
      <c r="S816" s="1056">
        <f t="shared" si="458"/>
        <v>0</v>
      </c>
      <c r="T816" s="1056">
        <f t="shared" si="458"/>
        <v>0</v>
      </c>
      <c r="U816" s="1056">
        <f t="shared" si="458"/>
        <v>0</v>
      </c>
      <c r="V816" s="1056">
        <f t="shared" si="458"/>
        <v>0</v>
      </c>
      <c r="W816" s="1056">
        <f t="shared" si="458"/>
        <v>0</v>
      </c>
      <c r="X816" s="1056">
        <f t="shared" si="458"/>
        <v>0</v>
      </c>
      <c r="Y816" s="1056">
        <f t="shared" si="458"/>
        <v>0</v>
      </c>
      <c r="Z816" s="1056">
        <f t="shared" si="458"/>
        <v>397377</v>
      </c>
      <c r="AA816" s="1056">
        <f t="shared" si="458"/>
        <v>0</v>
      </c>
    </row>
    <row r="817" spans="1:27" s="1079" customFormat="1" ht="108" customHeight="1">
      <c r="A817" s="1322">
        <v>317</v>
      </c>
      <c r="B817" s="1062" t="s">
        <v>1075</v>
      </c>
      <c r="C817" s="1056">
        <f>D817+N817+P817+R817+T817+X817+Z817</f>
        <v>2330422.92</v>
      </c>
      <c r="D817" s="1056">
        <f>SUM(E817:J817)</f>
        <v>0</v>
      </c>
      <c r="E817" s="1056">
        <v>0</v>
      </c>
      <c r="F817" s="1056">
        <v>0</v>
      </c>
      <c r="G817" s="1056">
        <v>0</v>
      </c>
      <c r="H817" s="1056">
        <v>0</v>
      </c>
      <c r="I817" s="1056">
        <v>0</v>
      </c>
      <c r="J817" s="1056">
        <v>0</v>
      </c>
      <c r="K817" s="1063">
        <v>0</v>
      </c>
      <c r="L817" s="1056">
        <v>0</v>
      </c>
      <c r="M817" s="1063">
        <v>0</v>
      </c>
      <c r="N817" s="1056">
        <v>0</v>
      </c>
      <c r="O817" s="1056">
        <v>618.75</v>
      </c>
      <c r="P817" s="1056">
        <v>2197963.92</v>
      </c>
      <c r="Q817" s="1056">
        <v>0</v>
      </c>
      <c r="R817" s="1056">
        <v>0</v>
      </c>
      <c r="S817" s="1056">
        <v>0</v>
      </c>
      <c r="T817" s="1056">
        <v>0</v>
      </c>
      <c r="U817" s="1056">
        <v>0</v>
      </c>
      <c r="V817" s="1056">
        <v>0</v>
      </c>
      <c r="W817" s="1056">
        <v>0</v>
      </c>
      <c r="X817" s="1056">
        <v>0</v>
      </c>
      <c r="Y817" s="1056">
        <v>0</v>
      </c>
      <c r="Z817" s="1056">
        <v>132459</v>
      </c>
      <c r="AA817" s="1056">
        <v>0</v>
      </c>
    </row>
    <row r="818" spans="1:27" s="1079" customFormat="1" ht="77.25" customHeight="1">
      <c r="A818" s="1322">
        <v>318</v>
      </c>
      <c r="B818" s="1062" t="s">
        <v>1076</v>
      </c>
      <c r="C818" s="1056">
        <f>D818+N818+P818+R818+T818+X818+Z818</f>
        <v>2330422.92</v>
      </c>
      <c r="D818" s="1056">
        <f>SUM(E818:J818)</f>
        <v>0</v>
      </c>
      <c r="E818" s="1056">
        <v>0</v>
      </c>
      <c r="F818" s="1056">
        <v>0</v>
      </c>
      <c r="G818" s="1056">
        <v>0</v>
      </c>
      <c r="H818" s="1056">
        <v>0</v>
      </c>
      <c r="I818" s="1056">
        <v>0</v>
      </c>
      <c r="J818" s="1056">
        <v>0</v>
      </c>
      <c r="K818" s="1063">
        <v>0</v>
      </c>
      <c r="L818" s="1056">
        <v>0</v>
      </c>
      <c r="M818" s="1063">
        <v>0</v>
      </c>
      <c r="N818" s="1056">
        <v>0</v>
      </c>
      <c r="O818" s="1056">
        <v>618.75</v>
      </c>
      <c r="P818" s="1056">
        <v>2197963.92</v>
      </c>
      <c r="Q818" s="1056">
        <v>0</v>
      </c>
      <c r="R818" s="1056">
        <v>0</v>
      </c>
      <c r="S818" s="1056">
        <v>0</v>
      </c>
      <c r="T818" s="1056">
        <v>0</v>
      </c>
      <c r="U818" s="1056">
        <v>0</v>
      </c>
      <c r="V818" s="1056">
        <v>0</v>
      </c>
      <c r="W818" s="1056">
        <v>0</v>
      </c>
      <c r="X818" s="1056">
        <v>0</v>
      </c>
      <c r="Y818" s="1056">
        <v>0</v>
      </c>
      <c r="Z818" s="1056">
        <v>132459</v>
      </c>
      <c r="AA818" s="1056">
        <v>0</v>
      </c>
    </row>
    <row r="819" spans="1:27" s="1079" customFormat="1" ht="94.9" customHeight="1">
      <c r="A819" s="1322">
        <v>319</v>
      </c>
      <c r="B819" s="1062" t="s">
        <v>1095</v>
      </c>
      <c r="C819" s="1056">
        <f>D819+N819+P819+R819+T819+X819+Z819</f>
        <v>2962493.67</v>
      </c>
      <c r="D819" s="1056">
        <f>SUM(E819:J819)</f>
        <v>0</v>
      </c>
      <c r="E819" s="1056">
        <v>0</v>
      </c>
      <c r="F819" s="1056">
        <v>0</v>
      </c>
      <c r="G819" s="1056">
        <v>0</v>
      </c>
      <c r="H819" s="1056">
        <v>0</v>
      </c>
      <c r="I819" s="1056">
        <v>0</v>
      </c>
      <c r="J819" s="1056">
        <v>0</v>
      </c>
      <c r="K819" s="1063">
        <v>0</v>
      </c>
      <c r="L819" s="1056">
        <v>0</v>
      </c>
      <c r="M819" s="1063">
        <v>0</v>
      </c>
      <c r="N819" s="1056">
        <v>0</v>
      </c>
      <c r="O819" s="1056">
        <v>799.6</v>
      </c>
      <c r="P819" s="1056">
        <v>2830034.67</v>
      </c>
      <c r="Q819" s="1056">
        <v>0</v>
      </c>
      <c r="R819" s="1056">
        <v>0</v>
      </c>
      <c r="S819" s="1056">
        <v>0</v>
      </c>
      <c r="T819" s="1056">
        <v>0</v>
      </c>
      <c r="U819" s="1056">
        <v>0</v>
      </c>
      <c r="V819" s="1056">
        <v>0</v>
      </c>
      <c r="W819" s="1056">
        <v>0</v>
      </c>
      <c r="X819" s="1056">
        <v>0</v>
      </c>
      <c r="Y819" s="1056">
        <v>0</v>
      </c>
      <c r="Z819" s="1056">
        <v>132459</v>
      </c>
      <c r="AA819" s="1056">
        <v>0</v>
      </c>
    </row>
    <row r="820" spans="1:27" s="1079" customFormat="1" ht="102" customHeight="1">
      <c r="A820" s="1322"/>
      <c r="B820" s="1062" t="s">
        <v>2004</v>
      </c>
      <c r="C820" s="1056">
        <f>C821</f>
        <v>2757759.15</v>
      </c>
      <c r="D820" s="1056">
        <f t="shared" ref="D820:AA820" si="459">D821</f>
        <v>0</v>
      </c>
      <c r="E820" s="1056">
        <f t="shared" si="459"/>
        <v>0</v>
      </c>
      <c r="F820" s="1056">
        <f t="shared" si="459"/>
        <v>0</v>
      </c>
      <c r="G820" s="1056">
        <f t="shared" si="459"/>
        <v>0</v>
      </c>
      <c r="H820" s="1056">
        <f t="shared" si="459"/>
        <v>0</v>
      </c>
      <c r="I820" s="1056">
        <f t="shared" si="459"/>
        <v>0</v>
      </c>
      <c r="J820" s="1056">
        <f t="shared" si="459"/>
        <v>0</v>
      </c>
      <c r="K820" s="1056">
        <f t="shared" si="459"/>
        <v>0</v>
      </c>
      <c r="L820" s="1056">
        <f t="shared" si="459"/>
        <v>0</v>
      </c>
      <c r="M820" s="1056">
        <f t="shared" si="459"/>
        <v>0</v>
      </c>
      <c r="N820" s="1056">
        <f t="shared" si="459"/>
        <v>0</v>
      </c>
      <c r="O820" s="1056">
        <f t="shared" si="459"/>
        <v>414</v>
      </c>
      <c r="P820" s="1056">
        <f t="shared" si="459"/>
        <v>2655981.15</v>
      </c>
      <c r="Q820" s="1056">
        <f t="shared" si="459"/>
        <v>0</v>
      </c>
      <c r="R820" s="1056">
        <f t="shared" si="459"/>
        <v>0</v>
      </c>
      <c r="S820" s="1056">
        <f t="shared" si="459"/>
        <v>0</v>
      </c>
      <c r="T820" s="1056">
        <f t="shared" si="459"/>
        <v>0</v>
      </c>
      <c r="U820" s="1056">
        <f t="shared" si="459"/>
        <v>0</v>
      </c>
      <c r="V820" s="1056">
        <f t="shared" si="459"/>
        <v>0</v>
      </c>
      <c r="W820" s="1056">
        <f t="shared" si="459"/>
        <v>0</v>
      </c>
      <c r="X820" s="1056">
        <f t="shared" si="459"/>
        <v>0</v>
      </c>
      <c r="Y820" s="1056">
        <f t="shared" si="459"/>
        <v>0</v>
      </c>
      <c r="Z820" s="1056">
        <f t="shared" si="459"/>
        <v>101778</v>
      </c>
      <c r="AA820" s="1056">
        <f t="shared" si="459"/>
        <v>0</v>
      </c>
    </row>
    <row r="821" spans="1:27" s="1079" customFormat="1" ht="102" customHeight="1">
      <c r="A821" s="1322">
        <v>320</v>
      </c>
      <c r="B821" s="1062" t="s">
        <v>2003</v>
      </c>
      <c r="C821" s="1056">
        <f>D821+N821+P821+R821+T821+X821+Z821</f>
        <v>2757759.15</v>
      </c>
      <c r="D821" s="1056">
        <f>SUM(E821:J821)</f>
        <v>0</v>
      </c>
      <c r="E821" s="1056">
        <v>0</v>
      </c>
      <c r="F821" s="1056">
        <v>0</v>
      </c>
      <c r="G821" s="1056">
        <v>0</v>
      </c>
      <c r="H821" s="1056">
        <v>0</v>
      </c>
      <c r="I821" s="1056">
        <v>0</v>
      </c>
      <c r="J821" s="1056">
        <v>0</v>
      </c>
      <c r="K821" s="1063">
        <v>0</v>
      </c>
      <c r="L821" s="1056">
        <v>0</v>
      </c>
      <c r="M821" s="1063">
        <v>0</v>
      </c>
      <c r="N821" s="1056">
        <v>0</v>
      </c>
      <c r="O821" s="1056">
        <v>414</v>
      </c>
      <c r="P821" s="1056">
        <v>2655981.15</v>
      </c>
      <c r="Q821" s="1056">
        <v>0</v>
      </c>
      <c r="R821" s="1056">
        <v>0</v>
      </c>
      <c r="S821" s="1056">
        <v>0</v>
      </c>
      <c r="T821" s="1056">
        <v>0</v>
      </c>
      <c r="U821" s="1056">
        <v>0</v>
      </c>
      <c r="V821" s="1056">
        <v>0</v>
      </c>
      <c r="W821" s="1056">
        <v>0</v>
      </c>
      <c r="X821" s="1056">
        <v>0</v>
      </c>
      <c r="Y821" s="1056">
        <v>0</v>
      </c>
      <c r="Z821" s="1056">
        <v>101778</v>
      </c>
      <c r="AA821" s="1056">
        <v>0</v>
      </c>
    </row>
    <row r="822" spans="1:27" s="1079" customFormat="1" ht="94.9" customHeight="1">
      <c r="A822" s="1322"/>
      <c r="B822" s="1055" t="s">
        <v>2013</v>
      </c>
      <c r="C822" s="1056">
        <f>C823</f>
        <v>1326764</v>
      </c>
      <c r="D822" s="1056">
        <f t="shared" ref="D822:AA822" si="460">D823</f>
        <v>0</v>
      </c>
      <c r="E822" s="1056">
        <f t="shared" si="460"/>
        <v>0</v>
      </c>
      <c r="F822" s="1056">
        <f t="shared" si="460"/>
        <v>0</v>
      </c>
      <c r="G822" s="1056">
        <f t="shared" si="460"/>
        <v>0</v>
      </c>
      <c r="H822" s="1056">
        <f t="shared" si="460"/>
        <v>0</v>
      </c>
      <c r="I822" s="1056">
        <f t="shared" si="460"/>
        <v>0</v>
      </c>
      <c r="J822" s="1056">
        <f t="shared" si="460"/>
        <v>0</v>
      </c>
      <c r="K822" s="1056">
        <f t="shared" si="460"/>
        <v>0</v>
      </c>
      <c r="L822" s="1056">
        <f t="shared" si="460"/>
        <v>0</v>
      </c>
      <c r="M822" s="1056">
        <f t="shared" si="460"/>
        <v>0</v>
      </c>
      <c r="N822" s="1056">
        <f t="shared" si="460"/>
        <v>0</v>
      </c>
      <c r="O822" s="1056">
        <f t="shared" si="460"/>
        <v>392</v>
      </c>
      <c r="P822" s="1056">
        <f t="shared" si="460"/>
        <v>1230395</v>
      </c>
      <c r="Q822" s="1056">
        <f t="shared" si="460"/>
        <v>0</v>
      </c>
      <c r="R822" s="1056">
        <f t="shared" si="460"/>
        <v>0</v>
      </c>
      <c r="S822" s="1056">
        <f t="shared" si="460"/>
        <v>0</v>
      </c>
      <c r="T822" s="1056">
        <f t="shared" si="460"/>
        <v>0</v>
      </c>
      <c r="U822" s="1056">
        <f t="shared" si="460"/>
        <v>0</v>
      </c>
      <c r="V822" s="1056">
        <f t="shared" si="460"/>
        <v>0</v>
      </c>
      <c r="W822" s="1056">
        <f t="shared" si="460"/>
        <v>0</v>
      </c>
      <c r="X822" s="1056">
        <f t="shared" si="460"/>
        <v>0</v>
      </c>
      <c r="Y822" s="1056">
        <f t="shared" si="460"/>
        <v>0</v>
      </c>
      <c r="Z822" s="1056">
        <f t="shared" si="460"/>
        <v>96369</v>
      </c>
      <c r="AA822" s="1056">
        <f t="shared" si="460"/>
        <v>0</v>
      </c>
    </row>
    <row r="823" spans="1:27" s="1079" customFormat="1" ht="102" customHeight="1">
      <c r="A823" s="1322">
        <v>321</v>
      </c>
      <c r="B823" s="1062" t="s">
        <v>2015</v>
      </c>
      <c r="C823" s="1056">
        <f t="shared" ref="C823" si="461">D823+N823+P823+R823+T823+X823+Z823</f>
        <v>1326764</v>
      </c>
      <c r="D823" s="1056">
        <f t="shared" ref="D823" si="462">SUM(E823:J823)</f>
        <v>0</v>
      </c>
      <c r="E823" s="1056">
        <v>0</v>
      </c>
      <c r="F823" s="1056">
        <v>0</v>
      </c>
      <c r="G823" s="1056">
        <v>0</v>
      </c>
      <c r="H823" s="1056">
        <v>0</v>
      </c>
      <c r="I823" s="1056">
        <v>0</v>
      </c>
      <c r="J823" s="1056">
        <v>0</v>
      </c>
      <c r="K823" s="1063">
        <v>0</v>
      </c>
      <c r="L823" s="1056">
        <v>0</v>
      </c>
      <c r="M823" s="1063">
        <v>0</v>
      </c>
      <c r="N823" s="1056">
        <v>0</v>
      </c>
      <c r="O823" s="1056">
        <v>392</v>
      </c>
      <c r="P823" s="1056">
        <v>1230395</v>
      </c>
      <c r="Q823" s="1056">
        <v>0</v>
      </c>
      <c r="R823" s="1056">
        <v>0</v>
      </c>
      <c r="S823" s="1056">
        <v>0</v>
      </c>
      <c r="T823" s="1056">
        <v>0</v>
      </c>
      <c r="U823" s="1056">
        <v>0</v>
      </c>
      <c r="V823" s="1056">
        <v>0</v>
      </c>
      <c r="W823" s="1056">
        <v>0</v>
      </c>
      <c r="X823" s="1056">
        <v>0</v>
      </c>
      <c r="Y823" s="1056">
        <v>0</v>
      </c>
      <c r="Z823" s="1056">
        <v>96369</v>
      </c>
      <c r="AA823" s="1056">
        <v>0</v>
      </c>
    </row>
    <row r="824" spans="1:27" s="1079" customFormat="1" ht="97.15" customHeight="1">
      <c r="A824" s="1322"/>
      <c r="B824" s="1062" t="s">
        <v>50</v>
      </c>
      <c r="C824" s="1056">
        <f>C825</f>
        <v>4066007.9200000004</v>
      </c>
      <c r="D824" s="1056">
        <f t="shared" ref="D824:AA824" si="463">D825</f>
        <v>0</v>
      </c>
      <c r="E824" s="1056">
        <f t="shared" si="463"/>
        <v>0</v>
      </c>
      <c r="F824" s="1056">
        <f t="shared" si="463"/>
        <v>0</v>
      </c>
      <c r="G824" s="1056">
        <f t="shared" si="463"/>
        <v>0</v>
      </c>
      <c r="H824" s="1056">
        <f t="shared" si="463"/>
        <v>0</v>
      </c>
      <c r="I824" s="1056">
        <f t="shared" si="463"/>
        <v>0</v>
      </c>
      <c r="J824" s="1056">
        <f t="shared" si="463"/>
        <v>0</v>
      </c>
      <c r="K824" s="1063">
        <f t="shared" si="463"/>
        <v>0</v>
      </c>
      <c r="L824" s="1056">
        <f t="shared" si="463"/>
        <v>0</v>
      </c>
      <c r="M824" s="1063">
        <f t="shared" si="463"/>
        <v>0</v>
      </c>
      <c r="N824" s="1056">
        <f t="shared" si="463"/>
        <v>0</v>
      </c>
      <c r="O824" s="1056">
        <f t="shared" si="463"/>
        <v>991.3</v>
      </c>
      <c r="P824" s="1056">
        <f t="shared" si="463"/>
        <v>3919441</v>
      </c>
      <c r="Q824" s="1056">
        <f t="shared" si="463"/>
        <v>0</v>
      </c>
      <c r="R824" s="1056">
        <f t="shared" si="463"/>
        <v>0</v>
      </c>
      <c r="S824" s="1056">
        <f t="shared" si="463"/>
        <v>0</v>
      </c>
      <c r="T824" s="1056">
        <f t="shared" si="463"/>
        <v>0</v>
      </c>
      <c r="U824" s="1056">
        <v>0</v>
      </c>
      <c r="V824" s="1056">
        <v>0</v>
      </c>
      <c r="W824" s="1056">
        <f t="shared" si="463"/>
        <v>0</v>
      </c>
      <c r="X824" s="1056">
        <f t="shared" si="463"/>
        <v>0</v>
      </c>
      <c r="Y824" s="1056">
        <v>0</v>
      </c>
      <c r="Z824" s="1056">
        <f t="shared" si="463"/>
        <v>146566.91999999998</v>
      </c>
      <c r="AA824" s="1056">
        <f t="shared" si="463"/>
        <v>0</v>
      </c>
    </row>
    <row r="825" spans="1:27" s="1079" customFormat="1" ht="93" customHeight="1">
      <c r="A825" s="1322"/>
      <c r="B825" s="1062" t="s">
        <v>1028</v>
      </c>
      <c r="C825" s="1056">
        <f t="shared" ref="C825:AA825" si="464">SUM(C826:C827)</f>
        <v>4066007.9200000004</v>
      </c>
      <c r="D825" s="1056">
        <f t="shared" si="464"/>
        <v>0</v>
      </c>
      <c r="E825" s="1056">
        <f t="shared" si="464"/>
        <v>0</v>
      </c>
      <c r="F825" s="1056">
        <f t="shared" si="464"/>
        <v>0</v>
      </c>
      <c r="G825" s="1056">
        <f t="shared" si="464"/>
        <v>0</v>
      </c>
      <c r="H825" s="1056">
        <f t="shared" si="464"/>
        <v>0</v>
      </c>
      <c r="I825" s="1056">
        <f t="shared" si="464"/>
        <v>0</v>
      </c>
      <c r="J825" s="1056">
        <f t="shared" si="464"/>
        <v>0</v>
      </c>
      <c r="K825" s="1056">
        <f t="shared" si="464"/>
        <v>0</v>
      </c>
      <c r="L825" s="1056">
        <f t="shared" si="464"/>
        <v>0</v>
      </c>
      <c r="M825" s="1056">
        <f t="shared" si="464"/>
        <v>0</v>
      </c>
      <c r="N825" s="1056">
        <f t="shared" si="464"/>
        <v>0</v>
      </c>
      <c r="O825" s="1056">
        <f t="shared" si="464"/>
        <v>991.3</v>
      </c>
      <c r="P825" s="1056">
        <f t="shared" si="464"/>
        <v>3919441</v>
      </c>
      <c r="Q825" s="1056">
        <f t="shared" si="464"/>
        <v>0</v>
      </c>
      <c r="R825" s="1056">
        <f t="shared" si="464"/>
        <v>0</v>
      </c>
      <c r="S825" s="1056">
        <f t="shared" si="464"/>
        <v>0</v>
      </c>
      <c r="T825" s="1056">
        <f t="shared" si="464"/>
        <v>0</v>
      </c>
      <c r="U825" s="1056">
        <f t="shared" si="464"/>
        <v>0</v>
      </c>
      <c r="V825" s="1056">
        <f t="shared" si="464"/>
        <v>0</v>
      </c>
      <c r="W825" s="1056">
        <f t="shared" si="464"/>
        <v>0</v>
      </c>
      <c r="X825" s="1056">
        <f t="shared" si="464"/>
        <v>0</v>
      </c>
      <c r="Y825" s="1056">
        <f t="shared" si="464"/>
        <v>0</v>
      </c>
      <c r="Z825" s="1056">
        <f t="shared" si="464"/>
        <v>146566.91999999998</v>
      </c>
      <c r="AA825" s="1056">
        <f t="shared" si="464"/>
        <v>0</v>
      </c>
    </row>
    <row r="826" spans="1:27" s="1079" customFormat="1" ht="92.45" customHeight="1">
      <c r="A826" s="1322">
        <v>322</v>
      </c>
      <c r="B826" s="1304" t="s">
        <v>413</v>
      </c>
      <c r="C826" s="1056">
        <f t="shared" ref="C826:C827" si="465">D826+N826+P826+R826+T826+X826+Z826</f>
        <v>2223596.0300000003</v>
      </c>
      <c r="D826" s="1056">
        <f t="shared" ref="D826:D827" si="466">SUM(E826:J826)</f>
        <v>0</v>
      </c>
      <c r="E826" s="1056">
        <v>0</v>
      </c>
      <c r="F826" s="1056">
        <v>0</v>
      </c>
      <c r="G826" s="1056">
        <v>0</v>
      </c>
      <c r="H826" s="1056">
        <v>0</v>
      </c>
      <c r="I826" s="1056">
        <v>0</v>
      </c>
      <c r="J826" s="1056">
        <v>0</v>
      </c>
      <c r="K826" s="1063">
        <v>0</v>
      </c>
      <c r="L826" s="1056">
        <v>0</v>
      </c>
      <c r="M826" s="1063">
        <v>0</v>
      </c>
      <c r="N826" s="1056">
        <v>0</v>
      </c>
      <c r="O826" s="1280">
        <v>543.16</v>
      </c>
      <c r="P826" s="1056">
        <v>2147567.41</v>
      </c>
      <c r="Q826" s="1056">
        <v>0</v>
      </c>
      <c r="R826" s="1056">
        <v>0</v>
      </c>
      <c r="S826" s="1056">
        <v>0</v>
      </c>
      <c r="T826" s="1056">
        <v>0</v>
      </c>
      <c r="U826" s="1056">
        <v>0</v>
      </c>
      <c r="V826" s="1056">
        <v>0</v>
      </c>
      <c r="W826" s="1056">
        <v>0</v>
      </c>
      <c r="X826" s="1056">
        <v>0</v>
      </c>
      <c r="Y826" s="1056">
        <v>0</v>
      </c>
      <c r="Z826" s="1056">
        <v>76028.62</v>
      </c>
      <c r="AA826" s="1056">
        <v>0</v>
      </c>
    </row>
    <row r="827" spans="1:27" s="1079" customFormat="1" ht="104.45" customHeight="1">
      <c r="A827" s="1322">
        <v>323</v>
      </c>
      <c r="B827" s="1304" t="s">
        <v>1046</v>
      </c>
      <c r="C827" s="1056">
        <f t="shared" si="465"/>
        <v>1842411.8900000001</v>
      </c>
      <c r="D827" s="1056">
        <f t="shared" si="466"/>
        <v>0</v>
      </c>
      <c r="E827" s="1056">
        <v>0</v>
      </c>
      <c r="F827" s="1056">
        <v>0</v>
      </c>
      <c r="G827" s="1056">
        <v>0</v>
      </c>
      <c r="H827" s="1056">
        <v>0</v>
      </c>
      <c r="I827" s="1056">
        <v>0</v>
      </c>
      <c r="J827" s="1056">
        <v>0</v>
      </c>
      <c r="K827" s="1063">
        <v>0</v>
      </c>
      <c r="L827" s="1056">
        <v>0</v>
      </c>
      <c r="M827" s="1063">
        <v>0</v>
      </c>
      <c r="N827" s="1056">
        <v>0</v>
      </c>
      <c r="O827" s="1280">
        <v>448.14</v>
      </c>
      <c r="P827" s="1056">
        <v>1771873.59</v>
      </c>
      <c r="Q827" s="1056">
        <v>0</v>
      </c>
      <c r="R827" s="1056">
        <v>0</v>
      </c>
      <c r="S827" s="1056">
        <v>0</v>
      </c>
      <c r="T827" s="1056">
        <v>0</v>
      </c>
      <c r="U827" s="1056">
        <v>0</v>
      </c>
      <c r="V827" s="1056">
        <v>0</v>
      </c>
      <c r="W827" s="1056">
        <v>0</v>
      </c>
      <c r="X827" s="1056">
        <v>0</v>
      </c>
      <c r="Y827" s="1056">
        <v>0</v>
      </c>
      <c r="Z827" s="1056">
        <v>70538.3</v>
      </c>
      <c r="AA827" s="1056">
        <v>0</v>
      </c>
    </row>
    <row r="828" spans="1:27" s="1079" customFormat="1" ht="127.9" customHeight="1">
      <c r="A828" s="1322"/>
      <c r="B828" s="1062" t="s">
        <v>1067</v>
      </c>
      <c r="C828" s="1056">
        <f>SUM(C829:C855)</f>
        <v>52403248.221832208</v>
      </c>
      <c r="D828" s="1056">
        <f t="shared" ref="D828:AA828" si="467">SUM(D829:D855)</f>
        <v>898088.83000000007</v>
      </c>
      <c r="E828" s="1056">
        <f t="shared" si="467"/>
        <v>898088.83000000007</v>
      </c>
      <c r="F828" s="1056">
        <f t="shared" si="467"/>
        <v>0</v>
      </c>
      <c r="G828" s="1056">
        <f t="shared" si="467"/>
        <v>0</v>
      </c>
      <c r="H828" s="1056">
        <f t="shared" si="467"/>
        <v>0</v>
      </c>
      <c r="I828" s="1056">
        <f t="shared" si="467"/>
        <v>0</v>
      </c>
      <c r="J828" s="1056">
        <f t="shared" si="467"/>
        <v>0</v>
      </c>
      <c r="K828" s="1056">
        <f t="shared" si="467"/>
        <v>0</v>
      </c>
      <c r="L828" s="1056">
        <f t="shared" si="467"/>
        <v>0</v>
      </c>
      <c r="M828" s="1056">
        <f t="shared" si="467"/>
        <v>0</v>
      </c>
      <c r="N828" s="1056">
        <f t="shared" si="467"/>
        <v>0</v>
      </c>
      <c r="O828" s="1056">
        <f t="shared" si="467"/>
        <v>11983.75</v>
      </c>
      <c r="P828" s="1056">
        <f t="shared" si="467"/>
        <v>43409842.790000007</v>
      </c>
      <c r="Q828" s="1056">
        <f t="shared" si="467"/>
        <v>0</v>
      </c>
      <c r="R828" s="1056">
        <f t="shared" si="467"/>
        <v>0</v>
      </c>
      <c r="S828" s="1056">
        <f t="shared" si="467"/>
        <v>1549.37</v>
      </c>
      <c r="T828" s="1056">
        <f t="shared" si="467"/>
        <v>4543433.63</v>
      </c>
      <c r="U828" s="1056">
        <f t="shared" si="467"/>
        <v>0</v>
      </c>
      <c r="V828" s="1056">
        <f t="shared" si="467"/>
        <v>0</v>
      </c>
      <c r="W828" s="1056">
        <f t="shared" si="467"/>
        <v>0</v>
      </c>
      <c r="X828" s="1056">
        <f t="shared" si="467"/>
        <v>0</v>
      </c>
      <c r="Y828" s="1056">
        <f t="shared" si="467"/>
        <v>0</v>
      </c>
      <c r="Z828" s="1056">
        <f t="shared" si="467"/>
        <v>3551882.971832213</v>
      </c>
      <c r="AA828" s="1056">
        <f t="shared" si="467"/>
        <v>0</v>
      </c>
    </row>
    <row r="829" spans="1:27" s="1079" customFormat="1" ht="107.25" customHeight="1">
      <c r="A829" s="1322">
        <v>324</v>
      </c>
      <c r="B829" s="1305" t="s">
        <v>1162</v>
      </c>
      <c r="C829" s="1056">
        <f t="shared" ref="C829" si="468">D829+N829+P829+R829+T829+X829+Z829</f>
        <v>298782.77</v>
      </c>
      <c r="D829" s="1056">
        <f t="shared" ref="D829" si="469">SUM(E829:J829)</f>
        <v>286642.63</v>
      </c>
      <c r="E829" s="1056">
        <v>286642.63</v>
      </c>
      <c r="F829" s="1056">
        <v>0</v>
      </c>
      <c r="G829" s="1056">
        <v>0</v>
      </c>
      <c r="H829" s="1056">
        <v>0</v>
      </c>
      <c r="I829" s="1056">
        <v>0</v>
      </c>
      <c r="J829" s="1056">
        <v>0</v>
      </c>
      <c r="K829" s="1063">
        <v>0</v>
      </c>
      <c r="L829" s="1056">
        <v>0</v>
      </c>
      <c r="M829" s="1063">
        <v>0</v>
      </c>
      <c r="N829" s="1056">
        <v>0</v>
      </c>
      <c r="O829" s="1056">
        <v>0</v>
      </c>
      <c r="P829" s="1056">
        <v>0</v>
      </c>
      <c r="Q829" s="1056">
        <v>0</v>
      </c>
      <c r="R829" s="1056">
        <v>0</v>
      </c>
      <c r="S829" s="1056">
        <v>0</v>
      </c>
      <c r="T829" s="1056">
        <v>0</v>
      </c>
      <c r="U829" s="1056">
        <v>0</v>
      </c>
      <c r="V829" s="1056">
        <v>0</v>
      </c>
      <c r="W829" s="1056">
        <v>0</v>
      </c>
      <c r="X829" s="1056">
        <v>0</v>
      </c>
      <c r="Y829" s="1056">
        <v>0</v>
      </c>
      <c r="Z829" s="1056">
        <v>12140.14</v>
      </c>
      <c r="AA829" s="1056">
        <v>0</v>
      </c>
    </row>
    <row r="830" spans="1:27" s="1079" customFormat="1" ht="107.25" customHeight="1">
      <c r="A830" s="1322">
        <v>325</v>
      </c>
      <c r="B830" s="1055" t="s">
        <v>1302</v>
      </c>
      <c r="C830" s="1056">
        <f t="shared" ref="C830:C838" si="470">D830+N830+P830+R830+T830+X830+Z830</f>
        <v>1128003.98</v>
      </c>
      <c r="D830" s="1056">
        <f t="shared" ref="D830:D838" si="471">SUM(E830:J830)</f>
        <v>185664.27</v>
      </c>
      <c r="E830" s="1056">
        <v>185664.27</v>
      </c>
      <c r="F830" s="1056">
        <v>0</v>
      </c>
      <c r="G830" s="1056">
        <v>0</v>
      </c>
      <c r="H830" s="1056">
        <v>0</v>
      </c>
      <c r="I830" s="1056">
        <v>0</v>
      </c>
      <c r="J830" s="1056">
        <v>0</v>
      </c>
      <c r="K830" s="1063">
        <v>0</v>
      </c>
      <c r="L830" s="1056">
        <v>0</v>
      </c>
      <c r="M830" s="1063">
        <v>0</v>
      </c>
      <c r="N830" s="1056">
        <v>0</v>
      </c>
      <c r="O830" s="1056">
        <v>223.5</v>
      </c>
      <c r="P830" s="1056">
        <v>883683.11</v>
      </c>
      <c r="Q830" s="1056">
        <v>0</v>
      </c>
      <c r="R830" s="1056">
        <v>0</v>
      </c>
      <c r="S830" s="1056">
        <v>0</v>
      </c>
      <c r="T830" s="1056">
        <v>0</v>
      </c>
      <c r="U830" s="1056">
        <v>0</v>
      </c>
      <c r="V830" s="1056">
        <v>0</v>
      </c>
      <c r="W830" s="1056">
        <v>0</v>
      </c>
      <c r="X830" s="1056">
        <v>0</v>
      </c>
      <c r="Y830" s="1056">
        <v>0</v>
      </c>
      <c r="Z830" s="1056">
        <v>58656.6</v>
      </c>
      <c r="AA830" s="1056">
        <v>0</v>
      </c>
    </row>
    <row r="831" spans="1:27" s="1079" customFormat="1" ht="98.25" customHeight="1">
      <c r="A831" s="1322">
        <v>326</v>
      </c>
      <c r="B831" s="1055" t="s">
        <v>1303</v>
      </c>
      <c r="C831" s="1056">
        <f t="shared" si="470"/>
        <v>1554682.43</v>
      </c>
      <c r="D831" s="1056">
        <f t="shared" si="471"/>
        <v>0</v>
      </c>
      <c r="E831" s="1056">
        <v>0</v>
      </c>
      <c r="F831" s="1056">
        <v>0</v>
      </c>
      <c r="G831" s="1056">
        <v>0</v>
      </c>
      <c r="H831" s="1056">
        <v>0</v>
      </c>
      <c r="I831" s="1056">
        <v>0</v>
      </c>
      <c r="J831" s="1056">
        <v>0</v>
      </c>
      <c r="K831" s="1063">
        <v>0</v>
      </c>
      <c r="L831" s="1056">
        <v>0</v>
      </c>
      <c r="M831" s="1063">
        <v>0</v>
      </c>
      <c r="N831" s="1056">
        <v>0</v>
      </c>
      <c r="O831" s="1056">
        <v>372.1</v>
      </c>
      <c r="P831" s="1056">
        <v>1471223.64</v>
      </c>
      <c r="Q831" s="1056">
        <v>0</v>
      </c>
      <c r="R831" s="1056">
        <v>0</v>
      </c>
      <c r="S831" s="1056">
        <v>0</v>
      </c>
      <c r="T831" s="1056">
        <v>0</v>
      </c>
      <c r="U831" s="1056">
        <v>0</v>
      </c>
      <c r="V831" s="1056">
        <v>0</v>
      </c>
      <c r="W831" s="1056">
        <v>0</v>
      </c>
      <c r="X831" s="1056">
        <v>0</v>
      </c>
      <c r="Y831" s="1056">
        <v>0</v>
      </c>
      <c r="Z831" s="1056">
        <v>83458.789999999994</v>
      </c>
      <c r="AA831" s="1056">
        <v>0</v>
      </c>
    </row>
    <row r="832" spans="1:27" s="1079" customFormat="1" ht="104.25" customHeight="1">
      <c r="A832" s="1322">
        <v>327</v>
      </c>
      <c r="B832" s="1055" t="s">
        <v>1304</v>
      </c>
      <c r="C832" s="1056">
        <f t="shared" ref="C832:C833" si="472">D832+N832+P832+R832+T832+X832+Z832</f>
        <v>2011655.53</v>
      </c>
      <c r="D832" s="1056">
        <f t="shared" ref="D832:D833" si="473">SUM(E832:J832)</f>
        <v>0</v>
      </c>
      <c r="E832" s="1056">
        <v>0</v>
      </c>
      <c r="F832" s="1056">
        <v>0</v>
      </c>
      <c r="G832" s="1056">
        <v>0</v>
      </c>
      <c r="H832" s="1056">
        <v>0</v>
      </c>
      <c r="I832" s="1056">
        <v>0</v>
      </c>
      <c r="J832" s="1056">
        <v>0</v>
      </c>
      <c r="K832" s="1063">
        <v>0</v>
      </c>
      <c r="L832" s="1056">
        <v>0</v>
      </c>
      <c r="M832" s="1063">
        <v>0</v>
      </c>
      <c r="N832" s="1056">
        <v>0</v>
      </c>
      <c r="O832" s="1056">
        <v>505.3</v>
      </c>
      <c r="P832" s="1056">
        <v>1900845.73</v>
      </c>
      <c r="Q832" s="1056">
        <v>0</v>
      </c>
      <c r="R832" s="1056">
        <v>0</v>
      </c>
      <c r="S832" s="1056">
        <v>0</v>
      </c>
      <c r="T832" s="1056">
        <v>0</v>
      </c>
      <c r="U832" s="1056">
        <v>0</v>
      </c>
      <c r="V832" s="1056">
        <v>0</v>
      </c>
      <c r="W832" s="1056">
        <v>0</v>
      </c>
      <c r="X832" s="1056">
        <v>0</v>
      </c>
      <c r="Y832" s="1056">
        <v>0</v>
      </c>
      <c r="Z832" s="1056">
        <v>110809.8</v>
      </c>
      <c r="AA832" s="1056">
        <v>0</v>
      </c>
    </row>
    <row r="833" spans="1:27" s="1079" customFormat="1" ht="89.25" customHeight="1">
      <c r="A833" s="1322">
        <v>328</v>
      </c>
      <c r="B833" s="1055" t="s">
        <v>1305</v>
      </c>
      <c r="C833" s="1056">
        <f t="shared" si="472"/>
        <v>1221986.53</v>
      </c>
      <c r="D833" s="1056">
        <f t="shared" si="473"/>
        <v>0</v>
      </c>
      <c r="E833" s="1056">
        <v>0</v>
      </c>
      <c r="F833" s="1056">
        <v>0</v>
      </c>
      <c r="G833" s="1056">
        <v>0</v>
      </c>
      <c r="H833" s="1056">
        <v>0</v>
      </c>
      <c r="I833" s="1056">
        <v>0</v>
      </c>
      <c r="J833" s="1056">
        <v>0</v>
      </c>
      <c r="K833" s="1063">
        <v>0</v>
      </c>
      <c r="L833" s="1056">
        <v>0</v>
      </c>
      <c r="M833" s="1063">
        <v>0</v>
      </c>
      <c r="N833" s="1056">
        <v>0</v>
      </c>
      <c r="O833" s="1056">
        <v>360.1</v>
      </c>
      <c r="P833" s="1056">
        <v>1147922.96</v>
      </c>
      <c r="Q833" s="1056">
        <v>0</v>
      </c>
      <c r="R833" s="1056">
        <v>0</v>
      </c>
      <c r="S833" s="1056">
        <v>0</v>
      </c>
      <c r="T833" s="1056">
        <v>0</v>
      </c>
      <c r="U833" s="1056">
        <v>0</v>
      </c>
      <c r="V833" s="1056">
        <v>0</v>
      </c>
      <c r="W833" s="1056">
        <v>0</v>
      </c>
      <c r="X833" s="1056">
        <v>0</v>
      </c>
      <c r="Y833" s="1056">
        <v>0</v>
      </c>
      <c r="Z833" s="1056">
        <v>74063.570000000007</v>
      </c>
      <c r="AA833" s="1056">
        <v>0</v>
      </c>
    </row>
    <row r="834" spans="1:27" s="1079" customFormat="1" ht="95.25" customHeight="1">
      <c r="A834" s="1322">
        <v>329</v>
      </c>
      <c r="B834" s="1062" t="s">
        <v>1167</v>
      </c>
      <c r="C834" s="1056">
        <f t="shared" si="470"/>
        <v>1291846.3800000001</v>
      </c>
      <c r="D834" s="1056">
        <f t="shared" si="471"/>
        <v>0</v>
      </c>
      <c r="E834" s="1056">
        <v>0</v>
      </c>
      <c r="F834" s="1056">
        <v>0</v>
      </c>
      <c r="G834" s="1056">
        <v>0</v>
      </c>
      <c r="H834" s="1056">
        <v>0</v>
      </c>
      <c r="I834" s="1056">
        <v>0</v>
      </c>
      <c r="J834" s="1056">
        <v>0</v>
      </c>
      <c r="K834" s="1063">
        <v>0</v>
      </c>
      <c r="L834" s="1056">
        <v>0</v>
      </c>
      <c r="M834" s="1063">
        <v>0</v>
      </c>
      <c r="N834" s="1056">
        <v>0</v>
      </c>
      <c r="O834" s="1056">
        <v>303</v>
      </c>
      <c r="P834" s="1056">
        <v>1198013.3400000001</v>
      </c>
      <c r="Q834" s="1056">
        <v>0</v>
      </c>
      <c r="R834" s="1056">
        <v>0</v>
      </c>
      <c r="S834" s="1056">
        <v>0</v>
      </c>
      <c r="T834" s="1056">
        <v>0</v>
      </c>
      <c r="U834" s="1056">
        <v>0</v>
      </c>
      <c r="V834" s="1056">
        <v>0</v>
      </c>
      <c r="W834" s="1056">
        <v>0</v>
      </c>
      <c r="X834" s="1056">
        <v>0</v>
      </c>
      <c r="Y834" s="1056">
        <v>0</v>
      </c>
      <c r="Z834" s="1056">
        <v>93833.04</v>
      </c>
      <c r="AA834" s="1056">
        <v>0</v>
      </c>
    </row>
    <row r="835" spans="1:27" s="1079" customFormat="1" ht="92.25" customHeight="1">
      <c r="A835" s="1322">
        <v>330</v>
      </c>
      <c r="B835" s="1062" t="s">
        <v>1331</v>
      </c>
      <c r="C835" s="1056">
        <f t="shared" si="470"/>
        <v>4091527.11</v>
      </c>
      <c r="D835" s="1056">
        <f t="shared" si="471"/>
        <v>0</v>
      </c>
      <c r="E835" s="1056">
        <v>0</v>
      </c>
      <c r="F835" s="1056">
        <v>0</v>
      </c>
      <c r="G835" s="1056">
        <v>0</v>
      </c>
      <c r="H835" s="1056">
        <v>0</v>
      </c>
      <c r="I835" s="1056">
        <v>0</v>
      </c>
      <c r="J835" s="1056">
        <v>0</v>
      </c>
      <c r="K835" s="1063">
        <v>0</v>
      </c>
      <c r="L835" s="1056">
        <v>0</v>
      </c>
      <c r="M835" s="1063">
        <v>0</v>
      </c>
      <c r="N835" s="1056">
        <v>0</v>
      </c>
      <c r="O835" s="1056">
        <v>812.7</v>
      </c>
      <c r="P835" s="1056">
        <v>3869887.88</v>
      </c>
      <c r="Q835" s="1056">
        <v>0</v>
      </c>
      <c r="R835" s="1056">
        <v>0</v>
      </c>
      <c r="S835" s="1056">
        <v>0</v>
      </c>
      <c r="T835" s="1056">
        <v>0</v>
      </c>
      <c r="U835" s="1056">
        <v>0</v>
      </c>
      <c r="V835" s="1056">
        <v>0</v>
      </c>
      <c r="W835" s="1056">
        <v>0</v>
      </c>
      <c r="X835" s="1056">
        <v>0</v>
      </c>
      <c r="Y835" s="1056">
        <v>0</v>
      </c>
      <c r="Z835" s="1056">
        <v>221639.23</v>
      </c>
      <c r="AA835" s="1056">
        <v>0</v>
      </c>
    </row>
    <row r="836" spans="1:27" s="1079" customFormat="1" ht="98.25" customHeight="1">
      <c r="A836" s="1322">
        <v>331</v>
      </c>
      <c r="B836" s="1055" t="s">
        <v>1306</v>
      </c>
      <c r="C836" s="1056">
        <f t="shared" si="470"/>
        <v>1050104.82</v>
      </c>
      <c r="D836" s="1056">
        <f t="shared" si="471"/>
        <v>0</v>
      </c>
      <c r="E836" s="1056">
        <v>0</v>
      </c>
      <c r="F836" s="1056">
        <v>0</v>
      </c>
      <c r="G836" s="1056">
        <v>0</v>
      </c>
      <c r="H836" s="1056">
        <v>0</v>
      </c>
      <c r="I836" s="1056">
        <v>0</v>
      </c>
      <c r="J836" s="1056">
        <v>0</v>
      </c>
      <c r="K836" s="1063">
        <v>0</v>
      </c>
      <c r="L836" s="1056">
        <v>0</v>
      </c>
      <c r="M836" s="1063">
        <v>0</v>
      </c>
      <c r="N836" s="1056">
        <v>0</v>
      </c>
      <c r="O836" s="1056">
        <v>246.3</v>
      </c>
      <c r="P836" s="1056">
        <v>973830.64</v>
      </c>
      <c r="Q836" s="1056">
        <v>0</v>
      </c>
      <c r="R836" s="1056">
        <v>0</v>
      </c>
      <c r="S836" s="1056">
        <v>0</v>
      </c>
      <c r="T836" s="1056">
        <v>0</v>
      </c>
      <c r="U836" s="1056">
        <v>0</v>
      </c>
      <c r="V836" s="1056">
        <v>0</v>
      </c>
      <c r="W836" s="1056">
        <v>0</v>
      </c>
      <c r="X836" s="1056">
        <v>0</v>
      </c>
      <c r="Y836" s="1056">
        <v>0</v>
      </c>
      <c r="Z836" s="1056">
        <v>76274.179999999993</v>
      </c>
      <c r="AA836" s="1056">
        <v>0</v>
      </c>
    </row>
    <row r="837" spans="1:27" s="1079" customFormat="1" ht="98.25" customHeight="1">
      <c r="A837" s="1322">
        <v>332</v>
      </c>
      <c r="B837" s="1244" t="s">
        <v>1170</v>
      </c>
      <c r="C837" s="1056">
        <f t="shared" si="470"/>
        <v>1646831.78</v>
      </c>
      <c r="D837" s="1056">
        <f t="shared" si="471"/>
        <v>0</v>
      </c>
      <c r="E837" s="1056">
        <v>0</v>
      </c>
      <c r="F837" s="1056">
        <v>0</v>
      </c>
      <c r="G837" s="1056">
        <v>0</v>
      </c>
      <c r="H837" s="1056">
        <v>0</v>
      </c>
      <c r="I837" s="1056">
        <v>0</v>
      </c>
      <c r="J837" s="1056">
        <v>0</v>
      </c>
      <c r="K837" s="1063">
        <v>0</v>
      </c>
      <c r="L837" s="1056">
        <v>0</v>
      </c>
      <c r="M837" s="1063">
        <v>0</v>
      </c>
      <c r="N837" s="1056">
        <v>0</v>
      </c>
      <c r="O837" s="1056">
        <v>0</v>
      </c>
      <c r="P837" s="1056">
        <v>0</v>
      </c>
      <c r="Q837" s="1056">
        <v>0</v>
      </c>
      <c r="R837" s="1056">
        <v>0</v>
      </c>
      <c r="S837" s="1056">
        <v>520.79999999999995</v>
      </c>
      <c r="T837" s="1056">
        <v>1527214.44</v>
      </c>
      <c r="U837" s="1056">
        <v>0</v>
      </c>
      <c r="V837" s="1056">
        <v>0</v>
      </c>
      <c r="W837" s="1056">
        <v>0</v>
      </c>
      <c r="X837" s="1056">
        <v>0</v>
      </c>
      <c r="Y837" s="1056">
        <v>0</v>
      </c>
      <c r="Z837" s="1056">
        <v>119617.34</v>
      </c>
      <c r="AA837" s="1056">
        <v>0</v>
      </c>
    </row>
    <row r="838" spans="1:27" s="1079" customFormat="1" ht="98.25" customHeight="1">
      <c r="A838" s="1322">
        <v>333</v>
      </c>
      <c r="B838" s="1244" t="s">
        <v>1171</v>
      </c>
      <c r="C838" s="1056">
        <f t="shared" si="470"/>
        <v>1639242.6900000002</v>
      </c>
      <c r="D838" s="1056">
        <f t="shared" si="471"/>
        <v>0</v>
      </c>
      <c r="E838" s="1056">
        <v>0</v>
      </c>
      <c r="F838" s="1056">
        <v>0</v>
      </c>
      <c r="G838" s="1056">
        <v>0</v>
      </c>
      <c r="H838" s="1056">
        <v>0</v>
      </c>
      <c r="I838" s="1056">
        <v>0</v>
      </c>
      <c r="J838" s="1056">
        <v>0</v>
      </c>
      <c r="K838" s="1063">
        <v>0</v>
      </c>
      <c r="L838" s="1056">
        <v>0</v>
      </c>
      <c r="M838" s="1063">
        <v>0</v>
      </c>
      <c r="N838" s="1056">
        <v>0</v>
      </c>
      <c r="O838" s="1056">
        <v>0</v>
      </c>
      <c r="P838" s="1056">
        <v>0</v>
      </c>
      <c r="Q838" s="1056">
        <v>0</v>
      </c>
      <c r="R838" s="1056">
        <v>0</v>
      </c>
      <c r="S838" s="1056">
        <v>518.4</v>
      </c>
      <c r="T838" s="1056">
        <v>1520176.58</v>
      </c>
      <c r="U838" s="1056">
        <v>0</v>
      </c>
      <c r="V838" s="1056">
        <v>0</v>
      </c>
      <c r="W838" s="1056">
        <v>0</v>
      </c>
      <c r="X838" s="1056">
        <v>0</v>
      </c>
      <c r="Y838" s="1056">
        <v>0</v>
      </c>
      <c r="Z838" s="1056">
        <v>119066.11</v>
      </c>
      <c r="AA838" s="1056">
        <v>0</v>
      </c>
    </row>
    <row r="839" spans="1:27" s="1079" customFormat="1" ht="71.45" customHeight="1">
      <c r="A839" s="1322">
        <v>334</v>
      </c>
      <c r="B839" s="1062" t="s">
        <v>885</v>
      </c>
      <c r="C839" s="1056">
        <f t="shared" ref="C839" si="474">D839+N839+P839+R839+T839+X839+Z839</f>
        <v>443764.06183221354</v>
      </c>
      <c r="D839" s="1056">
        <f t="shared" ref="D839" si="475">SUM(E839:J839)</f>
        <v>425781.93</v>
      </c>
      <c r="E839" s="1056">
        <v>425781.93</v>
      </c>
      <c r="F839" s="1056">
        <v>0</v>
      </c>
      <c r="G839" s="1056">
        <v>0</v>
      </c>
      <c r="H839" s="1056">
        <v>0</v>
      </c>
      <c r="I839" s="1056">
        <v>0</v>
      </c>
      <c r="J839" s="1056">
        <v>0</v>
      </c>
      <c r="K839" s="1063">
        <v>0</v>
      </c>
      <c r="L839" s="1056">
        <v>0</v>
      </c>
      <c r="M839" s="1063">
        <v>0</v>
      </c>
      <c r="N839" s="1056">
        <v>0</v>
      </c>
      <c r="O839" s="1056">
        <v>0</v>
      </c>
      <c r="P839" s="1056">
        <v>0</v>
      </c>
      <c r="Q839" s="1056">
        <v>0</v>
      </c>
      <c r="R839" s="1056">
        <v>0</v>
      </c>
      <c r="S839" s="1056">
        <v>0</v>
      </c>
      <c r="T839" s="1056">
        <v>0</v>
      </c>
      <c r="U839" s="1056">
        <v>0</v>
      </c>
      <c r="V839" s="1056">
        <v>0</v>
      </c>
      <c r="W839" s="1056">
        <v>0</v>
      </c>
      <c r="X839" s="1056">
        <v>0</v>
      </c>
      <c r="Y839" s="1056">
        <v>0</v>
      </c>
      <c r="Z839" s="1056">
        <v>17982.131832213545</v>
      </c>
      <c r="AA839" s="1056">
        <v>0</v>
      </c>
    </row>
    <row r="840" spans="1:27" s="1079" customFormat="1" ht="71.45" customHeight="1">
      <c r="A840" s="1322">
        <v>335</v>
      </c>
      <c r="B840" s="1062" t="s">
        <v>884</v>
      </c>
      <c r="C840" s="1056">
        <f t="shared" ref="C840:C855" si="476">D840+N840+P840+R840+T840+X840+Z840</f>
        <v>1613218.4600000002</v>
      </c>
      <c r="D840" s="1056">
        <f t="shared" ref="D840:D855" si="477">SUM(E840:J840)</f>
        <v>0</v>
      </c>
      <c r="E840" s="1056">
        <v>0</v>
      </c>
      <c r="F840" s="1056">
        <v>0</v>
      </c>
      <c r="G840" s="1056">
        <v>0</v>
      </c>
      <c r="H840" s="1056">
        <v>0</v>
      </c>
      <c r="I840" s="1056">
        <v>0</v>
      </c>
      <c r="J840" s="1056">
        <v>0</v>
      </c>
      <c r="K840" s="1063">
        <v>0</v>
      </c>
      <c r="L840" s="1056">
        <v>0</v>
      </c>
      <c r="M840" s="1063">
        <v>0</v>
      </c>
      <c r="N840" s="1056">
        <v>0</v>
      </c>
      <c r="O840" s="1056">
        <v>0</v>
      </c>
      <c r="P840" s="1056">
        <v>0</v>
      </c>
      <c r="Q840" s="1056">
        <v>0</v>
      </c>
      <c r="R840" s="1056">
        <v>0</v>
      </c>
      <c r="S840" s="1056">
        <v>510.17</v>
      </c>
      <c r="T840" s="1056">
        <v>1496042.61</v>
      </c>
      <c r="U840" s="1056">
        <v>0</v>
      </c>
      <c r="V840" s="1056">
        <v>0</v>
      </c>
      <c r="W840" s="1056">
        <v>0</v>
      </c>
      <c r="X840" s="1056">
        <v>0</v>
      </c>
      <c r="Y840" s="1056">
        <v>0</v>
      </c>
      <c r="Z840" s="1056">
        <v>117175.85</v>
      </c>
      <c r="AA840" s="1056">
        <v>0</v>
      </c>
    </row>
    <row r="841" spans="1:27" s="1079" customFormat="1" ht="95.25" customHeight="1">
      <c r="A841" s="1322">
        <v>336</v>
      </c>
      <c r="B841" s="1245" t="s">
        <v>1125</v>
      </c>
      <c r="C841" s="1056">
        <f t="shared" si="476"/>
        <v>1630796.1700000002</v>
      </c>
      <c r="D841" s="1056">
        <f t="shared" si="477"/>
        <v>0</v>
      </c>
      <c r="E841" s="1056">
        <v>0</v>
      </c>
      <c r="F841" s="1056">
        <v>0</v>
      </c>
      <c r="G841" s="1056">
        <v>0</v>
      </c>
      <c r="H841" s="1056">
        <v>0</v>
      </c>
      <c r="I841" s="1056">
        <v>0</v>
      </c>
      <c r="J841" s="1056">
        <v>0</v>
      </c>
      <c r="K841" s="1063">
        <v>0</v>
      </c>
      <c r="L841" s="1056">
        <v>0</v>
      </c>
      <c r="M841" s="1063">
        <v>0</v>
      </c>
      <c r="N841" s="1056">
        <v>0</v>
      </c>
      <c r="O841" s="1269">
        <v>382.5</v>
      </c>
      <c r="P841" s="1056">
        <v>1512343.57</v>
      </c>
      <c r="Q841" s="1056">
        <v>0</v>
      </c>
      <c r="R841" s="1056">
        <v>0</v>
      </c>
      <c r="S841" s="1056">
        <v>0</v>
      </c>
      <c r="T841" s="1056">
        <v>0</v>
      </c>
      <c r="U841" s="1056">
        <v>0</v>
      </c>
      <c r="V841" s="1056">
        <v>0</v>
      </c>
      <c r="W841" s="1056">
        <v>0</v>
      </c>
      <c r="X841" s="1056">
        <v>0</v>
      </c>
      <c r="Y841" s="1056">
        <v>0</v>
      </c>
      <c r="Z841" s="1246">
        <v>118452.6</v>
      </c>
      <c r="AA841" s="1056">
        <v>0</v>
      </c>
    </row>
    <row r="842" spans="1:27" s="1079" customFormat="1" ht="104.25" customHeight="1">
      <c r="A842" s="1322">
        <v>337</v>
      </c>
      <c r="B842" s="1245" t="s">
        <v>2129</v>
      </c>
      <c r="C842" s="1056">
        <f t="shared" si="476"/>
        <v>1236420.6299999999</v>
      </c>
      <c r="D842" s="1056">
        <f t="shared" si="477"/>
        <v>0</v>
      </c>
      <c r="E842" s="1056">
        <v>0</v>
      </c>
      <c r="F842" s="1056">
        <v>0</v>
      </c>
      <c r="G842" s="1056">
        <v>0</v>
      </c>
      <c r="H842" s="1056">
        <v>0</v>
      </c>
      <c r="I842" s="1056">
        <v>0</v>
      </c>
      <c r="J842" s="1056">
        <v>0</v>
      </c>
      <c r="K842" s="1063">
        <v>0</v>
      </c>
      <c r="L842" s="1056">
        <v>0</v>
      </c>
      <c r="M842" s="1063">
        <v>0</v>
      </c>
      <c r="N842" s="1056">
        <v>0</v>
      </c>
      <c r="O842" s="1269">
        <v>290</v>
      </c>
      <c r="P842" s="1056">
        <v>1146613.43</v>
      </c>
      <c r="Q842" s="1056">
        <v>0</v>
      </c>
      <c r="R842" s="1056">
        <v>0</v>
      </c>
      <c r="S842" s="1056">
        <v>0</v>
      </c>
      <c r="T842" s="1056">
        <v>0</v>
      </c>
      <c r="U842" s="1056">
        <v>0</v>
      </c>
      <c r="V842" s="1056">
        <v>0</v>
      </c>
      <c r="W842" s="1056">
        <v>0</v>
      </c>
      <c r="X842" s="1056">
        <v>0</v>
      </c>
      <c r="Y842" s="1056">
        <v>0</v>
      </c>
      <c r="Z842" s="1246">
        <v>89807.2</v>
      </c>
      <c r="AA842" s="1056">
        <v>0</v>
      </c>
    </row>
    <row r="843" spans="1:27" s="1079" customFormat="1" ht="101.25" customHeight="1">
      <c r="A843" s="1322">
        <v>338</v>
      </c>
      <c r="B843" s="1245" t="s">
        <v>2130</v>
      </c>
      <c r="C843" s="1056">
        <f t="shared" si="476"/>
        <v>4752006.0199999996</v>
      </c>
      <c r="D843" s="1056">
        <f t="shared" si="477"/>
        <v>0</v>
      </c>
      <c r="E843" s="1056">
        <v>0</v>
      </c>
      <c r="F843" s="1056">
        <v>0</v>
      </c>
      <c r="G843" s="1056">
        <v>0</v>
      </c>
      <c r="H843" s="1056">
        <v>0</v>
      </c>
      <c r="I843" s="1056">
        <v>0</v>
      </c>
      <c r="J843" s="1056">
        <v>0</v>
      </c>
      <c r="K843" s="1063">
        <v>0</v>
      </c>
      <c r="L843" s="1056">
        <v>0</v>
      </c>
      <c r="M843" s="1063">
        <v>0</v>
      </c>
      <c r="N843" s="1056">
        <v>0</v>
      </c>
      <c r="O843" s="1269">
        <v>1321.6</v>
      </c>
      <c r="P843" s="1056">
        <v>4428963.63</v>
      </c>
      <c r="Q843" s="1056">
        <v>0</v>
      </c>
      <c r="R843" s="1056">
        <v>0</v>
      </c>
      <c r="S843" s="1056">
        <v>0</v>
      </c>
      <c r="T843" s="1056">
        <v>0</v>
      </c>
      <c r="U843" s="1056">
        <v>0</v>
      </c>
      <c r="V843" s="1056">
        <v>0</v>
      </c>
      <c r="W843" s="1056">
        <v>0</v>
      </c>
      <c r="X843" s="1056">
        <v>0</v>
      </c>
      <c r="Y843" s="1056">
        <v>0</v>
      </c>
      <c r="Z843" s="1246">
        <v>323042.39</v>
      </c>
      <c r="AA843" s="1056">
        <v>0</v>
      </c>
    </row>
    <row r="844" spans="1:27" s="1079" customFormat="1" ht="107.25" customHeight="1">
      <c r="A844" s="1322">
        <v>339</v>
      </c>
      <c r="B844" s="1245" t="s">
        <v>2131</v>
      </c>
      <c r="C844" s="1056">
        <f t="shared" si="476"/>
        <v>1297904.9100000001</v>
      </c>
      <c r="D844" s="1056">
        <f t="shared" si="477"/>
        <v>0</v>
      </c>
      <c r="E844" s="1056">
        <v>0</v>
      </c>
      <c r="F844" s="1056">
        <v>0</v>
      </c>
      <c r="G844" s="1056">
        <v>0</v>
      </c>
      <c r="H844" s="1056">
        <v>0</v>
      </c>
      <c r="I844" s="1056">
        <v>0</v>
      </c>
      <c r="J844" s="1056">
        <v>0</v>
      </c>
      <c r="K844" s="1063">
        <v>0</v>
      </c>
      <c r="L844" s="1056">
        <v>0</v>
      </c>
      <c r="M844" s="1063">
        <v>0</v>
      </c>
      <c r="N844" s="1056">
        <v>0</v>
      </c>
      <c r="O844" s="1269">
        <v>308.8</v>
      </c>
      <c r="P844" s="1056">
        <v>1220945.6100000001</v>
      </c>
      <c r="Q844" s="1056">
        <v>0</v>
      </c>
      <c r="R844" s="1056">
        <v>0</v>
      </c>
      <c r="S844" s="1056">
        <v>0</v>
      </c>
      <c r="T844" s="1056">
        <v>0</v>
      </c>
      <c r="U844" s="1056">
        <v>0</v>
      </c>
      <c r="V844" s="1056">
        <v>0</v>
      </c>
      <c r="W844" s="1056">
        <v>0</v>
      </c>
      <c r="X844" s="1056">
        <v>0</v>
      </c>
      <c r="Y844" s="1056">
        <v>0</v>
      </c>
      <c r="Z844" s="1246">
        <v>76959.3</v>
      </c>
      <c r="AA844" s="1056">
        <v>0</v>
      </c>
    </row>
    <row r="845" spans="1:27" s="1079" customFormat="1" ht="112.5" customHeight="1">
      <c r="A845" s="1322">
        <v>340</v>
      </c>
      <c r="B845" s="1245" t="s">
        <v>1531</v>
      </c>
      <c r="C845" s="1056">
        <f t="shared" si="476"/>
        <v>2720952.52</v>
      </c>
      <c r="D845" s="1056">
        <f t="shared" si="477"/>
        <v>0</v>
      </c>
      <c r="E845" s="1056">
        <v>0</v>
      </c>
      <c r="F845" s="1056">
        <v>0</v>
      </c>
      <c r="G845" s="1056">
        <v>0</v>
      </c>
      <c r="H845" s="1056">
        <v>0</v>
      </c>
      <c r="I845" s="1056">
        <v>0</v>
      </c>
      <c r="J845" s="1056">
        <v>0</v>
      </c>
      <c r="K845" s="1063">
        <v>0</v>
      </c>
      <c r="L845" s="1056">
        <v>0</v>
      </c>
      <c r="M845" s="1063">
        <v>0</v>
      </c>
      <c r="N845" s="1056">
        <v>0</v>
      </c>
      <c r="O845" s="1269">
        <v>756.8</v>
      </c>
      <c r="P845" s="1056">
        <v>2536198.2999999998</v>
      </c>
      <c r="Q845" s="1056">
        <v>0</v>
      </c>
      <c r="R845" s="1056">
        <v>0</v>
      </c>
      <c r="S845" s="1056">
        <v>0</v>
      </c>
      <c r="T845" s="1056">
        <v>0</v>
      </c>
      <c r="U845" s="1056">
        <v>0</v>
      </c>
      <c r="V845" s="1056">
        <v>0</v>
      </c>
      <c r="W845" s="1056">
        <v>0</v>
      </c>
      <c r="X845" s="1056">
        <v>0</v>
      </c>
      <c r="Y845" s="1056">
        <v>0</v>
      </c>
      <c r="Z845" s="1246">
        <v>184754.22</v>
      </c>
      <c r="AA845" s="1056">
        <v>0</v>
      </c>
    </row>
    <row r="846" spans="1:27" s="1064" customFormat="1" ht="91.5" customHeight="1">
      <c r="A846" s="1322">
        <v>341</v>
      </c>
      <c r="B846" s="1245" t="s">
        <v>1272</v>
      </c>
      <c r="C846" s="1056">
        <f t="shared" si="476"/>
        <v>1722085</v>
      </c>
      <c r="D846" s="1056">
        <f t="shared" si="477"/>
        <v>0</v>
      </c>
      <c r="E846" s="1056">
        <v>0</v>
      </c>
      <c r="F846" s="1056">
        <v>0</v>
      </c>
      <c r="G846" s="1056">
        <v>0</v>
      </c>
      <c r="H846" s="1056">
        <v>0</v>
      </c>
      <c r="I846" s="1056">
        <v>0</v>
      </c>
      <c r="J846" s="1056">
        <v>0</v>
      </c>
      <c r="K846" s="1063">
        <v>0</v>
      </c>
      <c r="L846" s="1056">
        <v>0</v>
      </c>
      <c r="M846" s="1063">
        <v>0</v>
      </c>
      <c r="N846" s="1056">
        <v>0</v>
      </c>
      <c r="O846" s="1284">
        <v>508.8</v>
      </c>
      <c r="P846" s="1284">
        <v>1597002</v>
      </c>
      <c r="Q846" s="1056">
        <v>0</v>
      </c>
      <c r="R846" s="1056">
        <v>0</v>
      </c>
      <c r="S846" s="1056">
        <v>0</v>
      </c>
      <c r="T846" s="1056">
        <v>0</v>
      </c>
      <c r="U846" s="1056">
        <v>0</v>
      </c>
      <c r="V846" s="1056">
        <v>0</v>
      </c>
      <c r="W846" s="1056">
        <v>0</v>
      </c>
      <c r="X846" s="1056">
        <v>0</v>
      </c>
      <c r="Y846" s="1056">
        <v>0</v>
      </c>
      <c r="Z846" s="1246">
        <v>125083</v>
      </c>
      <c r="AA846" s="1056">
        <v>0</v>
      </c>
    </row>
    <row r="847" spans="1:27" s="1064" customFormat="1" ht="91.5" customHeight="1">
      <c r="A847" s="1322">
        <v>342</v>
      </c>
      <c r="B847" s="1306" t="s">
        <v>2158</v>
      </c>
      <c r="C847" s="1056">
        <f t="shared" si="476"/>
        <v>3723730.37</v>
      </c>
      <c r="D847" s="1056">
        <f t="shared" si="477"/>
        <v>0</v>
      </c>
      <c r="E847" s="1056">
        <v>0</v>
      </c>
      <c r="F847" s="1056">
        <v>0</v>
      </c>
      <c r="G847" s="1056">
        <v>0</v>
      </c>
      <c r="H847" s="1056">
        <v>0</v>
      </c>
      <c r="I847" s="1056">
        <v>0</v>
      </c>
      <c r="J847" s="1056">
        <v>0</v>
      </c>
      <c r="K847" s="1063">
        <v>0</v>
      </c>
      <c r="L847" s="1056">
        <v>0</v>
      </c>
      <c r="M847" s="1063">
        <v>0</v>
      </c>
      <c r="N847" s="1056">
        <v>0</v>
      </c>
      <c r="O847" s="1284">
        <v>1030.45</v>
      </c>
      <c r="P847" s="1284">
        <v>3453257.85</v>
      </c>
      <c r="Q847" s="1056">
        <v>0</v>
      </c>
      <c r="R847" s="1056">
        <v>0</v>
      </c>
      <c r="S847" s="1056">
        <v>0</v>
      </c>
      <c r="T847" s="1056">
        <v>0</v>
      </c>
      <c r="U847" s="1056">
        <v>0</v>
      </c>
      <c r="V847" s="1056">
        <v>0</v>
      </c>
      <c r="W847" s="1056">
        <v>0</v>
      </c>
      <c r="X847" s="1056">
        <v>0</v>
      </c>
      <c r="Y847" s="1056">
        <v>0</v>
      </c>
      <c r="Z847" s="1269">
        <v>270472.52</v>
      </c>
      <c r="AA847" s="1056">
        <v>0</v>
      </c>
    </row>
    <row r="848" spans="1:27" s="1064" customFormat="1" ht="91.5" customHeight="1">
      <c r="A848" s="1322">
        <v>343</v>
      </c>
      <c r="B848" s="1247" t="s">
        <v>2134</v>
      </c>
      <c r="C848" s="1056">
        <f t="shared" si="476"/>
        <v>807936.92999999993</v>
      </c>
      <c r="D848" s="1056">
        <f t="shared" si="477"/>
        <v>0</v>
      </c>
      <c r="E848" s="1056">
        <v>0</v>
      </c>
      <c r="F848" s="1056">
        <v>0</v>
      </c>
      <c r="G848" s="1056">
        <v>0</v>
      </c>
      <c r="H848" s="1056">
        <v>0</v>
      </c>
      <c r="I848" s="1056">
        <v>0</v>
      </c>
      <c r="J848" s="1056">
        <v>0</v>
      </c>
      <c r="K848" s="1063">
        <v>0</v>
      </c>
      <c r="L848" s="1056">
        <v>0</v>
      </c>
      <c r="M848" s="1063">
        <v>0</v>
      </c>
      <c r="N848" s="1056">
        <v>0</v>
      </c>
      <c r="O848" s="1284">
        <v>189.5</v>
      </c>
      <c r="P848" s="1284">
        <v>749252.57</v>
      </c>
      <c r="Q848" s="1056">
        <v>0</v>
      </c>
      <c r="R848" s="1056">
        <v>0</v>
      </c>
      <c r="S848" s="1056">
        <v>0</v>
      </c>
      <c r="T848" s="1056">
        <v>0</v>
      </c>
      <c r="U848" s="1056">
        <v>0</v>
      </c>
      <c r="V848" s="1056">
        <v>0</v>
      </c>
      <c r="W848" s="1056">
        <v>0</v>
      </c>
      <c r="X848" s="1056">
        <v>0</v>
      </c>
      <c r="Y848" s="1056">
        <v>0</v>
      </c>
      <c r="Z848" s="1246">
        <v>58684.36</v>
      </c>
      <c r="AA848" s="1056">
        <v>0</v>
      </c>
    </row>
    <row r="849" spans="1:27" s="1064" customFormat="1" ht="91.5" customHeight="1">
      <c r="A849" s="1322">
        <v>344</v>
      </c>
      <c r="B849" s="1245" t="s">
        <v>2135</v>
      </c>
      <c r="C849" s="1056">
        <f t="shared" si="476"/>
        <v>3322791.08</v>
      </c>
      <c r="D849" s="1056">
        <f t="shared" si="477"/>
        <v>0</v>
      </c>
      <c r="E849" s="1056">
        <v>0</v>
      </c>
      <c r="F849" s="1056">
        <v>0</v>
      </c>
      <c r="G849" s="1056">
        <v>0</v>
      </c>
      <c r="H849" s="1056">
        <v>0</v>
      </c>
      <c r="I849" s="1056">
        <v>0</v>
      </c>
      <c r="J849" s="1056">
        <v>0</v>
      </c>
      <c r="K849" s="1063">
        <v>0</v>
      </c>
      <c r="L849" s="1056">
        <v>0</v>
      </c>
      <c r="M849" s="1063">
        <v>0</v>
      </c>
      <c r="N849" s="1056">
        <v>0</v>
      </c>
      <c r="O849" s="1284">
        <v>919.5</v>
      </c>
      <c r="P849" s="1056">
        <v>3081440.72</v>
      </c>
      <c r="Q849" s="1056">
        <v>0</v>
      </c>
      <c r="R849" s="1056">
        <v>0</v>
      </c>
      <c r="S849" s="1056">
        <v>0</v>
      </c>
      <c r="T849" s="1056">
        <v>0</v>
      </c>
      <c r="U849" s="1056">
        <v>0</v>
      </c>
      <c r="V849" s="1056">
        <v>0</v>
      </c>
      <c r="W849" s="1056">
        <v>0</v>
      </c>
      <c r="X849" s="1056">
        <v>0</v>
      </c>
      <c r="Y849" s="1056">
        <v>0</v>
      </c>
      <c r="Z849" s="1269">
        <v>241350.36</v>
      </c>
      <c r="AA849" s="1056">
        <v>0</v>
      </c>
    </row>
    <row r="850" spans="1:27" s="1079" customFormat="1" ht="85.15" customHeight="1">
      <c r="A850" s="1322">
        <v>345</v>
      </c>
      <c r="B850" s="1245" t="s">
        <v>2159</v>
      </c>
      <c r="C850" s="1056">
        <f t="shared" si="476"/>
        <v>3323513.82</v>
      </c>
      <c r="D850" s="1056">
        <f t="shared" si="477"/>
        <v>0</v>
      </c>
      <c r="E850" s="1056">
        <v>0</v>
      </c>
      <c r="F850" s="1056">
        <v>0</v>
      </c>
      <c r="G850" s="1056">
        <v>0</v>
      </c>
      <c r="H850" s="1056">
        <v>0</v>
      </c>
      <c r="I850" s="1056">
        <v>0</v>
      </c>
      <c r="J850" s="1056">
        <v>0</v>
      </c>
      <c r="K850" s="1063">
        <v>0</v>
      </c>
      <c r="L850" s="1056">
        <v>0</v>
      </c>
      <c r="M850" s="1063">
        <v>0</v>
      </c>
      <c r="N850" s="1056">
        <v>0</v>
      </c>
      <c r="O850" s="1284">
        <v>919.7</v>
      </c>
      <c r="P850" s="1284">
        <v>3082110.96</v>
      </c>
      <c r="Q850" s="1056">
        <v>0</v>
      </c>
      <c r="R850" s="1056">
        <v>0</v>
      </c>
      <c r="S850" s="1056">
        <v>0</v>
      </c>
      <c r="T850" s="1056">
        <v>0</v>
      </c>
      <c r="U850" s="1056">
        <v>0</v>
      </c>
      <c r="V850" s="1056">
        <v>0</v>
      </c>
      <c r="W850" s="1056">
        <v>0</v>
      </c>
      <c r="X850" s="1056">
        <v>0</v>
      </c>
      <c r="Y850" s="1056">
        <v>0</v>
      </c>
      <c r="Z850" s="1269">
        <v>241402.86</v>
      </c>
      <c r="AA850" s="1056">
        <v>0</v>
      </c>
    </row>
    <row r="851" spans="1:27" s="1079" customFormat="1" ht="139.9" customHeight="1">
      <c r="A851" s="1322">
        <v>346</v>
      </c>
      <c r="B851" s="1247" t="s">
        <v>2137</v>
      </c>
      <c r="C851" s="1056">
        <f t="shared" si="476"/>
        <v>1822385.5799999998</v>
      </c>
      <c r="D851" s="1056">
        <f t="shared" si="477"/>
        <v>0</v>
      </c>
      <c r="E851" s="1056">
        <v>0</v>
      </c>
      <c r="F851" s="1056">
        <v>0</v>
      </c>
      <c r="G851" s="1056">
        <v>0</v>
      </c>
      <c r="H851" s="1056">
        <v>0</v>
      </c>
      <c r="I851" s="1056">
        <v>0</v>
      </c>
      <c r="J851" s="1056">
        <v>0</v>
      </c>
      <c r="K851" s="1063">
        <v>0</v>
      </c>
      <c r="L851" s="1056">
        <v>0</v>
      </c>
      <c r="M851" s="1063">
        <v>0</v>
      </c>
      <c r="N851" s="1056">
        <v>0</v>
      </c>
      <c r="O851" s="1284">
        <v>504.3</v>
      </c>
      <c r="P851" s="1284">
        <v>1690016.92</v>
      </c>
      <c r="Q851" s="1056">
        <v>0</v>
      </c>
      <c r="R851" s="1056">
        <v>0</v>
      </c>
      <c r="S851" s="1056">
        <v>0</v>
      </c>
      <c r="T851" s="1056">
        <v>0</v>
      </c>
      <c r="U851" s="1056">
        <v>0</v>
      </c>
      <c r="V851" s="1056">
        <v>0</v>
      </c>
      <c r="W851" s="1056">
        <v>0</v>
      </c>
      <c r="X851" s="1056">
        <v>0</v>
      </c>
      <c r="Y851" s="1056">
        <v>0</v>
      </c>
      <c r="Z851" s="1246">
        <v>132368.66</v>
      </c>
      <c r="AA851" s="1056">
        <v>0</v>
      </c>
    </row>
    <row r="852" spans="1:27" s="1079" customFormat="1" ht="113.25" customHeight="1">
      <c r="A852" s="1322">
        <v>347</v>
      </c>
      <c r="B852" s="1247" t="s">
        <v>2138</v>
      </c>
      <c r="C852" s="1056">
        <f t="shared" si="476"/>
        <v>1256032.82</v>
      </c>
      <c r="D852" s="1056">
        <f t="shared" si="477"/>
        <v>0</v>
      </c>
      <c r="E852" s="1056">
        <v>0</v>
      </c>
      <c r="F852" s="1056">
        <v>0</v>
      </c>
      <c r="G852" s="1056">
        <v>0</v>
      </c>
      <c r="H852" s="1056">
        <v>0</v>
      </c>
      <c r="I852" s="1056">
        <v>0</v>
      </c>
      <c r="J852" s="1056">
        <v>0</v>
      </c>
      <c r="K852" s="1063">
        <v>0</v>
      </c>
      <c r="L852" s="1056">
        <v>0</v>
      </c>
      <c r="M852" s="1063">
        <v>0</v>
      </c>
      <c r="N852" s="1056">
        <v>0</v>
      </c>
      <c r="O852" s="1284">
        <v>294.60000000000002</v>
      </c>
      <c r="P852" s="1284">
        <v>1164801.0900000001</v>
      </c>
      <c r="Q852" s="1056">
        <v>0</v>
      </c>
      <c r="R852" s="1056">
        <v>0</v>
      </c>
      <c r="S852" s="1056">
        <v>0</v>
      </c>
      <c r="T852" s="1056">
        <v>0</v>
      </c>
      <c r="U852" s="1056">
        <v>0</v>
      </c>
      <c r="V852" s="1056">
        <v>0</v>
      </c>
      <c r="W852" s="1056">
        <v>0</v>
      </c>
      <c r="X852" s="1056">
        <v>0</v>
      </c>
      <c r="Y852" s="1056">
        <v>0</v>
      </c>
      <c r="Z852" s="1246">
        <v>91231.73</v>
      </c>
      <c r="AA852" s="1056">
        <v>0</v>
      </c>
    </row>
    <row r="853" spans="1:27" s="1079" customFormat="1" ht="108" customHeight="1">
      <c r="A853" s="1322">
        <v>348</v>
      </c>
      <c r="B853" s="1306" t="s">
        <v>1532</v>
      </c>
      <c r="C853" s="1056">
        <f t="shared" si="476"/>
        <v>3329657.0999999996</v>
      </c>
      <c r="D853" s="1056">
        <f t="shared" si="477"/>
        <v>0</v>
      </c>
      <c r="E853" s="1056">
        <v>0</v>
      </c>
      <c r="F853" s="1056">
        <v>0</v>
      </c>
      <c r="G853" s="1056">
        <v>0</v>
      </c>
      <c r="H853" s="1056">
        <v>0</v>
      </c>
      <c r="I853" s="1056">
        <v>0</v>
      </c>
      <c r="J853" s="1056">
        <v>0</v>
      </c>
      <c r="K853" s="1063">
        <v>0</v>
      </c>
      <c r="L853" s="1056">
        <v>0</v>
      </c>
      <c r="M853" s="1063">
        <v>0</v>
      </c>
      <c r="N853" s="1056">
        <v>0</v>
      </c>
      <c r="O853" s="1284">
        <v>921.4</v>
      </c>
      <c r="P853" s="1056">
        <v>3087808.03</v>
      </c>
      <c r="Q853" s="1056">
        <v>0</v>
      </c>
      <c r="R853" s="1056">
        <v>0</v>
      </c>
      <c r="S853" s="1056">
        <v>0</v>
      </c>
      <c r="T853" s="1056">
        <v>0</v>
      </c>
      <c r="U853" s="1056">
        <v>0</v>
      </c>
      <c r="V853" s="1056">
        <v>0</v>
      </c>
      <c r="W853" s="1056">
        <v>0</v>
      </c>
      <c r="X853" s="1056">
        <v>0</v>
      </c>
      <c r="Y853" s="1056">
        <v>0</v>
      </c>
      <c r="Z853" s="1269">
        <v>241849.07</v>
      </c>
      <c r="AA853" s="1056">
        <v>0</v>
      </c>
    </row>
    <row r="854" spans="1:27" s="1079" customFormat="1" ht="93" customHeight="1">
      <c r="A854" s="1322">
        <v>349</v>
      </c>
      <c r="B854" s="1233" t="s">
        <v>2160</v>
      </c>
      <c r="C854" s="1056">
        <f t="shared" si="476"/>
        <v>2425090</v>
      </c>
      <c r="D854" s="1056">
        <f t="shared" si="477"/>
        <v>0</v>
      </c>
      <c r="E854" s="1056">
        <v>0</v>
      </c>
      <c r="F854" s="1056">
        <v>0</v>
      </c>
      <c r="G854" s="1056">
        <v>0</v>
      </c>
      <c r="H854" s="1056">
        <v>0</v>
      </c>
      <c r="I854" s="1056">
        <v>0</v>
      </c>
      <c r="J854" s="1056">
        <v>0</v>
      </c>
      <c r="K854" s="1063">
        <v>0</v>
      </c>
      <c r="L854" s="1056">
        <v>0</v>
      </c>
      <c r="M854" s="1063">
        <v>0</v>
      </c>
      <c r="N854" s="1056">
        <v>0</v>
      </c>
      <c r="O854" s="1282">
        <v>568.79999999999995</v>
      </c>
      <c r="P854" s="1282">
        <v>2248944</v>
      </c>
      <c r="Q854" s="1056">
        <v>0</v>
      </c>
      <c r="R854" s="1056">
        <v>0</v>
      </c>
      <c r="S854" s="1056">
        <v>0</v>
      </c>
      <c r="T854" s="1056">
        <v>0</v>
      </c>
      <c r="U854" s="1056">
        <v>0</v>
      </c>
      <c r="V854" s="1056">
        <v>0</v>
      </c>
      <c r="W854" s="1056">
        <v>0</v>
      </c>
      <c r="X854" s="1056">
        <v>0</v>
      </c>
      <c r="Y854" s="1056">
        <v>0</v>
      </c>
      <c r="Z854" s="1283">
        <v>176146</v>
      </c>
      <c r="AA854" s="1056">
        <v>0</v>
      </c>
    </row>
    <row r="855" spans="1:27" s="1079" customFormat="1" ht="106.5" customHeight="1">
      <c r="A855" s="1322">
        <v>350</v>
      </c>
      <c r="B855" s="1062" t="s">
        <v>2161</v>
      </c>
      <c r="C855" s="1056">
        <f t="shared" si="476"/>
        <v>1040298.7300000001</v>
      </c>
      <c r="D855" s="1056">
        <f t="shared" si="477"/>
        <v>0</v>
      </c>
      <c r="E855" s="1056">
        <v>0</v>
      </c>
      <c r="F855" s="1056">
        <v>0</v>
      </c>
      <c r="G855" s="1056">
        <v>0</v>
      </c>
      <c r="H855" s="1056">
        <v>0</v>
      </c>
      <c r="I855" s="1056">
        <v>0</v>
      </c>
      <c r="J855" s="1056">
        <v>0</v>
      </c>
      <c r="K855" s="1063">
        <v>0</v>
      </c>
      <c r="L855" s="1056">
        <v>0</v>
      </c>
      <c r="M855" s="1063">
        <v>0</v>
      </c>
      <c r="N855" s="1056">
        <v>0</v>
      </c>
      <c r="O855" s="1284">
        <v>244</v>
      </c>
      <c r="P855" s="1284">
        <v>964736.81</v>
      </c>
      <c r="Q855" s="1056">
        <v>0</v>
      </c>
      <c r="R855" s="1056">
        <v>0</v>
      </c>
      <c r="S855" s="1056">
        <v>0</v>
      </c>
      <c r="T855" s="1056">
        <v>0</v>
      </c>
      <c r="U855" s="1056">
        <v>0</v>
      </c>
      <c r="V855" s="1056">
        <v>0</v>
      </c>
      <c r="W855" s="1056">
        <v>0</v>
      </c>
      <c r="X855" s="1056">
        <v>0</v>
      </c>
      <c r="Y855" s="1056">
        <v>0</v>
      </c>
      <c r="Z855" s="1246">
        <v>75561.919999999998</v>
      </c>
      <c r="AA855" s="1056">
        <v>0</v>
      </c>
    </row>
    <row r="856" spans="1:27" s="1079" customFormat="1" ht="112.5" customHeight="1">
      <c r="A856" s="1322"/>
      <c r="B856" s="1062" t="s">
        <v>1243</v>
      </c>
      <c r="C856" s="1056">
        <f>C857+C858+C859+C860+C861+C862</f>
        <v>15617979.110000001</v>
      </c>
      <c r="D856" s="1056">
        <f t="shared" ref="D856:AA856" si="478">D857+D858+D859+D860+D861+D862</f>
        <v>5432735.25</v>
      </c>
      <c r="E856" s="1056">
        <f t="shared" si="478"/>
        <v>1222962.1000000001</v>
      </c>
      <c r="F856" s="1056">
        <f t="shared" si="478"/>
        <v>0</v>
      </c>
      <c r="G856" s="1056">
        <f t="shared" si="478"/>
        <v>996434.53</v>
      </c>
      <c r="H856" s="1056">
        <f t="shared" si="478"/>
        <v>2314396.96</v>
      </c>
      <c r="I856" s="1056">
        <f t="shared" si="478"/>
        <v>478840.39</v>
      </c>
      <c r="J856" s="1056">
        <f t="shared" si="478"/>
        <v>420101.27</v>
      </c>
      <c r="K856" s="1056">
        <f t="shared" si="478"/>
        <v>0</v>
      </c>
      <c r="L856" s="1056">
        <f t="shared" si="478"/>
        <v>0</v>
      </c>
      <c r="M856" s="1056">
        <f t="shared" si="478"/>
        <v>0</v>
      </c>
      <c r="N856" s="1056">
        <f t="shared" si="478"/>
        <v>0</v>
      </c>
      <c r="O856" s="1056">
        <f t="shared" si="478"/>
        <v>1758.94</v>
      </c>
      <c r="P856" s="1056">
        <f t="shared" si="478"/>
        <v>9158113.2100000009</v>
      </c>
      <c r="Q856" s="1056">
        <f t="shared" si="478"/>
        <v>0</v>
      </c>
      <c r="R856" s="1056">
        <f t="shared" si="478"/>
        <v>0</v>
      </c>
      <c r="S856" s="1056">
        <f t="shared" si="478"/>
        <v>0</v>
      </c>
      <c r="T856" s="1056">
        <f t="shared" si="478"/>
        <v>0</v>
      </c>
      <c r="U856" s="1056">
        <f t="shared" si="478"/>
        <v>0</v>
      </c>
      <c r="V856" s="1056">
        <f t="shared" si="478"/>
        <v>0</v>
      </c>
      <c r="W856" s="1056">
        <f t="shared" si="478"/>
        <v>0</v>
      </c>
      <c r="X856" s="1056">
        <f t="shared" si="478"/>
        <v>0</v>
      </c>
      <c r="Y856" s="1056">
        <f t="shared" si="478"/>
        <v>0</v>
      </c>
      <c r="Z856" s="1056">
        <f t="shared" si="478"/>
        <v>1027130.6499999999</v>
      </c>
      <c r="AA856" s="1056">
        <f t="shared" si="478"/>
        <v>0</v>
      </c>
    </row>
    <row r="857" spans="1:27" s="1079" customFormat="1" ht="151.5" customHeight="1">
      <c r="A857" s="1322">
        <v>351</v>
      </c>
      <c r="B857" s="1055" t="s">
        <v>1328</v>
      </c>
      <c r="C857" s="1056">
        <f t="shared" ref="C857" si="479">D857+N857+P857+R857+T857+X857+Z857</f>
        <v>962024.44</v>
      </c>
      <c r="D857" s="1056">
        <f t="shared" ref="D857" si="480">SUM(E857:J857)</f>
        <v>892147.96</v>
      </c>
      <c r="E857" s="1056">
        <v>0</v>
      </c>
      <c r="F857" s="1056">
        <v>0</v>
      </c>
      <c r="G857" s="1056">
        <v>0</v>
      </c>
      <c r="H857" s="1056">
        <v>892147.96</v>
      </c>
      <c r="I857" s="1056">
        <v>0</v>
      </c>
      <c r="J857" s="1056">
        <v>0</v>
      </c>
      <c r="K857" s="1063">
        <v>0</v>
      </c>
      <c r="L857" s="1056">
        <v>0</v>
      </c>
      <c r="M857" s="1063">
        <v>0</v>
      </c>
      <c r="N857" s="1056">
        <v>0</v>
      </c>
      <c r="O857" s="1056">
        <v>0</v>
      </c>
      <c r="P857" s="1056">
        <v>0</v>
      </c>
      <c r="Q857" s="1056">
        <v>0</v>
      </c>
      <c r="R857" s="1056">
        <v>0</v>
      </c>
      <c r="S857" s="1056">
        <v>0</v>
      </c>
      <c r="T857" s="1056">
        <v>0</v>
      </c>
      <c r="U857" s="1056">
        <v>0</v>
      </c>
      <c r="V857" s="1056">
        <v>0</v>
      </c>
      <c r="W857" s="1056">
        <v>0</v>
      </c>
      <c r="X857" s="1056">
        <v>0</v>
      </c>
      <c r="Y857" s="1056">
        <v>0</v>
      </c>
      <c r="Z857" s="1056">
        <v>69876.479999999996</v>
      </c>
      <c r="AA857" s="1056">
        <v>0</v>
      </c>
    </row>
    <row r="858" spans="1:27" s="1079" customFormat="1" ht="90" customHeight="1">
      <c r="A858" s="1322">
        <v>352</v>
      </c>
      <c r="B858" s="1055" t="s">
        <v>1587</v>
      </c>
      <c r="C858" s="1056">
        <f t="shared" ref="C858:C860" si="481">D858+N858+P858+R858+T858+X858+Z858</f>
        <v>2608077.64</v>
      </c>
      <c r="D858" s="1056">
        <f t="shared" ref="D858:D860" si="482">SUM(E858:J858)</f>
        <v>2418640.37</v>
      </c>
      <c r="E858" s="1056">
        <v>651436.77</v>
      </c>
      <c r="F858" s="1056">
        <v>0</v>
      </c>
      <c r="G858" s="1056">
        <v>530772.04</v>
      </c>
      <c r="H858" s="1056">
        <v>757591.17</v>
      </c>
      <c r="I858" s="1056">
        <v>478840.39</v>
      </c>
      <c r="J858" s="1056">
        <v>0</v>
      </c>
      <c r="K858" s="1063">
        <v>0</v>
      </c>
      <c r="L858" s="1056">
        <v>0</v>
      </c>
      <c r="M858" s="1063">
        <v>0</v>
      </c>
      <c r="N858" s="1056">
        <v>0</v>
      </c>
      <c r="O858" s="1056">
        <v>0</v>
      </c>
      <c r="P858" s="1056">
        <v>0</v>
      </c>
      <c r="Q858" s="1056">
        <v>0</v>
      </c>
      <c r="R858" s="1056">
        <v>0</v>
      </c>
      <c r="S858" s="1056">
        <v>0</v>
      </c>
      <c r="T858" s="1056">
        <v>0</v>
      </c>
      <c r="U858" s="1056">
        <v>0</v>
      </c>
      <c r="V858" s="1056">
        <v>0</v>
      </c>
      <c r="W858" s="1056">
        <v>0</v>
      </c>
      <c r="X858" s="1056">
        <v>0</v>
      </c>
      <c r="Y858" s="1056">
        <v>0</v>
      </c>
      <c r="Z858" s="1056">
        <v>189437.27</v>
      </c>
      <c r="AA858" s="1056">
        <v>0</v>
      </c>
    </row>
    <row r="859" spans="1:27" s="1079" customFormat="1" ht="106.5" customHeight="1">
      <c r="A859" s="1322">
        <v>353</v>
      </c>
      <c r="B859" s="1055" t="s">
        <v>1588</v>
      </c>
      <c r="C859" s="1056">
        <f t="shared" si="481"/>
        <v>2320892.54</v>
      </c>
      <c r="D859" s="1056">
        <f t="shared" si="482"/>
        <v>2121946.92</v>
      </c>
      <c r="E859" s="1056">
        <v>571525.32999999996</v>
      </c>
      <c r="F859" s="1056">
        <v>0</v>
      </c>
      <c r="G859" s="1056">
        <v>465662.49</v>
      </c>
      <c r="H859" s="1056">
        <v>664657.82999999996</v>
      </c>
      <c r="I859" s="1056">
        <v>0</v>
      </c>
      <c r="J859" s="1056">
        <v>420101.27</v>
      </c>
      <c r="K859" s="1063">
        <v>0</v>
      </c>
      <c r="L859" s="1056">
        <v>0</v>
      </c>
      <c r="M859" s="1063">
        <v>0</v>
      </c>
      <c r="N859" s="1056">
        <v>0</v>
      </c>
      <c r="O859" s="1056">
        <v>0</v>
      </c>
      <c r="P859" s="1056">
        <v>0</v>
      </c>
      <c r="Q859" s="1056">
        <v>0</v>
      </c>
      <c r="R859" s="1056">
        <v>0</v>
      </c>
      <c r="S859" s="1056">
        <v>0</v>
      </c>
      <c r="T859" s="1056">
        <v>0</v>
      </c>
      <c r="U859" s="1056">
        <v>0</v>
      </c>
      <c r="V859" s="1056">
        <v>0</v>
      </c>
      <c r="W859" s="1056">
        <v>0</v>
      </c>
      <c r="X859" s="1056">
        <v>0</v>
      </c>
      <c r="Y859" s="1056">
        <v>0</v>
      </c>
      <c r="Z859" s="1056">
        <v>198945.62</v>
      </c>
      <c r="AA859" s="1056">
        <v>0</v>
      </c>
    </row>
    <row r="860" spans="1:27" s="1079" customFormat="1" ht="111" customHeight="1">
      <c r="A860" s="1322">
        <v>354</v>
      </c>
      <c r="B860" s="1055" t="s">
        <v>1589</v>
      </c>
      <c r="C860" s="1056">
        <f t="shared" si="481"/>
        <v>1989713.29</v>
      </c>
      <c r="D860" s="1056">
        <f t="shared" si="482"/>
        <v>0</v>
      </c>
      <c r="E860" s="1056">
        <v>0</v>
      </c>
      <c r="F860" s="1056">
        <v>0</v>
      </c>
      <c r="G860" s="1056">
        <v>0</v>
      </c>
      <c r="H860" s="1056">
        <v>0</v>
      </c>
      <c r="I860" s="1056">
        <v>0</v>
      </c>
      <c r="J860" s="1056">
        <v>0</v>
      </c>
      <c r="K860" s="1063">
        <v>0</v>
      </c>
      <c r="L860" s="1056">
        <v>0</v>
      </c>
      <c r="M860" s="1063">
        <v>0</v>
      </c>
      <c r="N860" s="1056">
        <v>0</v>
      </c>
      <c r="O860" s="1056">
        <v>391.34</v>
      </c>
      <c r="P860" s="1056">
        <v>1858300.83</v>
      </c>
      <c r="Q860" s="1056">
        <v>0</v>
      </c>
      <c r="R860" s="1056">
        <v>0</v>
      </c>
      <c r="S860" s="1056">
        <v>0</v>
      </c>
      <c r="T860" s="1056">
        <v>0</v>
      </c>
      <c r="U860" s="1056">
        <v>0</v>
      </c>
      <c r="V860" s="1056">
        <v>0</v>
      </c>
      <c r="W860" s="1056">
        <v>0</v>
      </c>
      <c r="X860" s="1056">
        <v>0</v>
      </c>
      <c r="Y860" s="1056">
        <v>0</v>
      </c>
      <c r="Z860" s="1056">
        <v>131412.46</v>
      </c>
      <c r="AA860" s="1056">
        <v>0</v>
      </c>
    </row>
    <row r="861" spans="1:27" s="1079" customFormat="1" ht="111" customHeight="1">
      <c r="A861" s="1322">
        <v>355</v>
      </c>
      <c r="B861" s="1055" t="s">
        <v>2038</v>
      </c>
      <c r="C861" s="1056">
        <f>D861+N861+P861+R861+T861+X861+Z861+L861</f>
        <v>3246439.14</v>
      </c>
      <c r="D861" s="1056">
        <f>SUM(E861:J861)</f>
        <v>0</v>
      </c>
      <c r="E861" s="1068">
        <v>0</v>
      </c>
      <c r="F861" s="1068">
        <v>0</v>
      </c>
      <c r="G861" s="1068">
        <v>0</v>
      </c>
      <c r="H861" s="1068">
        <v>0</v>
      </c>
      <c r="I861" s="1068">
        <v>0</v>
      </c>
      <c r="J861" s="1068">
        <v>0</v>
      </c>
      <c r="K861" s="1063">
        <v>0</v>
      </c>
      <c r="L861" s="1068">
        <v>0</v>
      </c>
      <c r="M861" s="1063">
        <v>0</v>
      </c>
      <c r="N861" s="1068">
        <v>0</v>
      </c>
      <c r="O861" s="1068">
        <v>493</v>
      </c>
      <c r="P861" s="1068">
        <v>3135171.14</v>
      </c>
      <c r="Q861" s="1068">
        <v>0</v>
      </c>
      <c r="R861" s="1068">
        <v>0</v>
      </c>
      <c r="S861" s="1068">
        <v>0</v>
      </c>
      <c r="T861" s="1068">
        <v>0</v>
      </c>
      <c r="U861" s="1056">
        <v>0</v>
      </c>
      <c r="V861" s="1056">
        <v>0</v>
      </c>
      <c r="W861" s="1068">
        <v>0</v>
      </c>
      <c r="X861" s="1068">
        <v>0</v>
      </c>
      <c r="Y861" s="1056">
        <v>0</v>
      </c>
      <c r="Z861" s="1068">
        <v>111268</v>
      </c>
      <c r="AA861" s="1068">
        <v>0</v>
      </c>
    </row>
    <row r="862" spans="1:27" s="1079" customFormat="1" ht="113.25" customHeight="1">
      <c r="A862" s="1322">
        <v>356</v>
      </c>
      <c r="B862" s="1055" t="s">
        <v>2039</v>
      </c>
      <c r="C862" s="1068">
        <f t="shared" ref="C862" si="483">D862+N862+P862+R862+T862+X862+Z862</f>
        <v>4490832.0600000005</v>
      </c>
      <c r="D862" s="1068">
        <f t="shared" ref="D862" si="484">SUM(E862:J862)</f>
        <v>0</v>
      </c>
      <c r="E862" s="1068">
        <v>0</v>
      </c>
      <c r="F862" s="1068">
        <v>0</v>
      </c>
      <c r="G862" s="1068">
        <v>0</v>
      </c>
      <c r="H862" s="1068">
        <v>0</v>
      </c>
      <c r="I862" s="1068">
        <v>0</v>
      </c>
      <c r="J862" s="1068">
        <v>0</v>
      </c>
      <c r="K862" s="1063">
        <v>0</v>
      </c>
      <c r="L862" s="1068">
        <v>0</v>
      </c>
      <c r="M862" s="1063">
        <v>0</v>
      </c>
      <c r="N862" s="1068">
        <v>0</v>
      </c>
      <c r="O862" s="1068">
        <v>874.6</v>
      </c>
      <c r="P862" s="1068">
        <v>4164641.24</v>
      </c>
      <c r="Q862" s="1068">
        <v>0</v>
      </c>
      <c r="R862" s="1068">
        <v>0</v>
      </c>
      <c r="S862" s="1068">
        <v>0</v>
      </c>
      <c r="T862" s="1068">
        <v>0</v>
      </c>
      <c r="U862" s="1056">
        <v>0</v>
      </c>
      <c r="V862" s="1056">
        <v>0</v>
      </c>
      <c r="W862" s="1068">
        <v>0</v>
      </c>
      <c r="X862" s="1068">
        <v>0</v>
      </c>
      <c r="Y862" s="1056">
        <v>0</v>
      </c>
      <c r="Z862" s="1068">
        <v>326190.82</v>
      </c>
      <c r="AA862" s="1068">
        <v>0</v>
      </c>
    </row>
    <row r="863" spans="1:27" s="1079" customFormat="1" ht="92.25" customHeight="1">
      <c r="A863" s="1322"/>
      <c r="B863" s="1062" t="s">
        <v>53</v>
      </c>
      <c r="C863" s="1056">
        <f>C864+C879+C883+C877+C886+C894+C896+C900+C902</f>
        <v>131439315.75000001</v>
      </c>
      <c r="D863" s="1056">
        <f t="shared" ref="D863:AA863" si="485">D864+D879+D883+D877+D886+D894+D896+D900+D902</f>
        <v>11222183.43</v>
      </c>
      <c r="E863" s="1056">
        <f t="shared" si="485"/>
        <v>4079491.04</v>
      </c>
      <c r="F863" s="1056">
        <f t="shared" si="485"/>
        <v>0</v>
      </c>
      <c r="G863" s="1056">
        <f t="shared" si="485"/>
        <v>0</v>
      </c>
      <c r="H863" s="1056">
        <f t="shared" si="485"/>
        <v>2713730.7</v>
      </c>
      <c r="I863" s="1056">
        <f t="shared" si="485"/>
        <v>2713730.7</v>
      </c>
      <c r="J863" s="1056">
        <f t="shared" si="485"/>
        <v>1715230.99</v>
      </c>
      <c r="K863" s="1056">
        <f t="shared" si="485"/>
        <v>0</v>
      </c>
      <c r="L863" s="1056">
        <f t="shared" si="485"/>
        <v>0</v>
      </c>
      <c r="M863" s="1056">
        <f t="shared" si="485"/>
        <v>9</v>
      </c>
      <c r="N863" s="1056">
        <f t="shared" si="485"/>
        <v>25288652.620000001</v>
      </c>
      <c r="O863" s="1056">
        <f t="shared" si="485"/>
        <v>12727.029999999999</v>
      </c>
      <c r="P863" s="1056">
        <f t="shared" si="485"/>
        <v>48150713.059999995</v>
      </c>
      <c r="Q863" s="1056">
        <f t="shared" si="485"/>
        <v>0</v>
      </c>
      <c r="R863" s="1056">
        <f t="shared" si="485"/>
        <v>0</v>
      </c>
      <c r="S863" s="1056">
        <f t="shared" si="485"/>
        <v>6506.23</v>
      </c>
      <c r="T863" s="1056">
        <f t="shared" si="485"/>
        <v>21123344.772867259</v>
      </c>
      <c r="U863" s="1056">
        <f t="shared" si="485"/>
        <v>0</v>
      </c>
      <c r="V863" s="1056">
        <f t="shared" si="485"/>
        <v>0</v>
      </c>
      <c r="W863" s="1056">
        <f t="shared" si="485"/>
        <v>0</v>
      </c>
      <c r="X863" s="1056">
        <f t="shared" si="485"/>
        <v>0</v>
      </c>
      <c r="Y863" s="1056">
        <f t="shared" si="485"/>
        <v>0</v>
      </c>
      <c r="Z863" s="1056">
        <f t="shared" si="485"/>
        <v>9359927.3471327387</v>
      </c>
      <c r="AA863" s="1056">
        <f t="shared" si="485"/>
        <v>91820</v>
      </c>
    </row>
    <row r="864" spans="1:27" s="1079" customFormat="1" ht="138" customHeight="1">
      <c r="A864" s="1322"/>
      <c r="B864" s="1062" t="s">
        <v>1202</v>
      </c>
      <c r="C864" s="1056">
        <f>SUM(C865:C876)</f>
        <v>95852292.800000012</v>
      </c>
      <c r="D864" s="1056">
        <f t="shared" ref="D864:AA864" si="486">SUM(D865:D876)</f>
        <v>11040528.43</v>
      </c>
      <c r="E864" s="1056">
        <f t="shared" si="486"/>
        <v>3897836.04</v>
      </c>
      <c r="F864" s="1056">
        <f t="shared" si="486"/>
        <v>0</v>
      </c>
      <c r="G864" s="1056">
        <f t="shared" si="486"/>
        <v>0</v>
      </c>
      <c r="H864" s="1056">
        <f t="shared" si="486"/>
        <v>2713730.7</v>
      </c>
      <c r="I864" s="1056">
        <f t="shared" si="486"/>
        <v>2713730.7</v>
      </c>
      <c r="J864" s="1056">
        <f t="shared" si="486"/>
        <v>1715230.99</v>
      </c>
      <c r="K864" s="1063">
        <f t="shared" si="486"/>
        <v>0</v>
      </c>
      <c r="L864" s="1056">
        <f t="shared" si="486"/>
        <v>0</v>
      </c>
      <c r="M864" s="1063">
        <f t="shared" si="486"/>
        <v>9</v>
      </c>
      <c r="N864" s="1056">
        <f t="shared" si="486"/>
        <v>25288652.620000001</v>
      </c>
      <c r="O864" s="1056">
        <f t="shared" si="486"/>
        <v>5943.8899999999994</v>
      </c>
      <c r="P864" s="1056">
        <f t="shared" si="486"/>
        <v>21945938.869999997</v>
      </c>
      <c r="Q864" s="1056">
        <f t="shared" si="486"/>
        <v>0</v>
      </c>
      <c r="R864" s="1056">
        <f t="shared" si="486"/>
        <v>0</v>
      </c>
      <c r="S864" s="1056">
        <f t="shared" si="486"/>
        <v>2811</v>
      </c>
      <c r="T864" s="1056">
        <f t="shared" si="486"/>
        <v>14648366.43</v>
      </c>
      <c r="U864" s="1056">
        <v>0</v>
      </c>
      <c r="V864" s="1056">
        <v>0</v>
      </c>
      <c r="W864" s="1056">
        <f t="shared" si="486"/>
        <v>0</v>
      </c>
      <c r="X864" s="1056">
        <f t="shared" si="486"/>
        <v>0</v>
      </c>
      <c r="Y864" s="1056">
        <v>0</v>
      </c>
      <c r="Z864" s="1056">
        <f t="shared" si="486"/>
        <v>6726131.9299999997</v>
      </c>
      <c r="AA864" s="1056">
        <f t="shared" si="486"/>
        <v>0</v>
      </c>
    </row>
    <row r="865" spans="1:27" s="1079" customFormat="1" ht="95.25" customHeight="1">
      <c r="A865" s="1322">
        <v>357</v>
      </c>
      <c r="B865" s="1307" t="s">
        <v>1674</v>
      </c>
      <c r="C865" s="1068">
        <f t="shared" ref="C865" si="487">D865+N865+P865+R865+T865+X865+Z865</f>
        <v>4252462.49</v>
      </c>
      <c r="D865" s="1068">
        <f t="shared" ref="D865" si="488">SUM(E865:J865)</f>
        <v>0</v>
      </c>
      <c r="E865" s="1068">
        <v>0</v>
      </c>
      <c r="F865" s="1068">
        <v>0</v>
      </c>
      <c r="G865" s="1068">
        <v>0</v>
      </c>
      <c r="H865" s="1068">
        <v>0</v>
      </c>
      <c r="I865" s="1068">
        <v>0</v>
      </c>
      <c r="J865" s="1068">
        <v>0</v>
      </c>
      <c r="K865" s="1063">
        <v>0</v>
      </c>
      <c r="L865" s="1068">
        <v>0</v>
      </c>
      <c r="M865" s="1063">
        <v>0</v>
      </c>
      <c r="N865" s="1068">
        <v>0</v>
      </c>
      <c r="O865" s="1068">
        <v>1244</v>
      </c>
      <c r="P865" s="1068">
        <v>3965610.01</v>
      </c>
      <c r="Q865" s="1068">
        <v>0</v>
      </c>
      <c r="R865" s="1068">
        <v>0</v>
      </c>
      <c r="S865" s="1068">
        <v>0</v>
      </c>
      <c r="T865" s="1068">
        <v>0</v>
      </c>
      <c r="U865" s="1056">
        <v>0</v>
      </c>
      <c r="V865" s="1056">
        <v>0</v>
      </c>
      <c r="W865" s="1068">
        <v>0</v>
      </c>
      <c r="X865" s="1068">
        <v>0</v>
      </c>
      <c r="Y865" s="1056">
        <v>0</v>
      </c>
      <c r="Z865" s="1068">
        <v>286852.47999999998</v>
      </c>
      <c r="AA865" s="1068">
        <v>0</v>
      </c>
    </row>
    <row r="866" spans="1:27" s="1079" customFormat="1" ht="105.75" customHeight="1">
      <c r="A866" s="1322">
        <v>358</v>
      </c>
      <c r="B866" s="1308" t="s">
        <v>1650</v>
      </c>
      <c r="C866" s="1068">
        <f t="shared" ref="C866:C876" si="489">D866+N866+P866+R866+T866+X866+Z866</f>
        <v>7729973.2400000002</v>
      </c>
      <c r="D866" s="1068">
        <f t="shared" ref="D866:D876" si="490">SUM(E866:J866)</f>
        <v>3897836.04</v>
      </c>
      <c r="E866" s="1068">
        <v>3897836.04</v>
      </c>
      <c r="F866" s="1068">
        <v>0</v>
      </c>
      <c r="G866" s="1068">
        <v>0</v>
      </c>
      <c r="H866" s="1068">
        <v>0</v>
      </c>
      <c r="I866" s="1068">
        <v>0</v>
      </c>
      <c r="J866" s="1068">
        <v>0</v>
      </c>
      <c r="K866" s="1063">
        <v>0</v>
      </c>
      <c r="L866" s="1068">
        <v>0</v>
      </c>
      <c r="M866" s="1063">
        <v>0</v>
      </c>
      <c r="N866" s="1068">
        <v>0</v>
      </c>
      <c r="O866" s="1309">
        <v>1026</v>
      </c>
      <c r="P866" s="1068">
        <v>3270671.92</v>
      </c>
      <c r="Q866" s="1068">
        <v>0</v>
      </c>
      <c r="R866" s="1068">
        <v>0</v>
      </c>
      <c r="S866" s="1068">
        <v>0</v>
      </c>
      <c r="T866" s="1068">
        <v>0</v>
      </c>
      <c r="U866" s="1056">
        <v>0</v>
      </c>
      <c r="V866" s="1056">
        <v>0</v>
      </c>
      <c r="W866" s="1068">
        <v>0</v>
      </c>
      <c r="X866" s="1068">
        <v>0</v>
      </c>
      <c r="Y866" s="1056">
        <v>0</v>
      </c>
      <c r="Z866" s="1068">
        <v>561465.28</v>
      </c>
      <c r="AA866" s="1068">
        <v>0</v>
      </c>
    </row>
    <row r="867" spans="1:27" s="1079" customFormat="1" ht="73.900000000000006" customHeight="1">
      <c r="A867" s="1322">
        <v>359</v>
      </c>
      <c r="B867" s="1308" t="s">
        <v>1675</v>
      </c>
      <c r="C867" s="1068">
        <f>D867+N867+P867+R867+T867+X867+Z867+V867</f>
        <v>17471730.68</v>
      </c>
      <c r="D867" s="1068">
        <f t="shared" si="490"/>
        <v>0</v>
      </c>
      <c r="E867" s="1068">
        <v>0</v>
      </c>
      <c r="F867" s="1068">
        <v>0</v>
      </c>
      <c r="G867" s="1068">
        <v>0</v>
      </c>
      <c r="H867" s="1068">
        <v>0</v>
      </c>
      <c r="I867" s="1068">
        <v>0</v>
      </c>
      <c r="J867" s="1068">
        <v>0</v>
      </c>
      <c r="K867" s="1063">
        <v>0</v>
      </c>
      <c r="L867" s="1068">
        <v>0</v>
      </c>
      <c r="M867" s="1063">
        <v>0</v>
      </c>
      <c r="N867" s="1068">
        <v>0</v>
      </c>
      <c r="O867" s="1310">
        <v>0</v>
      </c>
      <c r="P867" s="1068">
        <v>0</v>
      </c>
      <c r="Q867" s="1068">
        <v>0</v>
      </c>
      <c r="R867" s="1068">
        <v>0</v>
      </c>
      <c r="S867" s="1068">
        <v>0</v>
      </c>
      <c r="T867" s="1068">
        <v>0</v>
      </c>
      <c r="U867" s="1056">
        <v>2932.2</v>
      </c>
      <c r="V867" s="1056">
        <v>16202674.52</v>
      </c>
      <c r="W867" s="1068">
        <v>0</v>
      </c>
      <c r="X867" s="1068">
        <v>0</v>
      </c>
      <c r="Y867" s="1056">
        <v>0</v>
      </c>
      <c r="Z867" s="1068">
        <v>1269056.1599999999</v>
      </c>
      <c r="AA867" s="1068">
        <v>0</v>
      </c>
    </row>
    <row r="868" spans="1:27" s="1079" customFormat="1" ht="92.45" customHeight="1">
      <c r="A868" s="1322">
        <v>360</v>
      </c>
      <c r="B868" s="1308" t="s">
        <v>1652</v>
      </c>
      <c r="C868" s="1068">
        <f t="shared" si="489"/>
        <v>2999749.36</v>
      </c>
      <c r="D868" s="1068">
        <f t="shared" si="490"/>
        <v>0</v>
      </c>
      <c r="E868" s="1068">
        <v>0</v>
      </c>
      <c r="F868" s="1068">
        <v>0</v>
      </c>
      <c r="G868" s="1068">
        <v>0</v>
      </c>
      <c r="H868" s="1068">
        <v>0</v>
      </c>
      <c r="I868" s="1068">
        <v>0</v>
      </c>
      <c r="J868" s="1068">
        <v>0</v>
      </c>
      <c r="K868" s="1063">
        <v>0</v>
      </c>
      <c r="L868" s="1068">
        <v>0</v>
      </c>
      <c r="M868" s="1063">
        <v>0</v>
      </c>
      <c r="N868" s="1068">
        <v>0</v>
      </c>
      <c r="O868" s="1310">
        <v>739.5</v>
      </c>
      <c r="P868" s="1068">
        <v>2781863.08</v>
      </c>
      <c r="Q868" s="1068">
        <v>0</v>
      </c>
      <c r="R868" s="1068">
        <v>0</v>
      </c>
      <c r="S868" s="1068">
        <v>0</v>
      </c>
      <c r="T868" s="1068">
        <v>0</v>
      </c>
      <c r="U868" s="1056">
        <v>0</v>
      </c>
      <c r="V868" s="1056">
        <v>0</v>
      </c>
      <c r="W868" s="1068">
        <v>0</v>
      </c>
      <c r="X868" s="1068">
        <v>0</v>
      </c>
      <c r="Y868" s="1056">
        <v>0</v>
      </c>
      <c r="Z868" s="1068">
        <v>217886.28</v>
      </c>
      <c r="AA868" s="1068">
        <v>0</v>
      </c>
    </row>
    <row r="869" spans="1:27" s="1079" customFormat="1" ht="111.6" customHeight="1">
      <c r="A869" s="1322">
        <v>361</v>
      </c>
      <c r="B869" s="1308" t="s">
        <v>1676</v>
      </c>
      <c r="C869" s="1068">
        <f t="shared" si="489"/>
        <v>4150636.9099999997</v>
      </c>
      <c r="D869" s="1068">
        <f t="shared" si="490"/>
        <v>0</v>
      </c>
      <c r="E869" s="1068">
        <v>0</v>
      </c>
      <c r="F869" s="1068">
        <v>0</v>
      </c>
      <c r="G869" s="1068">
        <v>0</v>
      </c>
      <c r="H869" s="1068">
        <v>0</v>
      </c>
      <c r="I869" s="1068">
        <v>0</v>
      </c>
      <c r="J869" s="1068">
        <v>0</v>
      </c>
      <c r="K869" s="1063">
        <v>0</v>
      </c>
      <c r="L869" s="1068">
        <v>0</v>
      </c>
      <c r="M869" s="1063">
        <v>1</v>
      </c>
      <c r="N869" s="1068">
        <v>3849156.11</v>
      </c>
      <c r="O869" s="1310">
        <v>0</v>
      </c>
      <c r="P869" s="1068">
        <v>0</v>
      </c>
      <c r="Q869" s="1068">
        <v>0</v>
      </c>
      <c r="R869" s="1068">
        <v>0</v>
      </c>
      <c r="S869" s="1068">
        <v>0</v>
      </c>
      <c r="T869" s="1068">
        <v>0</v>
      </c>
      <c r="U869" s="1056">
        <v>0</v>
      </c>
      <c r="V869" s="1056">
        <v>0</v>
      </c>
      <c r="W869" s="1068">
        <v>0</v>
      </c>
      <c r="X869" s="1068">
        <v>0</v>
      </c>
      <c r="Y869" s="1056">
        <v>0</v>
      </c>
      <c r="Z869" s="1068">
        <v>301480.8</v>
      </c>
      <c r="AA869" s="1068">
        <v>0</v>
      </c>
    </row>
    <row r="870" spans="1:27" s="1079" customFormat="1" ht="149.25" customHeight="1">
      <c r="A870" s="1322">
        <v>362</v>
      </c>
      <c r="B870" s="1308" t="s">
        <v>1677</v>
      </c>
      <c r="C870" s="1068">
        <f t="shared" si="489"/>
        <v>3605381.9099999997</v>
      </c>
      <c r="D870" s="1068">
        <f t="shared" si="490"/>
        <v>0</v>
      </c>
      <c r="E870" s="1068">
        <v>0</v>
      </c>
      <c r="F870" s="1068">
        <v>0</v>
      </c>
      <c r="G870" s="1068">
        <v>0</v>
      </c>
      <c r="H870" s="1068">
        <v>0</v>
      </c>
      <c r="I870" s="1068">
        <v>0</v>
      </c>
      <c r="J870" s="1068">
        <v>0</v>
      </c>
      <c r="K870" s="1063">
        <v>0</v>
      </c>
      <c r="L870" s="1068">
        <v>0</v>
      </c>
      <c r="M870" s="1063">
        <v>0</v>
      </c>
      <c r="N870" s="1068">
        <v>0</v>
      </c>
      <c r="O870" s="1310">
        <v>997.7</v>
      </c>
      <c r="P870" s="1068">
        <v>3343505.61</v>
      </c>
      <c r="Q870" s="1068">
        <v>0</v>
      </c>
      <c r="R870" s="1068">
        <v>0</v>
      </c>
      <c r="S870" s="1068">
        <v>0</v>
      </c>
      <c r="T870" s="1068">
        <v>0</v>
      </c>
      <c r="U870" s="1056">
        <v>0</v>
      </c>
      <c r="V870" s="1056">
        <v>0</v>
      </c>
      <c r="W870" s="1068">
        <v>0</v>
      </c>
      <c r="X870" s="1068">
        <v>0</v>
      </c>
      <c r="Y870" s="1056">
        <v>0</v>
      </c>
      <c r="Z870" s="1068">
        <v>261876.3</v>
      </c>
      <c r="AA870" s="1068">
        <v>0</v>
      </c>
    </row>
    <row r="871" spans="1:27" s="1079" customFormat="1" ht="149.25" customHeight="1">
      <c r="A871" s="1322">
        <v>363</v>
      </c>
      <c r="B871" s="1308" t="s">
        <v>1678</v>
      </c>
      <c r="C871" s="1068">
        <f t="shared" si="489"/>
        <v>7702135.8100000005</v>
      </c>
      <c r="D871" s="1068">
        <f t="shared" si="490"/>
        <v>7142692.3900000006</v>
      </c>
      <c r="E871" s="1068">
        <v>0</v>
      </c>
      <c r="F871" s="1068">
        <v>0</v>
      </c>
      <c r="G871" s="1068">
        <v>0</v>
      </c>
      <c r="H871" s="1068">
        <v>2713730.7</v>
      </c>
      <c r="I871" s="1068">
        <v>2713730.7</v>
      </c>
      <c r="J871" s="1068">
        <v>1715230.99</v>
      </c>
      <c r="K871" s="1063">
        <v>0</v>
      </c>
      <c r="L871" s="1068">
        <v>0</v>
      </c>
      <c r="M871" s="1063">
        <v>0</v>
      </c>
      <c r="N871" s="1068">
        <v>0</v>
      </c>
      <c r="O871" s="1310">
        <v>0</v>
      </c>
      <c r="P871" s="1068">
        <v>0</v>
      </c>
      <c r="Q871" s="1068">
        <v>0</v>
      </c>
      <c r="R871" s="1068">
        <v>0</v>
      </c>
      <c r="S871" s="1068">
        <v>0</v>
      </c>
      <c r="T871" s="1068">
        <v>0</v>
      </c>
      <c r="U871" s="1056">
        <v>0</v>
      </c>
      <c r="V871" s="1056">
        <v>0</v>
      </c>
      <c r="W871" s="1068">
        <v>0</v>
      </c>
      <c r="X871" s="1068">
        <v>0</v>
      </c>
      <c r="Y871" s="1056">
        <v>0</v>
      </c>
      <c r="Z871" s="1068">
        <v>559443.42000000004</v>
      </c>
      <c r="AA871" s="1068">
        <v>0</v>
      </c>
    </row>
    <row r="872" spans="1:27" s="1079" customFormat="1" ht="149.25" customHeight="1">
      <c r="A872" s="1322">
        <v>364</v>
      </c>
      <c r="B872" s="1308" t="s">
        <v>1656</v>
      </c>
      <c r="C872" s="1068">
        <f t="shared" si="489"/>
        <v>3365622.21</v>
      </c>
      <c r="D872" s="1068">
        <f t="shared" si="490"/>
        <v>0</v>
      </c>
      <c r="E872" s="1068">
        <v>0</v>
      </c>
      <c r="F872" s="1068">
        <v>0</v>
      </c>
      <c r="G872" s="1068">
        <v>0</v>
      </c>
      <c r="H872" s="1068">
        <v>0</v>
      </c>
      <c r="I872" s="1068">
        <v>0</v>
      </c>
      <c r="J872" s="1068">
        <v>0</v>
      </c>
      <c r="K872" s="1063">
        <v>0</v>
      </c>
      <c r="L872" s="1068">
        <v>0</v>
      </c>
      <c r="M872" s="1063">
        <v>0</v>
      </c>
      <c r="N872" s="1068">
        <v>0</v>
      </c>
      <c r="O872" s="1310">
        <v>789.4</v>
      </c>
      <c r="P872" s="1068">
        <v>3121160.82</v>
      </c>
      <c r="Q872" s="1068">
        <v>0</v>
      </c>
      <c r="R872" s="1068">
        <v>0</v>
      </c>
      <c r="S872" s="1068">
        <v>0</v>
      </c>
      <c r="T872" s="1068">
        <v>0</v>
      </c>
      <c r="U872" s="1056">
        <v>0</v>
      </c>
      <c r="V872" s="1056">
        <v>0</v>
      </c>
      <c r="W872" s="1068">
        <v>0</v>
      </c>
      <c r="X872" s="1068">
        <v>0</v>
      </c>
      <c r="Y872" s="1056">
        <v>0</v>
      </c>
      <c r="Z872" s="1068">
        <v>244461.39</v>
      </c>
      <c r="AA872" s="1068">
        <v>0</v>
      </c>
    </row>
    <row r="873" spans="1:27" s="1079" customFormat="1" ht="149.25" customHeight="1">
      <c r="A873" s="1322">
        <v>365</v>
      </c>
      <c r="B873" s="1308" t="s">
        <v>1657</v>
      </c>
      <c r="C873" s="1068">
        <f t="shared" si="489"/>
        <v>5891020.71</v>
      </c>
      <c r="D873" s="1068">
        <f t="shared" si="490"/>
        <v>0</v>
      </c>
      <c r="E873" s="1068">
        <v>0</v>
      </c>
      <c r="F873" s="1068">
        <v>0</v>
      </c>
      <c r="G873" s="1068">
        <v>0</v>
      </c>
      <c r="H873" s="1068">
        <v>0</v>
      </c>
      <c r="I873" s="1068">
        <v>0</v>
      </c>
      <c r="J873" s="1068">
        <v>0</v>
      </c>
      <c r="K873" s="1063">
        <v>0</v>
      </c>
      <c r="L873" s="1068">
        <v>0</v>
      </c>
      <c r="M873" s="1063">
        <v>0</v>
      </c>
      <c r="N873" s="1068">
        <v>0</v>
      </c>
      <c r="O873" s="1310">
        <v>1147.29</v>
      </c>
      <c r="P873" s="1068">
        <v>5463127.4299999997</v>
      </c>
      <c r="Q873" s="1068">
        <v>0</v>
      </c>
      <c r="R873" s="1068">
        <v>0</v>
      </c>
      <c r="S873" s="1068">
        <v>0</v>
      </c>
      <c r="T873" s="1068">
        <v>0</v>
      </c>
      <c r="U873" s="1056">
        <v>0</v>
      </c>
      <c r="V873" s="1056">
        <v>0</v>
      </c>
      <c r="W873" s="1068">
        <v>0</v>
      </c>
      <c r="X873" s="1068">
        <v>0</v>
      </c>
      <c r="Y873" s="1056">
        <v>0</v>
      </c>
      <c r="Z873" s="1068">
        <v>427893.28</v>
      </c>
      <c r="AA873" s="1068">
        <v>0</v>
      </c>
    </row>
    <row r="874" spans="1:27" s="1079" customFormat="1" ht="109.15" customHeight="1">
      <c r="A874" s="1322">
        <v>366</v>
      </c>
      <c r="B874" s="1308" t="s">
        <v>1658</v>
      </c>
      <c r="C874" s="1068">
        <f t="shared" si="489"/>
        <v>14449200.52</v>
      </c>
      <c r="D874" s="1068">
        <f t="shared" si="490"/>
        <v>0</v>
      </c>
      <c r="E874" s="1068">
        <v>0</v>
      </c>
      <c r="F874" s="1068">
        <v>0</v>
      </c>
      <c r="G874" s="1068">
        <v>0</v>
      </c>
      <c r="H874" s="1068">
        <v>0</v>
      </c>
      <c r="I874" s="1068">
        <v>0</v>
      </c>
      <c r="J874" s="1068">
        <v>0</v>
      </c>
      <c r="K874" s="1063">
        <v>0</v>
      </c>
      <c r="L874" s="1068">
        <v>0</v>
      </c>
      <c r="M874" s="1063">
        <v>5</v>
      </c>
      <c r="N874" s="1068">
        <v>13399685.32</v>
      </c>
      <c r="O874" s="1310">
        <v>0</v>
      </c>
      <c r="P874" s="1068">
        <v>0</v>
      </c>
      <c r="Q874" s="1068">
        <v>0</v>
      </c>
      <c r="R874" s="1068">
        <v>0</v>
      </c>
      <c r="S874" s="1068">
        <v>0</v>
      </c>
      <c r="T874" s="1068">
        <v>0</v>
      </c>
      <c r="U874" s="1056">
        <v>0</v>
      </c>
      <c r="V874" s="1056">
        <v>0</v>
      </c>
      <c r="W874" s="1068">
        <v>0</v>
      </c>
      <c r="X874" s="1068">
        <v>0</v>
      </c>
      <c r="Y874" s="1056">
        <v>0</v>
      </c>
      <c r="Z874" s="1068">
        <v>1049515.2</v>
      </c>
      <c r="AA874" s="1068">
        <v>0</v>
      </c>
    </row>
    <row r="875" spans="1:27" s="1079" customFormat="1" ht="99" customHeight="1">
      <c r="A875" s="1322">
        <v>367</v>
      </c>
      <c r="B875" s="1308" t="s">
        <v>1659</v>
      </c>
      <c r="C875" s="1068">
        <f t="shared" si="489"/>
        <v>15564858.65</v>
      </c>
      <c r="D875" s="1068">
        <f t="shared" si="490"/>
        <v>0</v>
      </c>
      <c r="E875" s="1068">
        <v>0</v>
      </c>
      <c r="F875" s="1068">
        <v>0</v>
      </c>
      <c r="G875" s="1068">
        <v>0</v>
      </c>
      <c r="H875" s="1068">
        <v>0</v>
      </c>
      <c r="I875" s="1068">
        <v>0</v>
      </c>
      <c r="J875" s="1068">
        <v>0</v>
      </c>
      <c r="K875" s="1063">
        <v>0</v>
      </c>
      <c r="L875" s="1068">
        <v>0</v>
      </c>
      <c r="M875" s="1063">
        <v>0</v>
      </c>
      <c r="N875" s="1068">
        <v>0</v>
      </c>
      <c r="O875" s="1310">
        <v>0</v>
      </c>
      <c r="P875" s="1068">
        <v>0</v>
      </c>
      <c r="Q875" s="1068">
        <v>0</v>
      </c>
      <c r="R875" s="1068">
        <v>0</v>
      </c>
      <c r="S875" s="1068">
        <v>2811</v>
      </c>
      <c r="T875" s="1068">
        <v>14648366.43</v>
      </c>
      <c r="U875" s="1056">
        <v>0</v>
      </c>
      <c r="V875" s="1056">
        <v>0</v>
      </c>
      <c r="W875" s="1068">
        <v>0</v>
      </c>
      <c r="X875" s="1068">
        <v>0</v>
      </c>
      <c r="Y875" s="1056">
        <v>0</v>
      </c>
      <c r="Z875" s="1068">
        <v>916492.22</v>
      </c>
      <c r="AA875" s="1068">
        <v>0</v>
      </c>
    </row>
    <row r="876" spans="1:27" s="1079" customFormat="1" ht="99.6" customHeight="1">
      <c r="A876" s="1322">
        <v>368</v>
      </c>
      <c r="B876" s="1308" t="s">
        <v>1679</v>
      </c>
      <c r="C876" s="1068">
        <f t="shared" si="489"/>
        <v>8669520.3100000005</v>
      </c>
      <c r="D876" s="1068">
        <f t="shared" si="490"/>
        <v>0</v>
      </c>
      <c r="E876" s="1068">
        <v>0</v>
      </c>
      <c r="F876" s="1068">
        <v>0</v>
      </c>
      <c r="G876" s="1068">
        <v>0</v>
      </c>
      <c r="H876" s="1068">
        <v>0</v>
      </c>
      <c r="I876" s="1068">
        <v>0</v>
      </c>
      <c r="J876" s="1068">
        <v>0</v>
      </c>
      <c r="K876" s="1063">
        <v>0</v>
      </c>
      <c r="L876" s="1068">
        <v>0</v>
      </c>
      <c r="M876" s="1063">
        <v>3</v>
      </c>
      <c r="N876" s="1068">
        <v>8039811.1900000004</v>
      </c>
      <c r="O876" s="1310">
        <v>0</v>
      </c>
      <c r="P876" s="1068">
        <v>0</v>
      </c>
      <c r="Q876" s="1068">
        <v>0</v>
      </c>
      <c r="R876" s="1068">
        <v>0</v>
      </c>
      <c r="S876" s="1068">
        <v>0</v>
      </c>
      <c r="T876" s="1068">
        <v>0</v>
      </c>
      <c r="U876" s="1056">
        <v>0</v>
      </c>
      <c r="V876" s="1056">
        <v>0</v>
      </c>
      <c r="W876" s="1068">
        <v>0</v>
      </c>
      <c r="X876" s="1068">
        <v>0</v>
      </c>
      <c r="Y876" s="1056">
        <v>0</v>
      </c>
      <c r="Z876" s="1068">
        <v>629709.12</v>
      </c>
      <c r="AA876" s="1068">
        <v>0</v>
      </c>
    </row>
    <row r="877" spans="1:27" s="1079" customFormat="1" ht="148.5" customHeight="1">
      <c r="A877" s="1322"/>
      <c r="B877" s="1062" t="s">
        <v>1096</v>
      </c>
      <c r="C877" s="1056">
        <f>C878</f>
        <v>1992274</v>
      </c>
      <c r="D877" s="1056">
        <f t="shared" ref="D877:Z877" si="491">D878</f>
        <v>0</v>
      </c>
      <c r="E877" s="1056">
        <f t="shared" si="491"/>
        <v>0</v>
      </c>
      <c r="F877" s="1056">
        <f t="shared" si="491"/>
        <v>0</v>
      </c>
      <c r="G877" s="1056">
        <f t="shared" si="491"/>
        <v>0</v>
      </c>
      <c r="H877" s="1056">
        <f t="shared" si="491"/>
        <v>0</v>
      </c>
      <c r="I877" s="1056">
        <f t="shared" si="491"/>
        <v>0</v>
      </c>
      <c r="J877" s="1056">
        <f t="shared" si="491"/>
        <v>0</v>
      </c>
      <c r="K877" s="1056">
        <f t="shared" si="491"/>
        <v>0</v>
      </c>
      <c r="L877" s="1056">
        <f t="shared" si="491"/>
        <v>0</v>
      </c>
      <c r="M877" s="1056">
        <f t="shared" si="491"/>
        <v>0</v>
      </c>
      <c r="N877" s="1056">
        <f t="shared" si="491"/>
        <v>0</v>
      </c>
      <c r="O877" s="1056">
        <f t="shared" si="491"/>
        <v>388</v>
      </c>
      <c r="P877" s="1056">
        <f t="shared" si="491"/>
        <v>1847566</v>
      </c>
      <c r="Q877" s="1056">
        <f t="shared" si="491"/>
        <v>0</v>
      </c>
      <c r="R877" s="1056">
        <f t="shared" si="491"/>
        <v>0</v>
      </c>
      <c r="S877" s="1056">
        <f t="shared" si="491"/>
        <v>0</v>
      </c>
      <c r="T877" s="1056">
        <f t="shared" si="491"/>
        <v>0</v>
      </c>
      <c r="U877" s="1056">
        <f t="shared" si="491"/>
        <v>0</v>
      </c>
      <c r="V877" s="1056">
        <f t="shared" si="491"/>
        <v>0</v>
      </c>
      <c r="W877" s="1056">
        <f t="shared" si="491"/>
        <v>0</v>
      </c>
      <c r="X877" s="1056">
        <f t="shared" si="491"/>
        <v>0</v>
      </c>
      <c r="Y877" s="1056">
        <f t="shared" si="491"/>
        <v>0</v>
      </c>
      <c r="Z877" s="1056">
        <f t="shared" si="491"/>
        <v>144708</v>
      </c>
      <c r="AA877" s="1056"/>
    </row>
    <row r="878" spans="1:27" s="1079" customFormat="1" ht="99" customHeight="1">
      <c r="A878" s="1322">
        <v>369</v>
      </c>
      <c r="B878" s="1062" t="s">
        <v>1097</v>
      </c>
      <c r="C878" s="1068">
        <f t="shared" ref="C878" si="492">D878+N878+P878+R878+T878+X878+Z878</f>
        <v>1992274</v>
      </c>
      <c r="D878" s="1056">
        <v>0</v>
      </c>
      <c r="E878" s="1056">
        <v>0</v>
      </c>
      <c r="F878" s="1056">
        <v>0</v>
      </c>
      <c r="G878" s="1056">
        <v>0</v>
      </c>
      <c r="H878" s="1056">
        <v>0</v>
      </c>
      <c r="I878" s="1056">
        <v>0</v>
      </c>
      <c r="J878" s="1056">
        <v>0</v>
      </c>
      <c r="K878" s="1063">
        <v>0</v>
      </c>
      <c r="L878" s="1056">
        <v>0</v>
      </c>
      <c r="M878" s="1063">
        <v>0</v>
      </c>
      <c r="N878" s="1056">
        <v>0</v>
      </c>
      <c r="O878" s="1056">
        <v>388</v>
      </c>
      <c r="P878" s="1056">
        <v>1847566</v>
      </c>
      <c r="Q878" s="1056">
        <v>0</v>
      </c>
      <c r="R878" s="1056">
        <v>0</v>
      </c>
      <c r="S878" s="1056">
        <v>0</v>
      </c>
      <c r="T878" s="1056">
        <v>0</v>
      </c>
      <c r="U878" s="1056">
        <v>0</v>
      </c>
      <c r="V878" s="1056">
        <v>0</v>
      </c>
      <c r="W878" s="1056">
        <v>0</v>
      </c>
      <c r="X878" s="1056">
        <v>0</v>
      </c>
      <c r="Y878" s="1056">
        <v>0</v>
      </c>
      <c r="Z878" s="1056">
        <v>144708</v>
      </c>
      <c r="AA878" s="1056">
        <v>0</v>
      </c>
    </row>
    <row r="879" spans="1:27" s="1079" customFormat="1" ht="109.15" customHeight="1">
      <c r="A879" s="1322"/>
      <c r="B879" s="1308" t="s">
        <v>1030</v>
      </c>
      <c r="C879" s="1056">
        <f>SUM(C880:C882)</f>
        <v>6487484</v>
      </c>
      <c r="D879" s="1056">
        <f t="shared" ref="D879:AA879" si="493">SUM(D880:D882)</f>
        <v>0</v>
      </c>
      <c r="E879" s="1056">
        <f t="shared" si="493"/>
        <v>0</v>
      </c>
      <c r="F879" s="1056">
        <f t="shared" si="493"/>
        <v>0</v>
      </c>
      <c r="G879" s="1056">
        <f t="shared" si="493"/>
        <v>0</v>
      </c>
      <c r="H879" s="1056">
        <f t="shared" si="493"/>
        <v>0</v>
      </c>
      <c r="I879" s="1056">
        <f t="shared" si="493"/>
        <v>0</v>
      </c>
      <c r="J879" s="1056">
        <f t="shared" si="493"/>
        <v>0</v>
      </c>
      <c r="K879" s="1063">
        <f t="shared" si="493"/>
        <v>0</v>
      </c>
      <c r="L879" s="1056">
        <f t="shared" si="493"/>
        <v>0</v>
      </c>
      <c r="M879" s="1063">
        <f t="shared" si="493"/>
        <v>0</v>
      </c>
      <c r="N879" s="1056">
        <f t="shared" si="493"/>
        <v>0</v>
      </c>
      <c r="O879" s="1056">
        <f t="shared" si="493"/>
        <v>598.4</v>
      </c>
      <c r="P879" s="1056">
        <f t="shared" si="493"/>
        <v>3783840</v>
      </c>
      <c r="Q879" s="1056">
        <f t="shared" si="493"/>
        <v>0</v>
      </c>
      <c r="R879" s="1056">
        <f t="shared" si="493"/>
        <v>0</v>
      </c>
      <c r="S879" s="1056">
        <f t="shared" si="493"/>
        <v>1523.5</v>
      </c>
      <c r="T879" s="1056">
        <f t="shared" si="493"/>
        <v>2147276.0328672598</v>
      </c>
      <c r="U879" s="1056">
        <v>0</v>
      </c>
      <c r="V879" s="1056">
        <v>0</v>
      </c>
      <c r="W879" s="1056">
        <f t="shared" si="493"/>
        <v>0</v>
      </c>
      <c r="X879" s="1056">
        <f t="shared" si="493"/>
        <v>0</v>
      </c>
      <c r="Y879" s="1056">
        <v>0</v>
      </c>
      <c r="Z879" s="1056">
        <f t="shared" si="493"/>
        <v>464547.96713274019</v>
      </c>
      <c r="AA879" s="1056">
        <f t="shared" si="493"/>
        <v>91820</v>
      </c>
    </row>
    <row r="880" spans="1:27" s="1079" customFormat="1" ht="82.9" customHeight="1">
      <c r="A880" s="1322">
        <v>370</v>
      </c>
      <c r="B880" s="1055" t="s">
        <v>1283</v>
      </c>
      <c r="C880" s="1056">
        <f>T880+AA880+Z880</f>
        <v>1256949</v>
      </c>
      <c r="D880" s="1056">
        <v>0</v>
      </c>
      <c r="E880" s="1056">
        <v>0</v>
      </c>
      <c r="F880" s="1056">
        <v>0</v>
      </c>
      <c r="G880" s="1056">
        <v>0</v>
      </c>
      <c r="H880" s="1056">
        <v>0</v>
      </c>
      <c r="I880" s="1056">
        <v>0</v>
      </c>
      <c r="J880" s="1056">
        <v>0</v>
      </c>
      <c r="K880" s="1063">
        <v>0</v>
      </c>
      <c r="L880" s="1056">
        <v>0</v>
      </c>
      <c r="M880" s="1063">
        <v>0</v>
      </c>
      <c r="N880" s="1056">
        <v>0</v>
      </c>
      <c r="O880" s="1056">
        <v>0</v>
      </c>
      <c r="P880" s="1056">
        <v>0</v>
      </c>
      <c r="Q880" s="1056">
        <v>0</v>
      </c>
      <c r="R880" s="1056">
        <v>0</v>
      </c>
      <c r="S880" s="1056">
        <v>797.3</v>
      </c>
      <c r="T880" s="1056">
        <v>1120105.9667695661</v>
      </c>
      <c r="U880" s="1056">
        <v>0</v>
      </c>
      <c r="V880" s="1056">
        <v>0</v>
      </c>
      <c r="W880" s="1056">
        <v>0</v>
      </c>
      <c r="X880" s="1056">
        <v>0</v>
      </c>
      <c r="Y880" s="1056">
        <v>0</v>
      </c>
      <c r="Z880" s="1056">
        <v>87731.033230433997</v>
      </c>
      <c r="AA880" s="1056">
        <v>49112</v>
      </c>
    </row>
    <row r="881" spans="1:27" s="1079" customFormat="1" ht="137.44999999999999" customHeight="1">
      <c r="A881" s="1322">
        <v>371</v>
      </c>
      <c r="B881" s="1062" t="s">
        <v>2165</v>
      </c>
      <c r="C881" s="1056">
        <f>T881+AA881+Z881</f>
        <v>1150330.0000000002</v>
      </c>
      <c r="D881" s="1056">
        <v>0</v>
      </c>
      <c r="E881" s="1056">
        <v>0</v>
      </c>
      <c r="F881" s="1056">
        <v>0</v>
      </c>
      <c r="G881" s="1056">
        <v>0</v>
      </c>
      <c r="H881" s="1056">
        <v>0</v>
      </c>
      <c r="I881" s="1056">
        <v>0</v>
      </c>
      <c r="J881" s="1056">
        <v>0</v>
      </c>
      <c r="K881" s="1063">
        <v>0</v>
      </c>
      <c r="L881" s="1056">
        <v>0</v>
      </c>
      <c r="M881" s="1063">
        <v>0</v>
      </c>
      <c r="N881" s="1056">
        <v>0</v>
      </c>
      <c r="O881" s="1056">
        <v>0</v>
      </c>
      <c r="P881" s="1056">
        <v>0</v>
      </c>
      <c r="Q881" s="1056">
        <v>0</v>
      </c>
      <c r="R881" s="1056">
        <v>0</v>
      </c>
      <c r="S881" s="1056">
        <v>726.2</v>
      </c>
      <c r="T881" s="1056">
        <v>1027170.0660976939</v>
      </c>
      <c r="U881" s="1056">
        <v>0</v>
      </c>
      <c r="V881" s="1056">
        <v>0</v>
      </c>
      <c r="W881" s="1056">
        <v>0</v>
      </c>
      <c r="X881" s="1056">
        <v>0</v>
      </c>
      <c r="Y881" s="1056">
        <v>0</v>
      </c>
      <c r="Z881" s="1056">
        <v>80451.933902306162</v>
      </c>
      <c r="AA881" s="1056">
        <v>42708</v>
      </c>
    </row>
    <row r="882" spans="1:27" s="1079" customFormat="1" ht="105" customHeight="1">
      <c r="A882" s="1322">
        <v>372</v>
      </c>
      <c r="B882" s="1062" t="s">
        <v>1446</v>
      </c>
      <c r="C882" s="1056">
        <f>P882+Z882</f>
        <v>4080205</v>
      </c>
      <c r="D882" s="1056">
        <v>0</v>
      </c>
      <c r="E882" s="1056">
        <v>0</v>
      </c>
      <c r="F882" s="1056">
        <v>0</v>
      </c>
      <c r="G882" s="1056">
        <v>0</v>
      </c>
      <c r="H882" s="1056">
        <v>0</v>
      </c>
      <c r="I882" s="1056">
        <v>0</v>
      </c>
      <c r="J882" s="1056">
        <v>0</v>
      </c>
      <c r="K882" s="1063">
        <v>0</v>
      </c>
      <c r="L882" s="1056">
        <v>0</v>
      </c>
      <c r="M882" s="1063">
        <v>0</v>
      </c>
      <c r="N882" s="1056">
        <v>0</v>
      </c>
      <c r="O882" s="1056">
        <v>598.4</v>
      </c>
      <c r="P882" s="1056">
        <v>3783840</v>
      </c>
      <c r="Q882" s="1056">
        <v>0</v>
      </c>
      <c r="R882" s="1056">
        <v>0</v>
      </c>
      <c r="S882" s="1056">
        <v>0</v>
      </c>
      <c r="T882" s="1056">
        <v>0</v>
      </c>
      <c r="U882" s="1056">
        <v>0</v>
      </c>
      <c r="V882" s="1056">
        <v>0</v>
      </c>
      <c r="W882" s="1056">
        <v>0</v>
      </c>
      <c r="X882" s="1056">
        <v>0</v>
      </c>
      <c r="Y882" s="1056">
        <v>0</v>
      </c>
      <c r="Z882" s="1056">
        <v>296365</v>
      </c>
      <c r="AA882" s="1056">
        <v>0</v>
      </c>
    </row>
    <row r="883" spans="1:27" s="1079" customFormat="1" ht="105" customHeight="1">
      <c r="A883" s="1322"/>
      <c r="B883" s="1062" t="s">
        <v>1031</v>
      </c>
      <c r="C883" s="1056">
        <f t="shared" ref="C883:T883" si="494">SUM(C884:C885)</f>
        <v>3195064</v>
      </c>
      <c r="D883" s="1056">
        <f t="shared" si="494"/>
        <v>0</v>
      </c>
      <c r="E883" s="1056">
        <f t="shared" si="494"/>
        <v>0</v>
      </c>
      <c r="F883" s="1056">
        <f t="shared" si="494"/>
        <v>0</v>
      </c>
      <c r="G883" s="1056">
        <f t="shared" si="494"/>
        <v>0</v>
      </c>
      <c r="H883" s="1056">
        <f t="shared" si="494"/>
        <v>0</v>
      </c>
      <c r="I883" s="1056">
        <f t="shared" si="494"/>
        <v>0</v>
      </c>
      <c r="J883" s="1056">
        <f t="shared" si="494"/>
        <v>0</v>
      </c>
      <c r="K883" s="1063">
        <f t="shared" si="494"/>
        <v>0</v>
      </c>
      <c r="L883" s="1056">
        <f t="shared" si="494"/>
        <v>0</v>
      </c>
      <c r="M883" s="1063">
        <f t="shared" si="494"/>
        <v>0</v>
      </c>
      <c r="N883" s="1056">
        <f t="shared" si="494"/>
        <v>0</v>
      </c>
      <c r="O883" s="1056">
        <f t="shared" si="494"/>
        <v>944</v>
      </c>
      <c r="P883" s="1056">
        <f t="shared" si="494"/>
        <v>2962991</v>
      </c>
      <c r="Q883" s="1056">
        <f t="shared" si="494"/>
        <v>0</v>
      </c>
      <c r="R883" s="1056">
        <f t="shared" si="494"/>
        <v>0</v>
      </c>
      <c r="S883" s="1056">
        <f t="shared" si="494"/>
        <v>0</v>
      </c>
      <c r="T883" s="1056">
        <f t="shared" si="494"/>
        <v>0</v>
      </c>
      <c r="U883" s="1056">
        <v>0</v>
      </c>
      <c r="V883" s="1056">
        <v>0</v>
      </c>
      <c r="W883" s="1056">
        <f>SUM(W884:W885)</f>
        <v>0</v>
      </c>
      <c r="X883" s="1056">
        <f>SUM(X884:X885)</f>
        <v>0</v>
      </c>
      <c r="Y883" s="1056">
        <v>0</v>
      </c>
      <c r="Z883" s="1056">
        <f>SUM(Z884:Z885)</f>
        <v>232073</v>
      </c>
      <c r="AA883" s="1056">
        <f>SUM(AA884:AA885)</f>
        <v>0</v>
      </c>
    </row>
    <row r="884" spans="1:27" s="1079" customFormat="1" ht="122.25" customHeight="1">
      <c r="A884" s="1322">
        <v>373</v>
      </c>
      <c r="B884" s="1055" t="s">
        <v>1709</v>
      </c>
      <c r="C884" s="1068">
        <f t="shared" ref="C884:C885" si="495">D884+N884+P884+R884+T884+X884+Z884</f>
        <v>1705839</v>
      </c>
      <c r="D884" s="1056">
        <v>0</v>
      </c>
      <c r="E884" s="1056">
        <v>0</v>
      </c>
      <c r="F884" s="1056">
        <v>0</v>
      </c>
      <c r="G884" s="1056">
        <v>0</v>
      </c>
      <c r="H884" s="1056">
        <v>0</v>
      </c>
      <c r="I884" s="1056">
        <v>0</v>
      </c>
      <c r="J884" s="1056">
        <v>0</v>
      </c>
      <c r="K884" s="1063">
        <v>0</v>
      </c>
      <c r="L884" s="1056">
        <v>0</v>
      </c>
      <c r="M884" s="1063">
        <v>0</v>
      </c>
      <c r="N884" s="1056">
        <v>0</v>
      </c>
      <c r="O884" s="1056">
        <v>504</v>
      </c>
      <c r="P884" s="1056">
        <v>1581936</v>
      </c>
      <c r="Q884" s="1056">
        <v>0</v>
      </c>
      <c r="R884" s="1056">
        <v>0</v>
      </c>
      <c r="S884" s="1056">
        <v>0</v>
      </c>
      <c r="T884" s="1056">
        <v>0</v>
      </c>
      <c r="U884" s="1056">
        <v>0</v>
      </c>
      <c r="V884" s="1056">
        <v>0</v>
      </c>
      <c r="W884" s="1056">
        <v>0</v>
      </c>
      <c r="X884" s="1056">
        <v>0</v>
      </c>
      <c r="Y884" s="1056">
        <v>0</v>
      </c>
      <c r="Z884" s="1056">
        <v>123903</v>
      </c>
      <c r="AA884" s="1056">
        <v>0</v>
      </c>
    </row>
    <row r="885" spans="1:27" s="1079" customFormat="1" ht="92.25" customHeight="1">
      <c r="A885" s="1322">
        <v>374</v>
      </c>
      <c r="B885" s="1055" t="s">
        <v>1710</v>
      </c>
      <c r="C885" s="1068">
        <f t="shared" si="495"/>
        <v>1489225</v>
      </c>
      <c r="D885" s="1056">
        <v>0</v>
      </c>
      <c r="E885" s="1056">
        <v>0</v>
      </c>
      <c r="F885" s="1056">
        <v>0</v>
      </c>
      <c r="G885" s="1056">
        <v>0</v>
      </c>
      <c r="H885" s="1056">
        <v>0</v>
      </c>
      <c r="I885" s="1056">
        <v>0</v>
      </c>
      <c r="J885" s="1056">
        <v>0</v>
      </c>
      <c r="K885" s="1063">
        <v>0</v>
      </c>
      <c r="L885" s="1056">
        <v>0</v>
      </c>
      <c r="M885" s="1063">
        <v>0</v>
      </c>
      <c r="N885" s="1056">
        <v>0</v>
      </c>
      <c r="O885" s="1056">
        <v>440</v>
      </c>
      <c r="P885" s="1056">
        <v>1381055</v>
      </c>
      <c r="Q885" s="1056">
        <v>0</v>
      </c>
      <c r="R885" s="1056">
        <v>0</v>
      </c>
      <c r="S885" s="1056">
        <v>0</v>
      </c>
      <c r="T885" s="1056">
        <v>0</v>
      </c>
      <c r="U885" s="1056">
        <v>0</v>
      </c>
      <c r="V885" s="1056">
        <v>0</v>
      </c>
      <c r="W885" s="1056">
        <v>0</v>
      </c>
      <c r="X885" s="1056">
        <v>0</v>
      </c>
      <c r="Y885" s="1056">
        <v>0</v>
      </c>
      <c r="Z885" s="1056">
        <v>108170</v>
      </c>
      <c r="AA885" s="1056">
        <v>0</v>
      </c>
    </row>
    <row r="886" spans="1:27" s="1079" customFormat="1" ht="100.5" customHeight="1">
      <c r="A886" s="1322"/>
      <c r="B886" s="1062" t="s">
        <v>2017</v>
      </c>
      <c r="C886" s="1056">
        <f>SUM(C887:C893)</f>
        <v>9482659.9499999993</v>
      </c>
      <c r="D886" s="1056">
        <f t="shared" ref="D886:AA886" si="496">SUM(D887:D893)</f>
        <v>0</v>
      </c>
      <c r="E886" s="1056">
        <f t="shared" si="496"/>
        <v>0</v>
      </c>
      <c r="F886" s="1056">
        <f t="shared" si="496"/>
        <v>0</v>
      </c>
      <c r="G886" s="1056">
        <f t="shared" si="496"/>
        <v>0</v>
      </c>
      <c r="H886" s="1056">
        <f t="shared" si="496"/>
        <v>0</v>
      </c>
      <c r="I886" s="1056">
        <f t="shared" si="496"/>
        <v>0</v>
      </c>
      <c r="J886" s="1056">
        <f t="shared" si="496"/>
        <v>0</v>
      </c>
      <c r="K886" s="1056">
        <f t="shared" si="496"/>
        <v>0</v>
      </c>
      <c r="L886" s="1056">
        <f t="shared" si="496"/>
        <v>0</v>
      </c>
      <c r="M886" s="1056">
        <f t="shared" si="496"/>
        <v>0</v>
      </c>
      <c r="N886" s="1056">
        <f t="shared" si="496"/>
        <v>0</v>
      </c>
      <c r="O886" s="1056">
        <f t="shared" si="496"/>
        <v>1364.6999999999998</v>
      </c>
      <c r="P886" s="1056">
        <f t="shared" si="496"/>
        <v>6213319.1899999995</v>
      </c>
      <c r="Q886" s="1056">
        <f t="shared" si="496"/>
        <v>0</v>
      </c>
      <c r="R886" s="1056">
        <f t="shared" si="496"/>
        <v>0</v>
      </c>
      <c r="S886" s="1056">
        <f t="shared" si="496"/>
        <v>1463.73</v>
      </c>
      <c r="T886" s="1056">
        <f t="shared" si="496"/>
        <v>2580569.3099999996</v>
      </c>
      <c r="U886" s="1056">
        <f t="shared" si="496"/>
        <v>0</v>
      </c>
      <c r="V886" s="1056">
        <f t="shared" si="496"/>
        <v>0</v>
      </c>
      <c r="W886" s="1056">
        <f t="shared" si="496"/>
        <v>0</v>
      </c>
      <c r="X886" s="1056">
        <f t="shared" si="496"/>
        <v>0</v>
      </c>
      <c r="Y886" s="1056">
        <f t="shared" si="496"/>
        <v>0</v>
      </c>
      <c r="Z886" s="1056">
        <f t="shared" si="496"/>
        <v>688771.45</v>
      </c>
      <c r="AA886" s="1056">
        <f t="shared" si="496"/>
        <v>0</v>
      </c>
    </row>
    <row r="887" spans="1:27" s="1079" customFormat="1" ht="111.75" customHeight="1">
      <c r="A887" s="1322">
        <v>375</v>
      </c>
      <c r="B887" s="1062" t="s">
        <v>2021</v>
      </c>
      <c r="C887" s="1068">
        <f t="shared" ref="C887:C892" si="497">D887+N887+P887+R887+T887+X887+Z887</f>
        <v>1866925.32</v>
      </c>
      <c r="D887" s="1068">
        <f t="shared" ref="D887:D892" si="498">SUM(E887:J887)</f>
        <v>0</v>
      </c>
      <c r="E887" s="1056">
        <v>0</v>
      </c>
      <c r="F887" s="1056">
        <v>0</v>
      </c>
      <c r="G887" s="1056">
        <v>0</v>
      </c>
      <c r="H887" s="1056">
        <v>0</v>
      </c>
      <c r="I887" s="1056">
        <v>0</v>
      </c>
      <c r="J887" s="1056">
        <v>0</v>
      </c>
      <c r="K887" s="1063">
        <v>0</v>
      </c>
      <c r="L887" s="1056">
        <v>0</v>
      </c>
      <c r="M887" s="1063">
        <v>0</v>
      </c>
      <c r="N887" s="1056">
        <v>0</v>
      </c>
      <c r="O887" s="1056">
        <v>490.4</v>
      </c>
      <c r="P887" s="1056">
        <v>1731321.52</v>
      </c>
      <c r="Q887" s="1056">
        <v>0</v>
      </c>
      <c r="R887" s="1056">
        <v>0</v>
      </c>
      <c r="S887" s="1056">
        <v>0</v>
      </c>
      <c r="T887" s="1056">
        <v>0</v>
      </c>
      <c r="U887" s="1056">
        <v>0</v>
      </c>
      <c r="V887" s="1056">
        <v>0</v>
      </c>
      <c r="W887" s="1056">
        <v>0</v>
      </c>
      <c r="X887" s="1056">
        <v>0</v>
      </c>
      <c r="Y887" s="1056">
        <v>0</v>
      </c>
      <c r="Z887" s="1056">
        <v>135603.79999999999</v>
      </c>
      <c r="AA887" s="1056">
        <v>0</v>
      </c>
    </row>
    <row r="888" spans="1:27" s="1079" customFormat="1" ht="116.25" customHeight="1">
      <c r="A888" s="1322">
        <v>376</v>
      </c>
      <c r="B888" s="1062" t="s">
        <v>2022</v>
      </c>
      <c r="C888" s="1068">
        <f t="shared" si="497"/>
        <v>734707</v>
      </c>
      <c r="D888" s="1068">
        <f t="shared" si="498"/>
        <v>0</v>
      </c>
      <c r="E888" s="1056">
        <v>0</v>
      </c>
      <c r="F888" s="1056">
        <v>0</v>
      </c>
      <c r="G888" s="1056">
        <v>0</v>
      </c>
      <c r="H888" s="1056">
        <v>0</v>
      </c>
      <c r="I888" s="1056">
        <v>0</v>
      </c>
      <c r="J888" s="1056">
        <v>0</v>
      </c>
      <c r="K888" s="1063">
        <v>0</v>
      </c>
      <c r="L888" s="1056">
        <v>0</v>
      </c>
      <c r="M888" s="1063">
        <v>0</v>
      </c>
      <c r="N888" s="1056">
        <v>0</v>
      </c>
      <c r="O888" s="1056">
        <v>0</v>
      </c>
      <c r="P888" s="1056">
        <v>0</v>
      </c>
      <c r="Q888" s="1070">
        <v>0</v>
      </c>
      <c r="R888" s="1056">
        <v>0</v>
      </c>
      <c r="S888" s="1056">
        <v>484.51</v>
      </c>
      <c r="T888" s="1056">
        <v>681341.68</v>
      </c>
      <c r="U888" s="1056">
        <v>0</v>
      </c>
      <c r="V888" s="1056">
        <v>0</v>
      </c>
      <c r="W888" s="1070">
        <v>0</v>
      </c>
      <c r="X888" s="1056">
        <v>0</v>
      </c>
      <c r="Y888" s="1056">
        <v>0</v>
      </c>
      <c r="Z888" s="1056">
        <v>53365.32</v>
      </c>
      <c r="AA888" s="1056">
        <v>0</v>
      </c>
    </row>
    <row r="889" spans="1:27" s="1079" customFormat="1" ht="99.6" customHeight="1">
      <c r="A889" s="1322">
        <v>377</v>
      </c>
      <c r="B889" s="1062" t="s">
        <v>2166</v>
      </c>
      <c r="C889" s="1068">
        <f t="shared" si="497"/>
        <v>738725.94</v>
      </c>
      <c r="D889" s="1068">
        <f t="shared" si="498"/>
        <v>0</v>
      </c>
      <c r="E889" s="1056">
        <v>0</v>
      </c>
      <c r="F889" s="1056">
        <v>0</v>
      </c>
      <c r="G889" s="1056">
        <v>0</v>
      </c>
      <c r="H889" s="1056">
        <v>0</v>
      </c>
      <c r="I889" s="1056">
        <v>0</v>
      </c>
      <c r="J889" s="1056">
        <v>0</v>
      </c>
      <c r="K889" s="1063">
        <v>0</v>
      </c>
      <c r="L889" s="1056">
        <v>0</v>
      </c>
      <c r="M889" s="1063">
        <v>0</v>
      </c>
      <c r="N889" s="1056">
        <v>0</v>
      </c>
      <c r="O889" s="1056">
        <v>0</v>
      </c>
      <c r="P889" s="1056">
        <v>0</v>
      </c>
      <c r="Q889" s="1070">
        <v>0</v>
      </c>
      <c r="R889" s="1056">
        <v>0</v>
      </c>
      <c r="S889" s="1056">
        <v>487.2</v>
      </c>
      <c r="T889" s="1056">
        <v>685068.7</v>
      </c>
      <c r="U889" s="1056">
        <v>0</v>
      </c>
      <c r="V889" s="1056">
        <v>0</v>
      </c>
      <c r="W889" s="1070">
        <v>0</v>
      </c>
      <c r="X889" s="1056">
        <v>0</v>
      </c>
      <c r="Y889" s="1056">
        <v>0</v>
      </c>
      <c r="Z889" s="1056">
        <v>53657.24</v>
      </c>
      <c r="AA889" s="1056">
        <v>0</v>
      </c>
    </row>
    <row r="890" spans="1:27" s="1079" customFormat="1" ht="99.6" customHeight="1">
      <c r="A890" s="1322">
        <v>378</v>
      </c>
      <c r="B890" s="1062" t="s">
        <v>2023</v>
      </c>
      <c r="C890" s="1068">
        <f t="shared" si="497"/>
        <v>1857131.23</v>
      </c>
      <c r="D890" s="1068">
        <f t="shared" si="498"/>
        <v>0</v>
      </c>
      <c r="E890" s="1056">
        <v>0</v>
      </c>
      <c r="F890" s="1056">
        <v>0</v>
      </c>
      <c r="G890" s="1056">
        <v>0</v>
      </c>
      <c r="H890" s="1056">
        <v>0</v>
      </c>
      <c r="I890" s="1056">
        <v>0</v>
      </c>
      <c r="J890" s="1056">
        <v>0</v>
      </c>
      <c r="K890" s="1063">
        <v>0</v>
      </c>
      <c r="L890" s="1056">
        <v>0</v>
      </c>
      <c r="M890" s="1063">
        <v>0</v>
      </c>
      <c r="N890" s="1056">
        <v>0</v>
      </c>
      <c r="O890" s="1056">
        <v>0</v>
      </c>
      <c r="P890" s="1056">
        <v>1722238.82</v>
      </c>
      <c r="Q890" s="1070">
        <v>0</v>
      </c>
      <c r="R890" s="1056">
        <v>0</v>
      </c>
      <c r="S890" s="1056">
        <v>0</v>
      </c>
      <c r="T890" s="1056">
        <v>0</v>
      </c>
      <c r="U890" s="1056">
        <v>0</v>
      </c>
      <c r="V890" s="1056">
        <v>0</v>
      </c>
      <c r="W890" s="1070">
        <v>0</v>
      </c>
      <c r="X890" s="1056">
        <v>0</v>
      </c>
      <c r="Y890" s="1056">
        <v>0</v>
      </c>
      <c r="Z890" s="1056">
        <v>134892.41</v>
      </c>
      <c r="AA890" s="1056">
        <v>0</v>
      </c>
    </row>
    <row r="891" spans="1:27" s="1079" customFormat="1" ht="135" customHeight="1">
      <c r="A891" s="1322">
        <v>379</v>
      </c>
      <c r="B891" s="1062" t="s">
        <v>2024</v>
      </c>
      <c r="C891" s="1068">
        <f t="shared" si="497"/>
        <v>1936330.9100000001</v>
      </c>
      <c r="D891" s="1068">
        <f t="shared" si="498"/>
        <v>0</v>
      </c>
      <c r="E891" s="1056">
        <v>0</v>
      </c>
      <c r="F891" s="1056">
        <v>0</v>
      </c>
      <c r="G891" s="1056">
        <v>0</v>
      </c>
      <c r="H891" s="1056">
        <v>0</v>
      </c>
      <c r="I891" s="1056">
        <v>0</v>
      </c>
      <c r="J891" s="1056">
        <v>0</v>
      </c>
      <c r="K891" s="1063">
        <v>0</v>
      </c>
      <c r="L891" s="1056">
        <v>0</v>
      </c>
      <c r="M891" s="1063">
        <v>0</v>
      </c>
      <c r="N891" s="1056">
        <v>0</v>
      </c>
      <c r="O891" s="1056">
        <v>491.7</v>
      </c>
      <c r="P891" s="1056">
        <v>1795685.85</v>
      </c>
      <c r="Q891" s="1070">
        <v>0</v>
      </c>
      <c r="R891" s="1056">
        <v>0</v>
      </c>
      <c r="S891" s="1056">
        <v>0</v>
      </c>
      <c r="T891" s="1056">
        <v>0</v>
      </c>
      <c r="U891" s="1056">
        <v>0</v>
      </c>
      <c r="V891" s="1056">
        <v>0</v>
      </c>
      <c r="W891" s="1070">
        <v>0</v>
      </c>
      <c r="X891" s="1056">
        <v>0</v>
      </c>
      <c r="Y891" s="1056">
        <v>0</v>
      </c>
      <c r="Z891" s="1056">
        <v>140645.06</v>
      </c>
      <c r="AA891" s="1056">
        <v>0</v>
      </c>
    </row>
    <row r="892" spans="1:27" s="1079" customFormat="1" ht="135" customHeight="1">
      <c r="A892" s="1322">
        <v>380</v>
      </c>
      <c r="B892" s="1062" t="s">
        <v>2025</v>
      </c>
      <c r="C892" s="1068">
        <f t="shared" si="497"/>
        <v>1309256.5499999998</v>
      </c>
      <c r="D892" s="1068">
        <f t="shared" si="498"/>
        <v>0</v>
      </c>
      <c r="E892" s="1056">
        <v>0</v>
      </c>
      <c r="F892" s="1056">
        <v>0</v>
      </c>
      <c r="G892" s="1056">
        <v>0</v>
      </c>
      <c r="H892" s="1056">
        <v>0</v>
      </c>
      <c r="I892" s="1056">
        <v>0</v>
      </c>
      <c r="J892" s="1056">
        <v>0</v>
      </c>
      <c r="K892" s="1063">
        <v>0</v>
      </c>
      <c r="L892" s="1056">
        <v>0</v>
      </c>
      <c r="M892" s="1063">
        <v>0</v>
      </c>
      <c r="N892" s="1056">
        <v>0</v>
      </c>
      <c r="O892" s="1056">
        <v>0</v>
      </c>
      <c r="P892" s="1056">
        <v>0</v>
      </c>
      <c r="Q892" s="1070">
        <v>0</v>
      </c>
      <c r="R892" s="1056">
        <v>0</v>
      </c>
      <c r="S892" s="1056">
        <v>492.02</v>
      </c>
      <c r="T892" s="1056">
        <v>1214158.93</v>
      </c>
      <c r="U892" s="1056">
        <v>0</v>
      </c>
      <c r="V892" s="1056">
        <v>0</v>
      </c>
      <c r="W892" s="1070">
        <v>0</v>
      </c>
      <c r="X892" s="1056">
        <v>0</v>
      </c>
      <c r="Y892" s="1056">
        <v>0</v>
      </c>
      <c r="Z892" s="1056">
        <v>95097.62</v>
      </c>
      <c r="AA892" s="1056">
        <v>0</v>
      </c>
    </row>
    <row r="893" spans="1:27" s="1079" customFormat="1" ht="87.75" customHeight="1">
      <c r="A893" s="1322">
        <v>381</v>
      </c>
      <c r="B893" s="1055" t="s">
        <v>2058</v>
      </c>
      <c r="C893" s="1056">
        <f>D893+N893+P893+R893+T893+X893+Z893</f>
        <v>1039583</v>
      </c>
      <c r="D893" s="1056">
        <f>SUM(E893:J893)</f>
        <v>0</v>
      </c>
      <c r="E893" s="1056">
        <v>0</v>
      </c>
      <c r="F893" s="1056">
        <v>0</v>
      </c>
      <c r="G893" s="1056">
        <v>0</v>
      </c>
      <c r="H893" s="1056">
        <v>0</v>
      </c>
      <c r="I893" s="1056">
        <v>0</v>
      </c>
      <c r="J893" s="1056">
        <v>0</v>
      </c>
      <c r="K893" s="1063">
        <v>0</v>
      </c>
      <c r="L893" s="1056">
        <v>0</v>
      </c>
      <c r="M893" s="1063">
        <v>0</v>
      </c>
      <c r="N893" s="1056">
        <v>0</v>
      </c>
      <c r="O893" s="1056">
        <v>382.6</v>
      </c>
      <c r="P893" s="1056">
        <v>964073</v>
      </c>
      <c r="Q893" s="1056">
        <v>0</v>
      </c>
      <c r="R893" s="1056">
        <v>0</v>
      </c>
      <c r="S893" s="1056">
        <v>0</v>
      </c>
      <c r="T893" s="1056">
        <v>0</v>
      </c>
      <c r="U893" s="1056">
        <v>0</v>
      </c>
      <c r="V893" s="1056">
        <v>0</v>
      </c>
      <c r="W893" s="1056">
        <v>0</v>
      </c>
      <c r="X893" s="1056">
        <v>0</v>
      </c>
      <c r="Y893" s="1076">
        <v>0</v>
      </c>
      <c r="Z893" s="1056">
        <v>75510</v>
      </c>
      <c r="AA893" s="1056">
        <v>0</v>
      </c>
    </row>
    <row r="894" spans="1:27" s="1079" customFormat="1" ht="104.25" customHeight="1">
      <c r="A894" s="1322"/>
      <c r="B894" s="1062" t="s">
        <v>2027</v>
      </c>
      <c r="C894" s="1068">
        <f>C895</f>
        <v>4707741</v>
      </c>
      <c r="D894" s="1068">
        <f t="shared" ref="D894:AA894" si="499">D895</f>
        <v>0</v>
      </c>
      <c r="E894" s="1068">
        <f t="shared" si="499"/>
        <v>0</v>
      </c>
      <c r="F894" s="1068">
        <f t="shared" si="499"/>
        <v>0</v>
      </c>
      <c r="G894" s="1068">
        <f t="shared" si="499"/>
        <v>0</v>
      </c>
      <c r="H894" s="1068">
        <f t="shared" si="499"/>
        <v>0</v>
      </c>
      <c r="I894" s="1068">
        <f t="shared" si="499"/>
        <v>0</v>
      </c>
      <c r="J894" s="1068">
        <f t="shared" si="499"/>
        <v>0</v>
      </c>
      <c r="K894" s="1068">
        <f t="shared" si="499"/>
        <v>0</v>
      </c>
      <c r="L894" s="1068">
        <f t="shared" si="499"/>
        <v>0</v>
      </c>
      <c r="M894" s="1068">
        <f t="shared" si="499"/>
        <v>0</v>
      </c>
      <c r="N894" s="1068">
        <f t="shared" si="499"/>
        <v>0</v>
      </c>
      <c r="O894" s="1068">
        <f t="shared" si="499"/>
        <v>1732.6</v>
      </c>
      <c r="P894" s="1068">
        <f t="shared" si="499"/>
        <v>4365795</v>
      </c>
      <c r="Q894" s="1068">
        <f t="shared" si="499"/>
        <v>0</v>
      </c>
      <c r="R894" s="1068">
        <f t="shared" si="499"/>
        <v>0</v>
      </c>
      <c r="S894" s="1068">
        <f t="shared" si="499"/>
        <v>0</v>
      </c>
      <c r="T894" s="1068">
        <f t="shared" si="499"/>
        <v>0</v>
      </c>
      <c r="U894" s="1068">
        <f t="shared" si="499"/>
        <v>0</v>
      </c>
      <c r="V894" s="1068">
        <f t="shared" si="499"/>
        <v>0</v>
      </c>
      <c r="W894" s="1068">
        <f t="shared" si="499"/>
        <v>0</v>
      </c>
      <c r="X894" s="1068">
        <f t="shared" si="499"/>
        <v>0</v>
      </c>
      <c r="Y894" s="1068">
        <f t="shared" si="499"/>
        <v>0</v>
      </c>
      <c r="Z894" s="1068">
        <f t="shared" si="499"/>
        <v>341946</v>
      </c>
      <c r="AA894" s="1068">
        <f t="shared" si="499"/>
        <v>0</v>
      </c>
    </row>
    <row r="895" spans="1:27" s="1079" customFormat="1" ht="113.25" customHeight="1">
      <c r="A895" s="1322">
        <v>382</v>
      </c>
      <c r="B895" s="1062" t="s">
        <v>2066</v>
      </c>
      <c r="C895" s="1068">
        <f t="shared" ref="C895" si="500">D895+N895+P895+R895+T895+X895+Z895</f>
        <v>4707741</v>
      </c>
      <c r="D895" s="1068">
        <f t="shared" ref="D895" si="501">SUM(E895:J895)</f>
        <v>0</v>
      </c>
      <c r="E895" s="1056">
        <v>0</v>
      </c>
      <c r="F895" s="1056">
        <v>0</v>
      </c>
      <c r="G895" s="1056">
        <v>0</v>
      </c>
      <c r="H895" s="1056">
        <v>0</v>
      </c>
      <c r="I895" s="1056">
        <v>0</v>
      </c>
      <c r="J895" s="1056">
        <v>0</v>
      </c>
      <c r="K895" s="1063">
        <v>0</v>
      </c>
      <c r="L895" s="1056">
        <v>0</v>
      </c>
      <c r="M895" s="1063">
        <v>0</v>
      </c>
      <c r="N895" s="1056">
        <v>0</v>
      </c>
      <c r="O895" s="1056">
        <v>1732.6</v>
      </c>
      <c r="P895" s="1056">
        <v>4365795</v>
      </c>
      <c r="Q895" s="1070">
        <v>0</v>
      </c>
      <c r="R895" s="1056">
        <v>0</v>
      </c>
      <c r="S895" s="1056">
        <v>0</v>
      </c>
      <c r="T895" s="1056">
        <v>0</v>
      </c>
      <c r="U895" s="1056">
        <v>0</v>
      </c>
      <c r="V895" s="1056">
        <v>0</v>
      </c>
      <c r="W895" s="1070">
        <v>0</v>
      </c>
      <c r="X895" s="1056">
        <v>0</v>
      </c>
      <c r="Y895" s="1056">
        <v>0</v>
      </c>
      <c r="Z895" s="1056">
        <v>341946</v>
      </c>
      <c r="AA895" s="1056">
        <v>0</v>
      </c>
    </row>
    <row r="896" spans="1:27" s="1079" customFormat="1" ht="152.25" customHeight="1">
      <c r="A896" s="1322"/>
      <c r="B896" s="1062" t="s">
        <v>2030</v>
      </c>
      <c r="C896" s="1068">
        <f>C897+C898+C899</f>
        <v>7101699</v>
      </c>
      <c r="D896" s="1068">
        <f t="shared" ref="D896:AA896" si="502">D897+D898+D899</f>
        <v>0</v>
      </c>
      <c r="E896" s="1068">
        <f t="shared" si="502"/>
        <v>0</v>
      </c>
      <c r="F896" s="1068">
        <f t="shared" si="502"/>
        <v>0</v>
      </c>
      <c r="G896" s="1068">
        <f t="shared" si="502"/>
        <v>0</v>
      </c>
      <c r="H896" s="1068">
        <f t="shared" si="502"/>
        <v>0</v>
      </c>
      <c r="I896" s="1068">
        <f t="shared" si="502"/>
        <v>0</v>
      </c>
      <c r="J896" s="1068">
        <f t="shared" si="502"/>
        <v>0</v>
      </c>
      <c r="K896" s="1068">
        <f t="shared" si="502"/>
        <v>0</v>
      </c>
      <c r="L896" s="1068">
        <f t="shared" si="502"/>
        <v>0</v>
      </c>
      <c r="M896" s="1068">
        <f t="shared" si="502"/>
        <v>0</v>
      </c>
      <c r="N896" s="1068">
        <f t="shared" si="502"/>
        <v>0</v>
      </c>
      <c r="O896" s="1068">
        <f t="shared" si="502"/>
        <v>1245.44</v>
      </c>
      <c r="P896" s="1068">
        <f t="shared" si="502"/>
        <v>4838736</v>
      </c>
      <c r="Q896" s="1068">
        <f t="shared" si="502"/>
        <v>0</v>
      </c>
      <c r="R896" s="1068">
        <f t="shared" si="502"/>
        <v>0</v>
      </c>
      <c r="S896" s="1068">
        <f t="shared" si="502"/>
        <v>708</v>
      </c>
      <c r="T896" s="1068">
        <f t="shared" si="502"/>
        <v>1747133</v>
      </c>
      <c r="U896" s="1068">
        <f t="shared" si="502"/>
        <v>0</v>
      </c>
      <c r="V896" s="1068">
        <f t="shared" si="502"/>
        <v>0</v>
      </c>
      <c r="W896" s="1068">
        <f t="shared" si="502"/>
        <v>0</v>
      </c>
      <c r="X896" s="1068">
        <f t="shared" si="502"/>
        <v>0</v>
      </c>
      <c r="Y896" s="1068">
        <f t="shared" si="502"/>
        <v>0</v>
      </c>
      <c r="Z896" s="1068">
        <f t="shared" si="502"/>
        <v>515830</v>
      </c>
      <c r="AA896" s="1068">
        <f t="shared" si="502"/>
        <v>0</v>
      </c>
    </row>
    <row r="897" spans="1:27" s="1079" customFormat="1" ht="118.5" customHeight="1">
      <c r="A897" s="1322">
        <v>383</v>
      </c>
      <c r="B897" s="1062" t="s">
        <v>2067</v>
      </c>
      <c r="C897" s="1068">
        <f t="shared" ref="C897" si="503">D897+N897+P897+R897+T897+X897+Z897</f>
        <v>3410816</v>
      </c>
      <c r="D897" s="1068">
        <f t="shared" ref="D897" si="504">SUM(E897:J897)</f>
        <v>0</v>
      </c>
      <c r="E897" s="1068">
        <v>0</v>
      </c>
      <c r="F897" s="1068">
        <v>0</v>
      </c>
      <c r="G897" s="1068">
        <v>0</v>
      </c>
      <c r="H897" s="1068">
        <v>0</v>
      </c>
      <c r="I897" s="1068">
        <v>0</v>
      </c>
      <c r="J897" s="1068">
        <v>0</v>
      </c>
      <c r="K897" s="1063">
        <v>0</v>
      </c>
      <c r="L897" s="1068">
        <v>0</v>
      </c>
      <c r="M897" s="1063">
        <v>0</v>
      </c>
      <c r="N897" s="1068">
        <v>0</v>
      </c>
      <c r="O897" s="1068">
        <v>800</v>
      </c>
      <c r="P897" s="1068">
        <v>3163072</v>
      </c>
      <c r="Q897" s="1068">
        <v>0</v>
      </c>
      <c r="R897" s="1068">
        <v>0</v>
      </c>
      <c r="S897" s="1068">
        <v>0</v>
      </c>
      <c r="T897" s="1068">
        <v>0</v>
      </c>
      <c r="U897" s="1056">
        <v>0</v>
      </c>
      <c r="V897" s="1056">
        <v>0</v>
      </c>
      <c r="W897" s="1068">
        <v>0</v>
      </c>
      <c r="X897" s="1068">
        <v>0</v>
      </c>
      <c r="Y897" s="1076">
        <v>0</v>
      </c>
      <c r="Z897" s="1068">
        <v>247744</v>
      </c>
      <c r="AA897" s="1068">
        <v>0</v>
      </c>
    </row>
    <row r="898" spans="1:27" s="1079" customFormat="1" ht="102" customHeight="1">
      <c r="A898" s="1322">
        <v>384</v>
      </c>
      <c r="B898" s="1062" t="s">
        <v>2068</v>
      </c>
      <c r="C898" s="1068">
        <f t="shared" ref="C898:C899" si="505">D898+N898+P898+R898+T898+X898+Z898</f>
        <v>1883975</v>
      </c>
      <c r="D898" s="1068">
        <f t="shared" ref="D898:D899" si="506">SUM(E898:J898)</f>
        <v>0</v>
      </c>
      <c r="E898" s="1056">
        <v>0</v>
      </c>
      <c r="F898" s="1056">
        <v>0</v>
      </c>
      <c r="G898" s="1056">
        <v>0</v>
      </c>
      <c r="H898" s="1056">
        <v>0</v>
      </c>
      <c r="I898" s="1056">
        <v>0</v>
      </c>
      <c r="J898" s="1056">
        <v>0</v>
      </c>
      <c r="K898" s="1063">
        <v>0</v>
      </c>
      <c r="L898" s="1056">
        <v>0</v>
      </c>
      <c r="M898" s="1063">
        <v>0</v>
      </c>
      <c r="N898" s="1056">
        <v>0</v>
      </c>
      <c r="O898" s="1056">
        <v>0</v>
      </c>
      <c r="P898" s="1056">
        <v>0</v>
      </c>
      <c r="Q898" s="1070">
        <v>0</v>
      </c>
      <c r="R898" s="1056">
        <v>0</v>
      </c>
      <c r="S898" s="1056">
        <v>708</v>
      </c>
      <c r="T898" s="1056">
        <v>1747133</v>
      </c>
      <c r="U898" s="1056">
        <v>0</v>
      </c>
      <c r="V898" s="1056">
        <v>0</v>
      </c>
      <c r="W898" s="1070">
        <v>0</v>
      </c>
      <c r="X898" s="1056">
        <v>0</v>
      </c>
      <c r="Y898" s="1056">
        <v>0</v>
      </c>
      <c r="Z898" s="1056">
        <v>136842</v>
      </c>
      <c r="AA898" s="1056">
        <v>0</v>
      </c>
    </row>
    <row r="899" spans="1:27" s="1079" customFormat="1" ht="102" customHeight="1">
      <c r="A899" s="1322">
        <v>385</v>
      </c>
      <c r="B899" s="1062" t="s">
        <v>2069</v>
      </c>
      <c r="C899" s="1068">
        <f t="shared" si="505"/>
        <v>1806908</v>
      </c>
      <c r="D899" s="1068">
        <f t="shared" si="506"/>
        <v>0</v>
      </c>
      <c r="E899" s="1068">
        <v>0</v>
      </c>
      <c r="F899" s="1068">
        <v>0</v>
      </c>
      <c r="G899" s="1068">
        <v>0</v>
      </c>
      <c r="H899" s="1068">
        <v>0</v>
      </c>
      <c r="I899" s="1068">
        <v>0</v>
      </c>
      <c r="J899" s="1068">
        <v>0</v>
      </c>
      <c r="K899" s="1063">
        <v>0</v>
      </c>
      <c r="L899" s="1068">
        <v>0</v>
      </c>
      <c r="M899" s="1063">
        <v>0</v>
      </c>
      <c r="N899" s="1068">
        <v>0</v>
      </c>
      <c r="O899" s="1068">
        <v>445.44</v>
      </c>
      <c r="P899" s="1068">
        <v>1675664</v>
      </c>
      <c r="Q899" s="1068">
        <v>0</v>
      </c>
      <c r="R899" s="1068">
        <v>0</v>
      </c>
      <c r="S899" s="1068">
        <v>0</v>
      </c>
      <c r="T899" s="1068">
        <v>0</v>
      </c>
      <c r="U899" s="1076">
        <v>0</v>
      </c>
      <c r="V899" s="1076">
        <v>0</v>
      </c>
      <c r="W899" s="1068">
        <v>0</v>
      </c>
      <c r="X899" s="1068">
        <v>0</v>
      </c>
      <c r="Y899" s="1076">
        <v>0</v>
      </c>
      <c r="Z899" s="1068">
        <v>131244</v>
      </c>
      <c r="AA899" s="1068">
        <v>0</v>
      </c>
    </row>
    <row r="900" spans="1:27" s="1079" customFormat="1" ht="99" customHeight="1">
      <c r="A900" s="1322"/>
      <c r="B900" s="1055" t="s">
        <v>1032</v>
      </c>
      <c r="C900" s="1056">
        <f>C901</f>
        <v>255847</v>
      </c>
      <c r="D900" s="1056">
        <f t="shared" ref="D900:AA900" si="507">D901</f>
        <v>181655</v>
      </c>
      <c r="E900" s="1056">
        <f t="shared" si="507"/>
        <v>181655</v>
      </c>
      <c r="F900" s="1056">
        <f t="shared" si="507"/>
        <v>0</v>
      </c>
      <c r="G900" s="1056">
        <f t="shared" si="507"/>
        <v>0</v>
      </c>
      <c r="H900" s="1056">
        <f t="shared" si="507"/>
        <v>0</v>
      </c>
      <c r="I900" s="1056">
        <f t="shared" si="507"/>
        <v>0</v>
      </c>
      <c r="J900" s="1056">
        <f t="shared" si="507"/>
        <v>0</v>
      </c>
      <c r="K900" s="1063">
        <f t="shared" si="507"/>
        <v>0</v>
      </c>
      <c r="L900" s="1056">
        <f t="shared" si="507"/>
        <v>0</v>
      </c>
      <c r="M900" s="1063">
        <f t="shared" si="507"/>
        <v>0</v>
      </c>
      <c r="N900" s="1056">
        <f t="shared" si="507"/>
        <v>0</v>
      </c>
      <c r="O900" s="1056">
        <f t="shared" si="507"/>
        <v>0</v>
      </c>
      <c r="P900" s="1056">
        <f t="shared" si="507"/>
        <v>0</v>
      </c>
      <c r="Q900" s="1056">
        <f t="shared" si="507"/>
        <v>0</v>
      </c>
      <c r="R900" s="1056">
        <f t="shared" si="507"/>
        <v>0</v>
      </c>
      <c r="S900" s="1056">
        <f t="shared" si="507"/>
        <v>0</v>
      </c>
      <c r="T900" s="1056">
        <f t="shared" si="507"/>
        <v>0</v>
      </c>
      <c r="U900" s="1056">
        <v>0</v>
      </c>
      <c r="V900" s="1056">
        <v>0</v>
      </c>
      <c r="W900" s="1056">
        <f t="shared" si="507"/>
        <v>0</v>
      </c>
      <c r="X900" s="1056">
        <f t="shared" si="507"/>
        <v>0</v>
      </c>
      <c r="Y900" s="1056">
        <v>0</v>
      </c>
      <c r="Z900" s="1056">
        <f t="shared" si="507"/>
        <v>74192</v>
      </c>
      <c r="AA900" s="1056">
        <f t="shared" si="507"/>
        <v>0</v>
      </c>
    </row>
    <row r="901" spans="1:27" s="1079" customFormat="1" ht="99" customHeight="1">
      <c r="A901" s="1322">
        <v>386</v>
      </c>
      <c r="B901" s="1055" t="s">
        <v>2032</v>
      </c>
      <c r="C901" s="1056">
        <f>D901+N901+P901+R901+T901+X901+Z901</f>
        <v>255847</v>
      </c>
      <c r="D901" s="1056">
        <f>SUM(E901:J901)</f>
        <v>181655</v>
      </c>
      <c r="E901" s="1056">
        <v>181655</v>
      </c>
      <c r="F901" s="1056">
        <v>0</v>
      </c>
      <c r="G901" s="1056">
        <v>0</v>
      </c>
      <c r="H901" s="1056">
        <v>0</v>
      </c>
      <c r="I901" s="1056">
        <v>0</v>
      </c>
      <c r="J901" s="1056">
        <v>0</v>
      </c>
      <c r="K901" s="1063">
        <v>0</v>
      </c>
      <c r="L901" s="1056">
        <v>0</v>
      </c>
      <c r="M901" s="1063">
        <v>0</v>
      </c>
      <c r="N901" s="1056">
        <v>0</v>
      </c>
      <c r="O901" s="1056">
        <v>0</v>
      </c>
      <c r="P901" s="1056">
        <v>0</v>
      </c>
      <c r="Q901" s="1056">
        <v>0</v>
      </c>
      <c r="R901" s="1056">
        <v>0</v>
      </c>
      <c r="S901" s="1056">
        <v>0</v>
      </c>
      <c r="T901" s="1056">
        <v>0</v>
      </c>
      <c r="U901" s="1056">
        <v>0</v>
      </c>
      <c r="V901" s="1056">
        <v>0</v>
      </c>
      <c r="W901" s="1056">
        <v>0</v>
      </c>
      <c r="X901" s="1056">
        <v>0</v>
      </c>
      <c r="Y901" s="1056">
        <v>0</v>
      </c>
      <c r="Z901" s="1056">
        <v>74192</v>
      </c>
      <c r="AA901" s="1056">
        <v>0</v>
      </c>
    </row>
    <row r="902" spans="1:27" s="1079" customFormat="1" ht="99" customHeight="1">
      <c r="A902" s="1322"/>
      <c r="B902" s="1062" t="s">
        <v>2055</v>
      </c>
      <c r="C902" s="1056">
        <f>C903</f>
        <v>2364254</v>
      </c>
      <c r="D902" s="1056">
        <f t="shared" ref="D902:AA902" si="508">D903</f>
        <v>0</v>
      </c>
      <c r="E902" s="1056">
        <f t="shared" si="508"/>
        <v>0</v>
      </c>
      <c r="F902" s="1056">
        <f t="shared" si="508"/>
        <v>0</v>
      </c>
      <c r="G902" s="1056">
        <f t="shared" si="508"/>
        <v>0</v>
      </c>
      <c r="H902" s="1056">
        <f t="shared" si="508"/>
        <v>0</v>
      </c>
      <c r="I902" s="1056">
        <f t="shared" si="508"/>
        <v>0</v>
      </c>
      <c r="J902" s="1056">
        <f t="shared" si="508"/>
        <v>0</v>
      </c>
      <c r="K902" s="1063">
        <f t="shared" si="508"/>
        <v>0</v>
      </c>
      <c r="L902" s="1056">
        <f t="shared" si="508"/>
        <v>0</v>
      </c>
      <c r="M902" s="1063">
        <f t="shared" si="508"/>
        <v>0</v>
      </c>
      <c r="N902" s="1056">
        <f t="shared" si="508"/>
        <v>0</v>
      </c>
      <c r="O902" s="1056">
        <f t="shared" si="508"/>
        <v>510</v>
      </c>
      <c r="P902" s="1056">
        <f t="shared" si="508"/>
        <v>2192527</v>
      </c>
      <c r="Q902" s="1056">
        <f t="shared" si="508"/>
        <v>0</v>
      </c>
      <c r="R902" s="1056">
        <f t="shared" si="508"/>
        <v>0</v>
      </c>
      <c r="S902" s="1056">
        <f t="shared" si="508"/>
        <v>0</v>
      </c>
      <c r="T902" s="1056">
        <f t="shared" si="508"/>
        <v>0</v>
      </c>
      <c r="U902" s="1056">
        <v>0</v>
      </c>
      <c r="V902" s="1056">
        <v>0</v>
      </c>
      <c r="W902" s="1056">
        <f t="shared" si="508"/>
        <v>0</v>
      </c>
      <c r="X902" s="1056">
        <f t="shared" si="508"/>
        <v>0</v>
      </c>
      <c r="Y902" s="1056">
        <f t="shared" si="508"/>
        <v>0</v>
      </c>
      <c r="Z902" s="1056">
        <f t="shared" si="508"/>
        <v>171727</v>
      </c>
      <c r="AA902" s="1056">
        <f t="shared" si="508"/>
        <v>0</v>
      </c>
    </row>
    <row r="903" spans="1:27" s="1079" customFormat="1" ht="99" customHeight="1">
      <c r="A903" s="1322">
        <v>387</v>
      </c>
      <c r="B903" s="1062" t="s">
        <v>2056</v>
      </c>
      <c r="C903" s="1056">
        <f>D903+N903+P903+R903+T903+X903+Z903</f>
        <v>2364254</v>
      </c>
      <c r="D903" s="1056">
        <f>SUM(E903:J903)</f>
        <v>0</v>
      </c>
      <c r="E903" s="1056">
        <v>0</v>
      </c>
      <c r="F903" s="1056">
        <v>0</v>
      </c>
      <c r="G903" s="1056">
        <v>0</v>
      </c>
      <c r="H903" s="1056">
        <v>0</v>
      </c>
      <c r="I903" s="1056">
        <v>0</v>
      </c>
      <c r="J903" s="1056">
        <v>0</v>
      </c>
      <c r="K903" s="1063">
        <v>0</v>
      </c>
      <c r="L903" s="1056">
        <v>0</v>
      </c>
      <c r="M903" s="1063">
        <v>0</v>
      </c>
      <c r="N903" s="1056">
        <v>0</v>
      </c>
      <c r="O903" s="1056">
        <v>510</v>
      </c>
      <c r="P903" s="1056">
        <v>2192527</v>
      </c>
      <c r="Q903" s="1056">
        <v>0</v>
      </c>
      <c r="R903" s="1056">
        <v>0</v>
      </c>
      <c r="S903" s="1056">
        <v>0</v>
      </c>
      <c r="T903" s="1056">
        <v>0</v>
      </c>
      <c r="U903" s="1056">
        <v>0</v>
      </c>
      <c r="V903" s="1056">
        <v>0</v>
      </c>
      <c r="W903" s="1056">
        <v>0</v>
      </c>
      <c r="X903" s="1056">
        <v>0</v>
      </c>
      <c r="Y903" s="1076">
        <v>0</v>
      </c>
      <c r="Z903" s="1056">
        <v>171727</v>
      </c>
      <c r="AA903" s="1056">
        <v>0</v>
      </c>
    </row>
    <row r="904" spans="1:27" s="1079" customFormat="1" ht="160.5" customHeight="1">
      <c r="A904" s="1322"/>
      <c r="B904" s="1062" t="s">
        <v>1099</v>
      </c>
      <c r="C904" s="1056">
        <f>C905+C906+C907+C908+C909+C910</f>
        <v>13173642.190000001</v>
      </c>
      <c r="D904" s="1056">
        <f t="shared" ref="D904:AA904" si="509">D905+D906+D907+D908+D909+D910</f>
        <v>187319.65</v>
      </c>
      <c r="E904" s="1056">
        <f t="shared" si="509"/>
        <v>187319.65</v>
      </c>
      <c r="F904" s="1056">
        <f t="shared" si="509"/>
        <v>0</v>
      </c>
      <c r="G904" s="1056">
        <f t="shared" si="509"/>
        <v>0</v>
      </c>
      <c r="H904" s="1056">
        <f t="shared" si="509"/>
        <v>0</v>
      </c>
      <c r="I904" s="1056">
        <f t="shared" si="509"/>
        <v>0</v>
      </c>
      <c r="J904" s="1056">
        <f t="shared" si="509"/>
        <v>0</v>
      </c>
      <c r="K904" s="1056">
        <f t="shared" si="509"/>
        <v>0</v>
      </c>
      <c r="L904" s="1056">
        <f t="shared" si="509"/>
        <v>0</v>
      </c>
      <c r="M904" s="1056">
        <f t="shared" si="509"/>
        <v>0</v>
      </c>
      <c r="N904" s="1056">
        <f t="shared" si="509"/>
        <v>0</v>
      </c>
      <c r="O904" s="1056">
        <f t="shared" si="509"/>
        <v>2120.4</v>
      </c>
      <c r="P904" s="1056">
        <f t="shared" si="509"/>
        <v>12162379.529999999</v>
      </c>
      <c r="Q904" s="1056">
        <f t="shared" si="509"/>
        <v>0</v>
      </c>
      <c r="R904" s="1056">
        <f t="shared" si="509"/>
        <v>0</v>
      </c>
      <c r="S904" s="1056">
        <f t="shared" si="509"/>
        <v>0</v>
      </c>
      <c r="T904" s="1056">
        <f t="shared" si="509"/>
        <v>0</v>
      </c>
      <c r="U904" s="1056">
        <f t="shared" si="509"/>
        <v>0</v>
      </c>
      <c r="V904" s="1056">
        <f t="shared" si="509"/>
        <v>0</v>
      </c>
      <c r="W904" s="1056">
        <f t="shared" si="509"/>
        <v>0</v>
      </c>
      <c r="X904" s="1056">
        <f t="shared" si="509"/>
        <v>0</v>
      </c>
      <c r="Y904" s="1056">
        <f t="shared" si="509"/>
        <v>0</v>
      </c>
      <c r="Z904" s="1056">
        <f t="shared" si="509"/>
        <v>823943.00999999989</v>
      </c>
      <c r="AA904" s="1056">
        <f t="shared" si="509"/>
        <v>0</v>
      </c>
    </row>
    <row r="905" spans="1:27" s="1079" customFormat="1" ht="118.5" customHeight="1">
      <c r="A905" s="1322">
        <v>388</v>
      </c>
      <c r="B905" s="1062" t="s">
        <v>1285</v>
      </c>
      <c r="C905" s="1068">
        <f t="shared" ref="C905" si="510">D905+N905+P905+R905+T905+X905+Z905</f>
        <v>1555703.83</v>
      </c>
      <c r="D905" s="1068">
        <f t="shared" ref="D905" si="511">SUM(E905:J905)</f>
        <v>0</v>
      </c>
      <c r="E905" s="1056">
        <v>0</v>
      </c>
      <c r="F905" s="1056">
        <v>0</v>
      </c>
      <c r="G905" s="1056">
        <v>0</v>
      </c>
      <c r="H905" s="1056">
        <v>0</v>
      </c>
      <c r="I905" s="1056">
        <v>0</v>
      </c>
      <c r="J905" s="1056">
        <v>0</v>
      </c>
      <c r="K905" s="1063">
        <v>0</v>
      </c>
      <c r="L905" s="1056">
        <v>0</v>
      </c>
      <c r="M905" s="1063">
        <v>0</v>
      </c>
      <c r="N905" s="1056">
        <v>0</v>
      </c>
      <c r="O905" s="1056">
        <v>400</v>
      </c>
      <c r="P905" s="1056">
        <v>1483503.83</v>
      </c>
      <c r="Q905" s="1056">
        <v>0</v>
      </c>
      <c r="R905" s="1056">
        <v>0</v>
      </c>
      <c r="S905" s="1056">
        <v>0</v>
      </c>
      <c r="T905" s="1056">
        <v>0</v>
      </c>
      <c r="U905" s="1056">
        <v>0</v>
      </c>
      <c r="V905" s="1056">
        <v>0</v>
      </c>
      <c r="W905" s="1056">
        <v>0</v>
      </c>
      <c r="X905" s="1056">
        <v>0</v>
      </c>
      <c r="Y905" s="1056">
        <v>0</v>
      </c>
      <c r="Z905" s="1056">
        <v>72200</v>
      </c>
      <c r="AA905" s="1056">
        <v>0</v>
      </c>
    </row>
    <row r="906" spans="1:27" s="1079" customFormat="1" ht="98.45" customHeight="1">
      <c r="A906" s="1322">
        <v>389</v>
      </c>
      <c r="B906" s="1062" t="s">
        <v>1264</v>
      </c>
      <c r="C906" s="1068">
        <f t="shared" ref="C906:C910" si="512">D906+N906+P906+R906+T906+X906+Z906</f>
        <v>3588646.4600000004</v>
      </c>
      <c r="D906" s="1068">
        <f t="shared" ref="D906:D910" si="513">SUM(E906:J906)</f>
        <v>0</v>
      </c>
      <c r="E906" s="1056">
        <v>0</v>
      </c>
      <c r="F906" s="1056">
        <v>0</v>
      </c>
      <c r="G906" s="1056">
        <v>0</v>
      </c>
      <c r="H906" s="1056">
        <v>0</v>
      </c>
      <c r="I906" s="1056">
        <v>0</v>
      </c>
      <c r="J906" s="1056">
        <v>0</v>
      </c>
      <c r="K906" s="1063">
        <v>0</v>
      </c>
      <c r="L906" s="1056">
        <v>0</v>
      </c>
      <c r="M906" s="1063">
        <v>0</v>
      </c>
      <c r="N906" s="1056">
        <v>0</v>
      </c>
      <c r="O906" s="1056">
        <v>467</v>
      </c>
      <c r="P906" s="1056">
        <v>3327985.74</v>
      </c>
      <c r="Q906" s="1056">
        <v>0</v>
      </c>
      <c r="R906" s="1056">
        <v>0</v>
      </c>
      <c r="S906" s="1056">
        <v>0</v>
      </c>
      <c r="T906" s="1056">
        <v>0</v>
      </c>
      <c r="U906" s="1056">
        <v>0</v>
      </c>
      <c r="V906" s="1056">
        <v>0</v>
      </c>
      <c r="W906" s="1056">
        <v>0</v>
      </c>
      <c r="X906" s="1056">
        <v>0</v>
      </c>
      <c r="Y906" s="1056">
        <v>0</v>
      </c>
      <c r="Z906" s="1056">
        <v>260660.72</v>
      </c>
      <c r="AA906" s="1056">
        <v>0</v>
      </c>
    </row>
    <row r="907" spans="1:27" s="1079" customFormat="1" ht="99.6" customHeight="1">
      <c r="A907" s="1322">
        <v>390</v>
      </c>
      <c r="B907" s="1062" t="s">
        <v>1263</v>
      </c>
      <c r="C907" s="1068">
        <f t="shared" si="512"/>
        <v>1659093.22</v>
      </c>
      <c r="D907" s="1068">
        <f t="shared" si="513"/>
        <v>0</v>
      </c>
      <c r="E907" s="1056">
        <v>0</v>
      </c>
      <c r="F907" s="1056">
        <v>0</v>
      </c>
      <c r="G907" s="1056">
        <v>0</v>
      </c>
      <c r="H907" s="1056">
        <v>0</v>
      </c>
      <c r="I907" s="1056">
        <v>0</v>
      </c>
      <c r="J907" s="1056">
        <v>0</v>
      </c>
      <c r="K907" s="1063">
        <v>0</v>
      </c>
      <c r="L907" s="1056">
        <v>0</v>
      </c>
      <c r="M907" s="1063">
        <v>0</v>
      </c>
      <c r="N907" s="1056">
        <v>0</v>
      </c>
      <c r="O907" s="1056">
        <v>191.8</v>
      </c>
      <c r="P907" s="1056">
        <v>1630709.22</v>
      </c>
      <c r="Q907" s="1056">
        <v>0</v>
      </c>
      <c r="R907" s="1056">
        <v>0</v>
      </c>
      <c r="S907" s="1056">
        <v>0</v>
      </c>
      <c r="T907" s="1056">
        <v>0</v>
      </c>
      <c r="U907" s="1056">
        <v>0</v>
      </c>
      <c r="V907" s="1056">
        <v>0</v>
      </c>
      <c r="W907" s="1056">
        <v>0</v>
      </c>
      <c r="X907" s="1056">
        <v>0</v>
      </c>
      <c r="Y907" s="1056">
        <v>0</v>
      </c>
      <c r="Z907" s="1056">
        <v>28384</v>
      </c>
      <c r="AA907" s="1056">
        <v>0</v>
      </c>
    </row>
    <row r="908" spans="1:27" s="1079" customFormat="1" ht="96" customHeight="1">
      <c r="A908" s="1322">
        <v>391</v>
      </c>
      <c r="B908" s="1062" t="s">
        <v>1265</v>
      </c>
      <c r="C908" s="1068">
        <f t="shared" si="512"/>
        <v>2479662.89</v>
      </c>
      <c r="D908" s="1068">
        <f t="shared" si="513"/>
        <v>0</v>
      </c>
      <c r="E908" s="1056">
        <v>0</v>
      </c>
      <c r="F908" s="1056">
        <v>0</v>
      </c>
      <c r="G908" s="1056">
        <v>0</v>
      </c>
      <c r="H908" s="1056">
        <v>0</v>
      </c>
      <c r="I908" s="1056">
        <v>0</v>
      </c>
      <c r="J908" s="1056">
        <v>0</v>
      </c>
      <c r="K908" s="1063">
        <v>0</v>
      </c>
      <c r="L908" s="1056">
        <v>0</v>
      </c>
      <c r="M908" s="1063">
        <v>0</v>
      </c>
      <c r="N908" s="1056">
        <v>0</v>
      </c>
      <c r="O908" s="1056">
        <v>581.6</v>
      </c>
      <c r="P908" s="1056">
        <v>2299553</v>
      </c>
      <c r="Q908" s="1056">
        <v>0</v>
      </c>
      <c r="R908" s="1056">
        <v>0</v>
      </c>
      <c r="S908" s="1056">
        <v>0</v>
      </c>
      <c r="T908" s="1056">
        <v>0</v>
      </c>
      <c r="U908" s="1056">
        <v>0</v>
      </c>
      <c r="V908" s="1056">
        <v>0</v>
      </c>
      <c r="W908" s="1056">
        <v>0</v>
      </c>
      <c r="X908" s="1056">
        <v>0</v>
      </c>
      <c r="Y908" s="1056">
        <v>0</v>
      </c>
      <c r="Z908" s="1056">
        <v>180109.89</v>
      </c>
      <c r="AA908" s="1056">
        <v>0</v>
      </c>
    </row>
    <row r="909" spans="1:27" s="1079" customFormat="1" ht="93.6" customHeight="1">
      <c r="A909" s="1322">
        <v>392</v>
      </c>
      <c r="B909" s="1062" t="s">
        <v>1135</v>
      </c>
      <c r="C909" s="1068">
        <f t="shared" si="512"/>
        <v>3688544.54</v>
      </c>
      <c r="D909" s="1068">
        <f t="shared" si="513"/>
        <v>0</v>
      </c>
      <c r="E909" s="1056">
        <v>0</v>
      </c>
      <c r="F909" s="1056">
        <v>0</v>
      </c>
      <c r="G909" s="1056">
        <v>0</v>
      </c>
      <c r="H909" s="1056">
        <v>0</v>
      </c>
      <c r="I909" s="1056">
        <v>0</v>
      </c>
      <c r="J909" s="1056">
        <v>0</v>
      </c>
      <c r="K909" s="1063">
        <v>0</v>
      </c>
      <c r="L909" s="1056">
        <v>0</v>
      </c>
      <c r="M909" s="1063">
        <v>0</v>
      </c>
      <c r="N909" s="1056">
        <v>0</v>
      </c>
      <c r="O909" s="1056">
        <v>480</v>
      </c>
      <c r="P909" s="1056">
        <v>3420627.74</v>
      </c>
      <c r="Q909" s="1056">
        <v>0</v>
      </c>
      <c r="R909" s="1056">
        <v>0</v>
      </c>
      <c r="S909" s="1056">
        <v>0</v>
      </c>
      <c r="T909" s="1056">
        <v>0</v>
      </c>
      <c r="U909" s="1056">
        <v>0</v>
      </c>
      <c r="V909" s="1056">
        <v>0</v>
      </c>
      <c r="W909" s="1056">
        <v>0</v>
      </c>
      <c r="X909" s="1056">
        <v>0</v>
      </c>
      <c r="Y909" s="1056">
        <v>0</v>
      </c>
      <c r="Z909" s="1056">
        <v>267916.79999999999</v>
      </c>
      <c r="AA909" s="1056">
        <v>0</v>
      </c>
    </row>
    <row r="910" spans="1:27" s="1079" customFormat="1" ht="105" customHeight="1">
      <c r="A910" s="1322">
        <v>393</v>
      </c>
      <c r="B910" s="1062" t="s">
        <v>1298</v>
      </c>
      <c r="C910" s="1068">
        <f t="shared" si="512"/>
        <v>201991.25</v>
      </c>
      <c r="D910" s="1068">
        <f t="shared" si="513"/>
        <v>187319.65</v>
      </c>
      <c r="E910" s="1056">
        <v>187319.65</v>
      </c>
      <c r="F910" s="1056">
        <v>0</v>
      </c>
      <c r="G910" s="1056">
        <v>0</v>
      </c>
      <c r="H910" s="1056">
        <v>0</v>
      </c>
      <c r="I910" s="1056">
        <v>0</v>
      </c>
      <c r="J910" s="1056">
        <v>0</v>
      </c>
      <c r="K910" s="1063">
        <v>0</v>
      </c>
      <c r="L910" s="1056">
        <v>0</v>
      </c>
      <c r="M910" s="1063">
        <v>0</v>
      </c>
      <c r="N910" s="1056">
        <v>0</v>
      </c>
      <c r="O910" s="1056">
        <v>0</v>
      </c>
      <c r="P910" s="1056">
        <v>0</v>
      </c>
      <c r="Q910" s="1056">
        <v>0</v>
      </c>
      <c r="R910" s="1056">
        <v>0</v>
      </c>
      <c r="S910" s="1056">
        <v>0</v>
      </c>
      <c r="T910" s="1056">
        <v>0</v>
      </c>
      <c r="U910" s="1056">
        <v>0</v>
      </c>
      <c r="V910" s="1056">
        <v>0</v>
      </c>
      <c r="W910" s="1056">
        <v>0</v>
      </c>
      <c r="X910" s="1056">
        <v>0</v>
      </c>
      <c r="Y910" s="1056">
        <v>0</v>
      </c>
      <c r="Z910" s="1056">
        <v>14671.6</v>
      </c>
      <c r="AA910" s="1056">
        <v>0</v>
      </c>
    </row>
    <row r="911" spans="1:27" s="1079" customFormat="1" ht="88.9" customHeight="1">
      <c r="A911" s="1322"/>
      <c r="B911" s="1062" t="s">
        <v>55</v>
      </c>
      <c r="C911" s="1056">
        <f>C912</f>
        <v>16464553.730007263</v>
      </c>
      <c r="D911" s="1056">
        <f t="shared" ref="D911:AA911" si="514">D912</f>
        <v>887572.90000000014</v>
      </c>
      <c r="E911" s="1056">
        <f t="shared" si="514"/>
        <v>0</v>
      </c>
      <c r="F911" s="1056">
        <f t="shared" si="514"/>
        <v>0</v>
      </c>
      <c r="G911" s="1056">
        <f t="shared" si="514"/>
        <v>0</v>
      </c>
      <c r="H911" s="1056">
        <f t="shared" si="514"/>
        <v>0</v>
      </c>
      <c r="I911" s="1056">
        <f t="shared" si="514"/>
        <v>0</v>
      </c>
      <c r="J911" s="1056">
        <f t="shared" si="514"/>
        <v>887572.90000000014</v>
      </c>
      <c r="K911" s="1063">
        <v>0</v>
      </c>
      <c r="L911" s="1056">
        <v>0</v>
      </c>
      <c r="M911" s="1063">
        <f t="shared" si="514"/>
        <v>0</v>
      </c>
      <c r="N911" s="1056">
        <f t="shared" si="514"/>
        <v>0</v>
      </c>
      <c r="O911" s="1056">
        <f t="shared" si="514"/>
        <v>1639.2</v>
      </c>
      <c r="P911" s="1056">
        <f t="shared" si="514"/>
        <v>8755049.6699999999</v>
      </c>
      <c r="Q911" s="1056">
        <f t="shared" si="514"/>
        <v>0</v>
      </c>
      <c r="R911" s="1056">
        <f t="shared" si="514"/>
        <v>0</v>
      </c>
      <c r="S911" s="1056">
        <f t="shared" si="514"/>
        <v>2488.2000000000003</v>
      </c>
      <c r="T911" s="1056">
        <f t="shared" si="514"/>
        <v>5964653</v>
      </c>
      <c r="U911" s="1056">
        <v>0</v>
      </c>
      <c r="V911" s="1056">
        <v>0</v>
      </c>
      <c r="W911" s="1056">
        <f t="shared" si="514"/>
        <v>0</v>
      </c>
      <c r="X911" s="1056">
        <f t="shared" si="514"/>
        <v>0</v>
      </c>
      <c r="Y911" s="1056">
        <v>0</v>
      </c>
      <c r="Z911" s="1056">
        <f t="shared" si="514"/>
        <v>857278.16000726353</v>
      </c>
      <c r="AA911" s="1056">
        <f t="shared" si="514"/>
        <v>0</v>
      </c>
    </row>
    <row r="912" spans="1:27" s="1079" customFormat="1" ht="97.15" customHeight="1">
      <c r="A912" s="1322"/>
      <c r="B912" s="1062" t="s">
        <v>1034</v>
      </c>
      <c r="C912" s="1056">
        <f>SUM(C913:C920)</f>
        <v>16464553.730007263</v>
      </c>
      <c r="D912" s="1056">
        <f t="shared" ref="D912:AA912" si="515">SUM(D913:D920)</f>
        <v>887572.90000000014</v>
      </c>
      <c r="E912" s="1056">
        <f t="shared" si="515"/>
        <v>0</v>
      </c>
      <c r="F912" s="1056">
        <f t="shared" si="515"/>
        <v>0</v>
      </c>
      <c r="G912" s="1056">
        <f t="shared" si="515"/>
        <v>0</v>
      </c>
      <c r="H912" s="1056">
        <f t="shared" si="515"/>
        <v>0</v>
      </c>
      <c r="I912" s="1056">
        <f t="shared" si="515"/>
        <v>0</v>
      </c>
      <c r="J912" s="1056">
        <f t="shared" si="515"/>
        <v>887572.90000000014</v>
      </c>
      <c r="K912" s="1063">
        <f t="shared" si="515"/>
        <v>0</v>
      </c>
      <c r="L912" s="1056">
        <f t="shared" si="515"/>
        <v>0</v>
      </c>
      <c r="M912" s="1063">
        <f t="shared" si="515"/>
        <v>0</v>
      </c>
      <c r="N912" s="1056">
        <f t="shared" si="515"/>
        <v>0</v>
      </c>
      <c r="O912" s="1056">
        <f t="shared" si="515"/>
        <v>1639.2</v>
      </c>
      <c r="P912" s="1056">
        <f t="shared" si="515"/>
        <v>8755049.6699999999</v>
      </c>
      <c r="Q912" s="1056">
        <f t="shared" si="515"/>
        <v>0</v>
      </c>
      <c r="R912" s="1056">
        <f t="shared" si="515"/>
        <v>0</v>
      </c>
      <c r="S912" s="1056">
        <f t="shared" si="515"/>
        <v>2488.2000000000003</v>
      </c>
      <c r="T912" s="1056">
        <f t="shared" si="515"/>
        <v>5964653</v>
      </c>
      <c r="U912" s="1056">
        <v>0</v>
      </c>
      <c r="V912" s="1056">
        <v>0</v>
      </c>
      <c r="W912" s="1056">
        <f t="shared" si="515"/>
        <v>0</v>
      </c>
      <c r="X912" s="1056">
        <f t="shared" si="515"/>
        <v>0</v>
      </c>
      <c r="Y912" s="1056">
        <v>0</v>
      </c>
      <c r="Z912" s="1056">
        <f t="shared" si="515"/>
        <v>857278.16000726353</v>
      </c>
      <c r="AA912" s="1056">
        <f t="shared" si="515"/>
        <v>0</v>
      </c>
    </row>
    <row r="913" spans="1:27" s="1079" customFormat="1" ht="99" customHeight="1">
      <c r="A913" s="1322">
        <v>394</v>
      </c>
      <c r="B913" s="1245" t="s">
        <v>1546</v>
      </c>
      <c r="C913" s="1068">
        <f t="shared" ref="C913" si="516">D913+N913+P913+R913+T913+X913+Z913</f>
        <v>1620385.19</v>
      </c>
      <c r="D913" s="1068">
        <f t="shared" ref="D913" si="517">SUM(E913:J913)</f>
        <v>0</v>
      </c>
      <c r="E913" s="1056">
        <v>0</v>
      </c>
      <c r="F913" s="1056">
        <v>0</v>
      </c>
      <c r="G913" s="1056">
        <v>0</v>
      </c>
      <c r="H913" s="1056">
        <v>0</v>
      </c>
      <c r="I913" s="1056">
        <v>0</v>
      </c>
      <c r="J913" s="1056">
        <v>0</v>
      </c>
      <c r="K913" s="1063">
        <v>0</v>
      </c>
      <c r="L913" s="1056">
        <v>0</v>
      </c>
      <c r="M913" s="1063">
        <v>0</v>
      </c>
      <c r="N913" s="1056">
        <v>0</v>
      </c>
      <c r="O913" s="1056">
        <v>0</v>
      </c>
      <c r="P913" s="1056">
        <v>0</v>
      </c>
      <c r="Q913" s="1070">
        <v>0</v>
      </c>
      <c r="R913" s="1056">
        <v>0</v>
      </c>
      <c r="S913" s="1056">
        <v>617</v>
      </c>
      <c r="T913" s="1056">
        <v>1522572</v>
      </c>
      <c r="U913" s="1056">
        <v>0</v>
      </c>
      <c r="V913" s="1056">
        <v>0</v>
      </c>
      <c r="W913" s="1070">
        <v>0</v>
      </c>
      <c r="X913" s="1056">
        <v>0</v>
      </c>
      <c r="Y913" s="1056">
        <v>0</v>
      </c>
      <c r="Z913" s="1056">
        <v>97813.19</v>
      </c>
      <c r="AA913" s="1056">
        <v>0</v>
      </c>
    </row>
    <row r="914" spans="1:27" s="1079" customFormat="1" ht="95.25" customHeight="1">
      <c r="A914" s="1322">
        <v>395</v>
      </c>
      <c r="B914" s="1245" t="s">
        <v>1547</v>
      </c>
      <c r="C914" s="1068">
        <f t="shared" ref="C914:C920" si="518">D914+N914+P914+R914+T914+X914+Z914</f>
        <v>2170679.0240548393</v>
      </c>
      <c r="D914" s="1068">
        <f t="shared" ref="D914:D920" si="519">SUM(E914:J914)</f>
        <v>0</v>
      </c>
      <c r="E914" s="1056">
        <v>0</v>
      </c>
      <c r="F914" s="1056">
        <v>0</v>
      </c>
      <c r="G914" s="1056">
        <v>0</v>
      </c>
      <c r="H914" s="1056">
        <v>0</v>
      </c>
      <c r="I914" s="1056">
        <v>0</v>
      </c>
      <c r="J914" s="1056">
        <v>0</v>
      </c>
      <c r="K914" s="1063">
        <v>0</v>
      </c>
      <c r="L914" s="1056">
        <v>0</v>
      </c>
      <c r="M914" s="1063">
        <v>0</v>
      </c>
      <c r="N914" s="1056">
        <v>0</v>
      </c>
      <c r="O914" s="1056">
        <v>302</v>
      </c>
      <c r="P914" s="1056">
        <v>1225690.21</v>
      </c>
      <c r="Q914" s="1070">
        <v>0</v>
      </c>
      <c r="R914" s="1056">
        <v>0</v>
      </c>
      <c r="S914" s="1056">
        <v>345</v>
      </c>
      <c r="T914" s="1056">
        <v>851357</v>
      </c>
      <c r="U914" s="1056">
        <v>0</v>
      </c>
      <c r="V914" s="1056">
        <v>0</v>
      </c>
      <c r="W914" s="1070">
        <v>0</v>
      </c>
      <c r="X914" s="1056">
        <v>0</v>
      </c>
      <c r="Y914" s="1056">
        <v>0</v>
      </c>
      <c r="Z914" s="1056">
        <v>93631.814054839298</v>
      </c>
      <c r="AA914" s="1056">
        <v>0</v>
      </c>
    </row>
    <row r="915" spans="1:27" s="1079" customFormat="1" ht="89.25" customHeight="1">
      <c r="A915" s="1322">
        <v>396</v>
      </c>
      <c r="B915" s="1062" t="s">
        <v>1548</v>
      </c>
      <c r="C915" s="1068">
        <f>D915+N915+P915+R915+T915+X915+Z915</f>
        <v>3430328.6564281825</v>
      </c>
      <c r="D915" s="1068">
        <f t="shared" si="519"/>
        <v>332661.81</v>
      </c>
      <c r="E915" s="1056">
        <v>0</v>
      </c>
      <c r="F915" s="1056">
        <v>0</v>
      </c>
      <c r="G915" s="1056">
        <v>0</v>
      </c>
      <c r="H915" s="1056">
        <v>0</v>
      </c>
      <c r="I915" s="1056">
        <v>0</v>
      </c>
      <c r="J915" s="1056">
        <v>332661.81</v>
      </c>
      <c r="K915" s="1063">
        <v>0</v>
      </c>
      <c r="L915" s="1056">
        <v>0</v>
      </c>
      <c r="M915" s="1063">
        <v>0</v>
      </c>
      <c r="N915" s="1056">
        <v>0</v>
      </c>
      <c r="O915" s="1056">
        <v>440.2</v>
      </c>
      <c r="P915" s="1056">
        <v>2985029.04</v>
      </c>
      <c r="Q915" s="1056">
        <v>0</v>
      </c>
      <c r="R915" s="1056">
        <v>0</v>
      </c>
      <c r="S915" s="1056">
        <v>0</v>
      </c>
      <c r="T915" s="1056">
        <v>0</v>
      </c>
      <c r="U915" s="1056">
        <v>0</v>
      </c>
      <c r="V915" s="1056">
        <v>0</v>
      </c>
      <c r="W915" s="1056">
        <v>0</v>
      </c>
      <c r="X915" s="1056">
        <v>0</v>
      </c>
      <c r="Y915" s="1056">
        <v>0</v>
      </c>
      <c r="Z915" s="1056">
        <v>112637.80642818232</v>
      </c>
      <c r="AA915" s="1056">
        <v>0</v>
      </c>
    </row>
    <row r="916" spans="1:27" s="1079" customFormat="1" ht="136.15" customHeight="1">
      <c r="A916" s="1322">
        <v>397</v>
      </c>
      <c r="B916" s="1062" t="s">
        <v>1549</v>
      </c>
      <c r="C916" s="1068">
        <f t="shared" si="518"/>
        <v>2881461.0795242419</v>
      </c>
      <c r="D916" s="1068">
        <f t="shared" si="519"/>
        <v>206447</v>
      </c>
      <c r="E916" s="1056">
        <v>0</v>
      </c>
      <c r="F916" s="1056">
        <v>0</v>
      </c>
      <c r="G916" s="1056">
        <v>0</v>
      </c>
      <c r="H916" s="1056">
        <v>0</v>
      </c>
      <c r="I916" s="1056">
        <v>0</v>
      </c>
      <c r="J916" s="1056">
        <v>206447</v>
      </c>
      <c r="K916" s="1063">
        <v>0</v>
      </c>
      <c r="L916" s="1056">
        <v>0</v>
      </c>
      <c r="M916" s="1063">
        <v>0</v>
      </c>
      <c r="N916" s="1056">
        <v>0</v>
      </c>
      <c r="O916" s="1056">
        <v>347</v>
      </c>
      <c r="P916" s="1056">
        <v>2583589.42</v>
      </c>
      <c r="Q916" s="1056">
        <v>0</v>
      </c>
      <c r="R916" s="1056">
        <v>0</v>
      </c>
      <c r="S916" s="1056">
        <v>0</v>
      </c>
      <c r="T916" s="1056">
        <v>0</v>
      </c>
      <c r="U916" s="1056">
        <v>0</v>
      </c>
      <c r="V916" s="1056">
        <v>0</v>
      </c>
      <c r="W916" s="1056">
        <v>0</v>
      </c>
      <c r="X916" s="1056">
        <v>0</v>
      </c>
      <c r="Y916" s="1056">
        <v>0</v>
      </c>
      <c r="Z916" s="1056">
        <v>91424.65952424187</v>
      </c>
      <c r="AA916" s="1056">
        <v>0</v>
      </c>
    </row>
    <row r="917" spans="1:27" s="1079" customFormat="1" ht="97.15" customHeight="1">
      <c r="A917" s="1322">
        <v>398</v>
      </c>
      <c r="B917" s="1062" t="s">
        <v>1550</v>
      </c>
      <c r="C917" s="1068">
        <f t="shared" ref="C917:C919" si="520">D917+N917+P917+R917+T917+X917+Z917</f>
        <v>375421.78</v>
      </c>
      <c r="D917" s="1068">
        <f t="shared" ref="D917:D919" si="521">SUM(E917:J917)</f>
        <v>348464.09</v>
      </c>
      <c r="E917" s="1056">
        <v>0</v>
      </c>
      <c r="F917" s="1056">
        <v>0</v>
      </c>
      <c r="G917" s="1056">
        <v>0</v>
      </c>
      <c r="H917" s="1056">
        <v>0</v>
      </c>
      <c r="I917" s="1056">
        <v>0</v>
      </c>
      <c r="J917" s="1056">
        <v>348464.09</v>
      </c>
      <c r="K917" s="1063">
        <v>0</v>
      </c>
      <c r="L917" s="1056">
        <v>0</v>
      </c>
      <c r="M917" s="1063">
        <v>0</v>
      </c>
      <c r="N917" s="1056">
        <v>0</v>
      </c>
      <c r="O917" s="1056">
        <v>0</v>
      </c>
      <c r="P917" s="1056">
        <v>0</v>
      </c>
      <c r="Q917" s="1056">
        <v>0</v>
      </c>
      <c r="R917" s="1056">
        <v>0</v>
      </c>
      <c r="S917" s="1056">
        <v>0</v>
      </c>
      <c r="T917" s="1056">
        <v>0</v>
      </c>
      <c r="U917" s="1056">
        <v>0</v>
      </c>
      <c r="V917" s="1056">
        <v>0</v>
      </c>
      <c r="W917" s="1056">
        <v>0</v>
      </c>
      <c r="X917" s="1056">
        <v>0</v>
      </c>
      <c r="Y917" s="1056">
        <v>0</v>
      </c>
      <c r="Z917" s="1056">
        <v>26957.69</v>
      </c>
      <c r="AA917" s="1056">
        <v>0</v>
      </c>
    </row>
    <row r="918" spans="1:27" s="1079" customFormat="1" ht="88.9" customHeight="1">
      <c r="A918" s="1322">
        <v>399</v>
      </c>
      <c r="B918" s="1062" t="s">
        <v>1551</v>
      </c>
      <c r="C918" s="1068">
        <f t="shared" si="520"/>
        <v>2114314</v>
      </c>
      <c r="D918" s="1068">
        <f t="shared" si="521"/>
        <v>0</v>
      </c>
      <c r="E918" s="1056">
        <v>0</v>
      </c>
      <c r="F918" s="1056">
        <v>0</v>
      </c>
      <c r="G918" s="1056">
        <v>0</v>
      </c>
      <c r="H918" s="1056">
        <v>0</v>
      </c>
      <c r="I918" s="1056">
        <v>0</v>
      </c>
      <c r="J918" s="1056">
        <v>0</v>
      </c>
      <c r="K918" s="1063">
        <v>0</v>
      </c>
      <c r="L918" s="1056">
        <v>0</v>
      </c>
      <c r="M918" s="1063">
        <v>0</v>
      </c>
      <c r="N918" s="1056">
        <v>0</v>
      </c>
      <c r="O918" s="1056">
        <v>550</v>
      </c>
      <c r="P918" s="1056">
        <v>1960741</v>
      </c>
      <c r="Q918" s="1056">
        <v>0</v>
      </c>
      <c r="R918" s="1056">
        <v>0</v>
      </c>
      <c r="S918" s="1056">
        <v>0</v>
      </c>
      <c r="T918" s="1056">
        <v>0</v>
      </c>
      <c r="U918" s="1056">
        <v>0</v>
      </c>
      <c r="V918" s="1056">
        <v>0</v>
      </c>
      <c r="W918" s="1056">
        <v>0</v>
      </c>
      <c r="X918" s="1056">
        <v>0</v>
      </c>
      <c r="Y918" s="1056">
        <v>0</v>
      </c>
      <c r="Z918" s="1056">
        <v>153573</v>
      </c>
      <c r="AA918" s="1056">
        <v>0</v>
      </c>
    </row>
    <row r="919" spans="1:27" s="1079" customFormat="1" ht="94.9" customHeight="1">
      <c r="A919" s="1322">
        <v>400</v>
      </c>
      <c r="B919" s="1062" t="s">
        <v>1552</v>
      </c>
      <c r="C919" s="1068">
        <f t="shared" si="520"/>
        <v>2954489</v>
      </c>
      <c r="D919" s="1068">
        <f t="shared" si="521"/>
        <v>0</v>
      </c>
      <c r="E919" s="1056">
        <v>0</v>
      </c>
      <c r="F919" s="1056">
        <v>0</v>
      </c>
      <c r="G919" s="1056">
        <v>0</v>
      </c>
      <c r="H919" s="1056">
        <v>0</v>
      </c>
      <c r="I919" s="1056">
        <v>0</v>
      </c>
      <c r="J919" s="1056">
        <v>0</v>
      </c>
      <c r="K919" s="1063">
        <v>0</v>
      </c>
      <c r="L919" s="1056">
        <v>0</v>
      </c>
      <c r="M919" s="1063">
        <v>0</v>
      </c>
      <c r="N919" s="1056">
        <v>0</v>
      </c>
      <c r="O919" s="1056">
        <v>0</v>
      </c>
      <c r="P919" s="1056">
        <v>0</v>
      </c>
      <c r="Q919" s="1056">
        <v>0</v>
      </c>
      <c r="R919" s="1056">
        <v>0</v>
      </c>
      <c r="S919" s="1056">
        <v>1110.3</v>
      </c>
      <c r="T919" s="1056">
        <v>2739890</v>
      </c>
      <c r="U919" s="1056">
        <v>0</v>
      </c>
      <c r="V919" s="1056">
        <v>0</v>
      </c>
      <c r="W919" s="1056">
        <v>0</v>
      </c>
      <c r="X919" s="1056">
        <v>0</v>
      </c>
      <c r="Y919" s="1056">
        <v>0</v>
      </c>
      <c r="Z919" s="1056">
        <v>214599</v>
      </c>
      <c r="AA919" s="1056">
        <v>0</v>
      </c>
    </row>
    <row r="920" spans="1:27" s="1079" customFormat="1" ht="138.6" customHeight="1">
      <c r="A920" s="1322">
        <v>401</v>
      </c>
      <c r="B920" s="1245" t="s">
        <v>1553</v>
      </c>
      <c r="C920" s="1068">
        <f t="shared" si="518"/>
        <v>917475</v>
      </c>
      <c r="D920" s="1068">
        <f t="shared" si="519"/>
        <v>0</v>
      </c>
      <c r="E920" s="1056">
        <v>0</v>
      </c>
      <c r="F920" s="1056">
        <v>0</v>
      </c>
      <c r="G920" s="1056">
        <v>0</v>
      </c>
      <c r="H920" s="1056">
        <v>0</v>
      </c>
      <c r="I920" s="1056">
        <v>0</v>
      </c>
      <c r="J920" s="1056">
        <v>0</v>
      </c>
      <c r="K920" s="1063">
        <v>0</v>
      </c>
      <c r="L920" s="1056">
        <v>0</v>
      </c>
      <c r="M920" s="1063">
        <v>0</v>
      </c>
      <c r="N920" s="1056">
        <v>0</v>
      </c>
      <c r="O920" s="1056">
        <v>0</v>
      </c>
      <c r="P920" s="1056">
        <v>0</v>
      </c>
      <c r="Q920" s="1056">
        <v>0</v>
      </c>
      <c r="R920" s="1056">
        <v>0</v>
      </c>
      <c r="S920" s="1056">
        <v>415.9</v>
      </c>
      <c r="T920" s="1056">
        <v>850834</v>
      </c>
      <c r="U920" s="1056">
        <v>0</v>
      </c>
      <c r="V920" s="1056">
        <v>0</v>
      </c>
      <c r="W920" s="1056">
        <v>0</v>
      </c>
      <c r="X920" s="1056">
        <v>0</v>
      </c>
      <c r="Y920" s="1056">
        <v>0</v>
      </c>
      <c r="Z920" s="1056">
        <v>66641</v>
      </c>
      <c r="AA920" s="1056">
        <v>0</v>
      </c>
    </row>
    <row r="921" spans="1:27" s="1079" customFormat="1" ht="138.6" customHeight="1">
      <c r="A921" s="1322"/>
      <c r="B921" s="1062" t="s">
        <v>1121</v>
      </c>
      <c r="C921" s="1056">
        <f t="shared" ref="C921:T921" si="522">SUM(C922:C945)</f>
        <v>60215452.650000006</v>
      </c>
      <c r="D921" s="1056">
        <f t="shared" si="522"/>
        <v>33985335.210000001</v>
      </c>
      <c r="E921" s="1056">
        <f t="shared" si="522"/>
        <v>6268330.6600000001</v>
      </c>
      <c r="F921" s="1056">
        <f t="shared" si="522"/>
        <v>6880287.6799999997</v>
      </c>
      <c r="G921" s="1056">
        <f t="shared" si="522"/>
        <v>1907266.54</v>
      </c>
      <c r="H921" s="1056">
        <f t="shared" si="522"/>
        <v>4883053.55</v>
      </c>
      <c r="I921" s="1056">
        <f t="shared" si="522"/>
        <v>4699515.6400000006</v>
      </c>
      <c r="J921" s="1056">
        <f t="shared" si="522"/>
        <v>9346881.1399999987</v>
      </c>
      <c r="K921" s="1056">
        <f t="shared" si="522"/>
        <v>2</v>
      </c>
      <c r="L921" s="1056">
        <f t="shared" si="522"/>
        <v>657563.02</v>
      </c>
      <c r="M921" s="1056">
        <f t="shared" si="522"/>
        <v>0</v>
      </c>
      <c r="N921" s="1056">
        <f t="shared" si="522"/>
        <v>0</v>
      </c>
      <c r="O921" s="1056">
        <f t="shared" si="522"/>
        <v>4349.28</v>
      </c>
      <c r="P921" s="1056">
        <f t="shared" si="522"/>
        <v>17329817.399999999</v>
      </c>
      <c r="Q921" s="1056">
        <f t="shared" si="522"/>
        <v>0</v>
      </c>
      <c r="R921" s="1056">
        <f t="shared" si="522"/>
        <v>0</v>
      </c>
      <c r="S921" s="1056">
        <f t="shared" si="522"/>
        <v>983</v>
      </c>
      <c r="T921" s="1056">
        <f t="shared" si="522"/>
        <v>4363337.05</v>
      </c>
      <c r="U921" s="1056">
        <v>0</v>
      </c>
      <c r="V921" s="1056">
        <v>0</v>
      </c>
      <c r="W921" s="1056">
        <f>SUM(W922:W945)</f>
        <v>0</v>
      </c>
      <c r="X921" s="1056">
        <f>SUM(X922:X945)</f>
        <v>0</v>
      </c>
      <c r="Y921" s="1056">
        <f>SUM(Y922:Y945)</f>
        <v>0</v>
      </c>
      <c r="Z921" s="1056">
        <f>SUM(Z922:Z945)</f>
        <v>3784871.97</v>
      </c>
      <c r="AA921" s="1056">
        <f>SUM(AA922:AA945)</f>
        <v>94528</v>
      </c>
    </row>
    <row r="922" spans="1:27" s="1079" customFormat="1" ht="138.6" customHeight="1">
      <c r="A922" s="1322">
        <v>402</v>
      </c>
      <c r="B922" s="1062" t="s">
        <v>1286</v>
      </c>
      <c r="C922" s="1056">
        <f>D922+P922+T922+Z922+AA922</f>
        <v>2905442.4899999998</v>
      </c>
      <c r="D922" s="1056">
        <f>E922+F922+G922+H922+I922+J922</f>
        <v>0</v>
      </c>
      <c r="E922" s="1056">
        <v>0</v>
      </c>
      <c r="F922" s="1056">
        <v>0</v>
      </c>
      <c r="G922" s="1056">
        <v>0</v>
      </c>
      <c r="H922" s="1056">
        <v>0</v>
      </c>
      <c r="I922" s="1056">
        <v>0</v>
      </c>
      <c r="J922" s="1056">
        <v>0</v>
      </c>
      <c r="K922" s="1063">
        <v>0</v>
      </c>
      <c r="L922" s="1056">
        <v>0</v>
      </c>
      <c r="M922" s="1063">
        <v>0</v>
      </c>
      <c r="N922" s="1056">
        <v>0</v>
      </c>
      <c r="O922" s="1322">
        <v>442.9</v>
      </c>
      <c r="P922" s="1303">
        <v>2841386.59</v>
      </c>
      <c r="Q922" s="1056">
        <v>0</v>
      </c>
      <c r="R922" s="1056">
        <v>0</v>
      </c>
      <c r="S922" s="1056">
        <v>0</v>
      </c>
      <c r="T922" s="1056">
        <v>0</v>
      </c>
      <c r="U922" s="1056">
        <v>0</v>
      </c>
      <c r="V922" s="1056">
        <v>0</v>
      </c>
      <c r="W922" s="1056">
        <v>0</v>
      </c>
      <c r="X922" s="1056">
        <v>0</v>
      </c>
      <c r="Y922" s="1056">
        <v>0</v>
      </c>
      <c r="Z922" s="1303">
        <v>64055.9</v>
      </c>
      <c r="AA922" s="1056">
        <v>0</v>
      </c>
    </row>
    <row r="923" spans="1:27" s="1079" customFormat="1" ht="138.6" customHeight="1">
      <c r="A923" s="1322">
        <v>403</v>
      </c>
      <c r="B923" s="1062" t="s">
        <v>1172</v>
      </c>
      <c r="C923" s="1056">
        <f>D923+P923+T923+Z923+AA923</f>
        <v>2742740.33</v>
      </c>
      <c r="D923" s="1056">
        <f>E923+F923+G923+H923+I923+J923</f>
        <v>2573074.11</v>
      </c>
      <c r="E923" s="1056">
        <v>0</v>
      </c>
      <c r="F923" s="1056">
        <v>0</v>
      </c>
      <c r="G923" s="1056">
        <v>0</v>
      </c>
      <c r="H923" s="1056">
        <v>0</v>
      </c>
      <c r="I923" s="1056">
        <v>1576584.01</v>
      </c>
      <c r="J923" s="1056">
        <v>996490.1</v>
      </c>
      <c r="K923" s="1063">
        <v>0</v>
      </c>
      <c r="L923" s="1056">
        <v>0</v>
      </c>
      <c r="M923" s="1063">
        <v>0</v>
      </c>
      <c r="N923" s="1056">
        <v>0</v>
      </c>
      <c r="O923" s="1056">
        <v>0</v>
      </c>
      <c r="P923" s="1056">
        <v>0</v>
      </c>
      <c r="Q923" s="1056">
        <v>0</v>
      </c>
      <c r="R923" s="1056">
        <v>0</v>
      </c>
      <c r="S923" s="1056">
        <v>0</v>
      </c>
      <c r="T923" s="1056">
        <v>0</v>
      </c>
      <c r="U923" s="1056">
        <v>0</v>
      </c>
      <c r="V923" s="1056">
        <v>0</v>
      </c>
      <c r="W923" s="1056">
        <v>0</v>
      </c>
      <c r="X923" s="1056">
        <v>0</v>
      </c>
      <c r="Y923" s="1056">
        <v>0</v>
      </c>
      <c r="Z923" s="1056">
        <v>169666.22</v>
      </c>
      <c r="AA923" s="1056">
        <v>0</v>
      </c>
    </row>
    <row r="924" spans="1:27" s="1079" customFormat="1" ht="138.6" customHeight="1">
      <c r="A924" s="1322">
        <v>404</v>
      </c>
      <c r="B924" s="1062" t="s">
        <v>1198</v>
      </c>
      <c r="C924" s="1056">
        <f>D924+P924+T924+Z924+AA924</f>
        <v>313233.64999999997</v>
      </c>
      <c r="D924" s="1056">
        <f t="shared" ref="D924:D925" si="523">E924+F924+G924+H924+I924+J924</f>
        <v>293887.73</v>
      </c>
      <c r="E924" s="1056">
        <v>0</v>
      </c>
      <c r="F924" s="1056">
        <v>0</v>
      </c>
      <c r="G924" s="1056">
        <v>0</v>
      </c>
      <c r="H924" s="1056">
        <v>0</v>
      </c>
      <c r="I924" s="1056">
        <v>0</v>
      </c>
      <c r="J924" s="1056">
        <v>293887.73</v>
      </c>
      <c r="K924" s="1063">
        <v>0</v>
      </c>
      <c r="L924" s="1056">
        <v>0</v>
      </c>
      <c r="M924" s="1063">
        <v>0</v>
      </c>
      <c r="N924" s="1056">
        <v>0</v>
      </c>
      <c r="O924" s="1056">
        <v>0</v>
      </c>
      <c r="P924" s="1056">
        <v>0</v>
      </c>
      <c r="Q924" s="1056">
        <v>0</v>
      </c>
      <c r="R924" s="1056">
        <v>0</v>
      </c>
      <c r="S924" s="1056">
        <v>0</v>
      </c>
      <c r="T924" s="1056">
        <v>0</v>
      </c>
      <c r="U924" s="1056">
        <v>0</v>
      </c>
      <c r="V924" s="1056">
        <v>0</v>
      </c>
      <c r="W924" s="1056">
        <v>0</v>
      </c>
      <c r="X924" s="1056">
        <v>0</v>
      </c>
      <c r="Y924" s="1056">
        <v>0</v>
      </c>
      <c r="Z924" s="1056">
        <v>19345.919999999998</v>
      </c>
      <c r="AA924" s="1056">
        <v>0</v>
      </c>
    </row>
    <row r="925" spans="1:27" s="1079" customFormat="1" ht="138.6" customHeight="1">
      <c r="A925" s="1322">
        <v>405</v>
      </c>
      <c r="B925" s="1062" t="s">
        <v>1173</v>
      </c>
      <c r="C925" s="1056">
        <f t="shared" ref="C925" si="524">D925+P925+T925+Z925+AA925</f>
        <v>1887048</v>
      </c>
      <c r="D925" s="1056">
        <f t="shared" si="523"/>
        <v>455152.67</v>
      </c>
      <c r="E925" s="1056">
        <v>249096.77</v>
      </c>
      <c r="F925" s="1056">
        <v>0</v>
      </c>
      <c r="G925" s="1056">
        <v>206055.9</v>
      </c>
      <c r="H925" s="1056">
        <v>0</v>
      </c>
      <c r="I925" s="1056">
        <v>0</v>
      </c>
      <c r="J925" s="1056">
        <v>0</v>
      </c>
      <c r="K925" s="1063">
        <v>0</v>
      </c>
      <c r="L925" s="1056">
        <v>0</v>
      </c>
      <c r="M925" s="1063">
        <v>0</v>
      </c>
      <c r="N925" s="1056">
        <v>0</v>
      </c>
      <c r="O925" s="1056">
        <v>384.6</v>
      </c>
      <c r="P925" s="1056">
        <v>1207168</v>
      </c>
      <c r="Q925" s="1056">
        <v>0</v>
      </c>
      <c r="R925" s="1056">
        <v>0</v>
      </c>
      <c r="S925" s="1056">
        <v>0</v>
      </c>
      <c r="T925" s="1056">
        <v>0</v>
      </c>
      <c r="U925" s="1056">
        <v>0</v>
      </c>
      <c r="V925" s="1056">
        <v>0</v>
      </c>
      <c r="W925" s="1056">
        <v>0</v>
      </c>
      <c r="X925" s="1056">
        <v>0</v>
      </c>
      <c r="Y925" s="1056">
        <v>0</v>
      </c>
      <c r="Z925" s="1056">
        <v>130199.33</v>
      </c>
      <c r="AA925" s="1056">
        <v>94528</v>
      </c>
    </row>
    <row r="926" spans="1:27" s="1079" customFormat="1" ht="138.6" customHeight="1">
      <c r="A926" s="1322">
        <v>406</v>
      </c>
      <c r="B926" s="1062" t="s">
        <v>1174</v>
      </c>
      <c r="C926" s="1056">
        <f>D926+P926+T926+Z926</f>
        <v>712812.07000000007</v>
      </c>
      <c r="D926" s="1056">
        <f>E926+F926+G926+H926+I926+J926</f>
        <v>676439.3</v>
      </c>
      <c r="E926" s="1056">
        <v>0</v>
      </c>
      <c r="F926" s="1056">
        <v>0</v>
      </c>
      <c r="G926" s="1056">
        <v>203165.65</v>
      </c>
      <c r="H926" s="1056">
        <v>289986.08</v>
      </c>
      <c r="I926" s="1056">
        <v>0</v>
      </c>
      <c r="J926" s="1056">
        <v>183287.57</v>
      </c>
      <c r="K926" s="1063">
        <v>0</v>
      </c>
      <c r="L926" s="1056">
        <v>0</v>
      </c>
      <c r="M926" s="1063">
        <v>0</v>
      </c>
      <c r="N926" s="1056">
        <v>0</v>
      </c>
      <c r="O926" s="1056">
        <v>0</v>
      </c>
      <c r="P926" s="1056">
        <v>0</v>
      </c>
      <c r="Q926" s="1056">
        <v>0</v>
      </c>
      <c r="R926" s="1056">
        <v>0</v>
      </c>
      <c r="S926" s="1056">
        <v>0</v>
      </c>
      <c r="T926" s="1056">
        <v>0</v>
      </c>
      <c r="U926" s="1056">
        <v>0</v>
      </c>
      <c r="V926" s="1056">
        <v>0</v>
      </c>
      <c r="W926" s="1056">
        <v>0</v>
      </c>
      <c r="X926" s="1056">
        <v>0</v>
      </c>
      <c r="Y926" s="1056">
        <v>0</v>
      </c>
      <c r="Z926" s="1056">
        <v>36372.769999999997</v>
      </c>
      <c r="AA926" s="1056">
        <v>0</v>
      </c>
    </row>
    <row r="927" spans="1:27" s="1079" customFormat="1" ht="138.6" customHeight="1">
      <c r="A927" s="1322">
        <v>407</v>
      </c>
      <c r="B927" s="1062" t="s">
        <v>1197</v>
      </c>
      <c r="C927" s="1056">
        <f t="shared" ref="C927:C940" si="525">D927+P927+T927+Z927</f>
        <v>898439.81</v>
      </c>
      <c r="D927" s="1056">
        <f t="shared" ref="D927:D940" si="526">E927+F927+G927+H927+I927+J927</f>
        <v>842358.38</v>
      </c>
      <c r="E927" s="1056">
        <v>0</v>
      </c>
      <c r="F927" s="1056">
        <v>0</v>
      </c>
      <c r="G927" s="1056">
        <v>252998.74</v>
      </c>
      <c r="H927" s="1056">
        <v>361114.74</v>
      </c>
      <c r="I927" s="1056">
        <v>0</v>
      </c>
      <c r="J927" s="1056">
        <v>228244.9</v>
      </c>
      <c r="K927" s="1063">
        <v>0</v>
      </c>
      <c r="L927" s="1056">
        <v>0</v>
      </c>
      <c r="M927" s="1063">
        <v>0</v>
      </c>
      <c r="N927" s="1056">
        <v>0</v>
      </c>
      <c r="O927" s="1056">
        <v>0</v>
      </c>
      <c r="P927" s="1056">
        <v>0</v>
      </c>
      <c r="Q927" s="1056">
        <v>0</v>
      </c>
      <c r="R927" s="1056">
        <v>0</v>
      </c>
      <c r="S927" s="1056">
        <v>0</v>
      </c>
      <c r="T927" s="1056">
        <v>0</v>
      </c>
      <c r="U927" s="1056">
        <v>0</v>
      </c>
      <c r="V927" s="1056">
        <v>0</v>
      </c>
      <c r="W927" s="1056">
        <v>0</v>
      </c>
      <c r="X927" s="1056">
        <v>0</v>
      </c>
      <c r="Y927" s="1056">
        <v>0</v>
      </c>
      <c r="Z927" s="1056">
        <v>56081.43</v>
      </c>
      <c r="AA927" s="1056">
        <v>0</v>
      </c>
    </row>
    <row r="928" spans="1:27" s="1079" customFormat="1" ht="138.6" customHeight="1">
      <c r="A928" s="1322">
        <v>408</v>
      </c>
      <c r="B928" s="1062" t="s">
        <v>1175</v>
      </c>
      <c r="C928" s="1056">
        <f t="shared" si="525"/>
        <v>2201411.69</v>
      </c>
      <c r="D928" s="1056">
        <f t="shared" si="526"/>
        <v>2041512.53</v>
      </c>
      <c r="E928" s="1056">
        <v>0</v>
      </c>
      <c r="F928" s="1056">
        <v>0</v>
      </c>
      <c r="G928" s="1056">
        <v>0</v>
      </c>
      <c r="H928" s="1056">
        <v>0</v>
      </c>
      <c r="I928" s="1056">
        <v>2041512.53</v>
      </c>
      <c r="J928" s="1056">
        <v>0</v>
      </c>
      <c r="K928" s="1063">
        <v>0</v>
      </c>
      <c r="L928" s="1056">
        <v>0</v>
      </c>
      <c r="M928" s="1063">
        <v>0</v>
      </c>
      <c r="N928" s="1056">
        <v>0</v>
      </c>
      <c r="O928" s="1056">
        <v>0</v>
      </c>
      <c r="P928" s="1056">
        <v>0</v>
      </c>
      <c r="Q928" s="1056">
        <v>0</v>
      </c>
      <c r="R928" s="1056">
        <v>0</v>
      </c>
      <c r="S928" s="1056">
        <v>0</v>
      </c>
      <c r="T928" s="1056">
        <v>0</v>
      </c>
      <c r="U928" s="1056">
        <v>0</v>
      </c>
      <c r="V928" s="1056">
        <v>0</v>
      </c>
      <c r="W928" s="1056">
        <v>0</v>
      </c>
      <c r="X928" s="1056">
        <v>0</v>
      </c>
      <c r="Y928" s="1056">
        <v>0</v>
      </c>
      <c r="Z928" s="1056">
        <v>159899.16</v>
      </c>
      <c r="AA928" s="1056">
        <v>0</v>
      </c>
    </row>
    <row r="929" spans="1:27" s="1079" customFormat="1" ht="138.6" customHeight="1">
      <c r="A929" s="1322">
        <v>409</v>
      </c>
      <c r="B929" s="1062" t="s">
        <v>1498</v>
      </c>
      <c r="C929" s="1056">
        <f t="shared" si="525"/>
        <v>205467.03999999998</v>
      </c>
      <c r="D929" s="1056">
        <f t="shared" si="526"/>
        <v>191548.96</v>
      </c>
      <c r="E929" s="1056">
        <v>0</v>
      </c>
      <c r="F929" s="1056">
        <v>0</v>
      </c>
      <c r="G929" s="1056">
        <v>0</v>
      </c>
      <c r="H929" s="1056">
        <v>0</v>
      </c>
      <c r="I929" s="1056">
        <v>0</v>
      </c>
      <c r="J929" s="1056">
        <v>191548.96</v>
      </c>
      <c r="K929" s="1063">
        <v>0</v>
      </c>
      <c r="L929" s="1056">
        <v>0</v>
      </c>
      <c r="M929" s="1063">
        <v>0</v>
      </c>
      <c r="N929" s="1056">
        <v>0</v>
      </c>
      <c r="O929" s="1056">
        <v>0</v>
      </c>
      <c r="P929" s="1056">
        <v>0</v>
      </c>
      <c r="Q929" s="1056">
        <v>0</v>
      </c>
      <c r="R929" s="1056">
        <v>0</v>
      </c>
      <c r="S929" s="1056">
        <v>0</v>
      </c>
      <c r="T929" s="1056">
        <v>0</v>
      </c>
      <c r="U929" s="1056">
        <v>0</v>
      </c>
      <c r="V929" s="1056">
        <v>0</v>
      </c>
      <c r="W929" s="1056">
        <v>0</v>
      </c>
      <c r="X929" s="1056">
        <v>0</v>
      </c>
      <c r="Y929" s="1056">
        <v>0</v>
      </c>
      <c r="Z929" s="1056">
        <v>13918.08</v>
      </c>
      <c r="AA929" s="1056">
        <v>0</v>
      </c>
    </row>
    <row r="930" spans="1:27" s="1079" customFormat="1" ht="138.6" customHeight="1">
      <c r="A930" s="1322">
        <v>410</v>
      </c>
      <c r="B930" s="1062" t="s">
        <v>1137</v>
      </c>
      <c r="C930" s="1056">
        <f t="shared" si="525"/>
        <v>1834915.9</v>
      </c>
      <c r="D930" s="1056">
        <f t="shared" si="526"/>
        <v>1721379</v>
      </c>
      <c r="E930" s="1056">
        <v>0</v>
      </c>
      <c r="F930" s="1056">
        <v>0</v>
      </c>
      <c r="G930" s="1056">
        <v>0</v>
      </c>
      <c r="H930" s="1056">
        <v>0</v>
      </c>
      <c r="I930" s="1056">
        <v>0</v>
      </c>
      <c r="J930" s="1056">
        <v>1721379</v>
      </c>
      <c r="K930" s="1063">
        <v>0</v>
      </c>
      <c r="L930" s="1056">
        <v>0</v>
      </c>
      <c r="M930" s="1063">
        <v>0</v>
      </c>
      <c r="N930" s="1056">
        <v>0</v>
      </c>
      <c r="O930" s="1056">
        <v>0</v>
      </c>
      <c r="P930" s="1056">
        <v>0</v>
      </c>
      <c r="Q930" s="1056">
        <v>0</v>
      </c>
      <c r="R930" s="1056">
        <v>0</v>
      </c>
      <c r="S930" s="1056">
        <v>0</v>
      </c>
      <c r="T930" s="1056">
        <v>0</v>
      </c>
      <c r="U930" s="1056">
        <v>0</v>
      </c>
      <c r="V930" s="1056">
        <v>0</v>
      </c>
      <c r="W930" s="1056">
        <v>0</v>
      </c>
      <c r="X930" s="1056">
        <v>0</v>
      </c>
      <c r="Y930" s="1056">
        <v>0</v>
      </c>
      <c r="Z930" s="1056">
        <v>113536.9</v>
      </c>
      <c r="AA930" s="1056">
        <v>0</v>
      </c>
    </row>
    <row r="931" spans="1:27" s="1079" customFormat="1" ht="83.45" customHeight="1">
      <c r="A931" s="1322">
        <v>411</v>
      </c>
      <c r="B931" s="1062" t="s">
        <v>1499</v>
      </c>
      <c r="C931" s="1056">
        <f t="shared" ref="C931:C938" si="527">D931+P931+T931+Z931</f>
        <v>2742263.53</v>
      </c>
      <c r="D931" s="1056">
        <f t="shared" ref="D931:D938" si="528">E931+F931+G931+H931+I931+J931</f>
        <v>598203.13</v>
      </c>
      <c r="E931" s="1056">
        <v>598203.13</v>
      </c>
      <c r="F931" s="1056">
        <v>0</v>
      </c>
      <c r="G931" s="1056">
        <v>0</v>
      </c>
      <c r="H931" s="1056">
        <v>0</v>
      </c>
      <c r="I931" s="1056">
        <v>0</v>
      </c>
      <c r="J931" s="1056">
        <v>0</v>
      </c>
      <c r="K931" s="1063">
        <v>0</v>
      </c>
      <c r="L931" s="1056">
        <v>0</v>
      </c>
      <c r="M931" s="1063">
        <v>0</v>
      </c>
      <c r="N931" s="1056">
        <v>0</v>
      </c>
      <c r="O931" s="1056">
        <v>591</v>
      </c>
      <c r="P931" s="1056">
        <v>1980567.12</v>
      </c>
      <c r="Q931" s="1056">
        <v>0</v>
      </c>
      <c r="R931" s="1056">
        <v>0</v>
      </c>
      <c r="S931" s="1056">
        <v>0</v>
      </c>
      <c r="T931" s="1056">
        <v>0</v>
      </c>
      <c r="U931" s="1056">
        <v>0</v>
      </c>
      <c r="V931" s="1056">
        <v>0</v>
      </c>
      <c r="W931" s="1056">
        <v>0</v>
      </c>
      <c r="X931" s="1056">
        <v>0</v>
      </c>
      <c r="Y931" s="1056">
        <v>0</v>
      </c>
      <c r="Z931" s="1056">
        <v>163493.28</v>
      </c>
      <c r="AA931" s="1056">
        <v>0</v>
      </c>
    </row>
    <row r="932" spans="1:27" s="1079" customFormat="1" ht="111.6" customHeight="1">
      <c r="A932" s="1322">
        <v>412</v>
      </c>
      <c r="B932" s="1062" t="s">
        <v>1287</v>
      </c>
      <c r="C932" s="1056">
        <f t="shared" si="527"/>
        <v>2901725.36</v>
      </c>
      <c r="D932" s="1056">
        <f t="shared" si="528"/>
        <v>0</v>
      </c>
      <c r="E932" s="1056">
        <v>0</v>
      </c>
      <c r="F932" s="1056">
        <v>0</v>
      </c>
      <c r="G932" s="1056">
        <v>0</v>
      </c>
      <c r="H932" s="1056">
        <v>0</v>
      </c>
      <c r="I932" s="1056">
        <v>0</v>
      </c>
      <c r="J932" s="1056">
        <v>0</v>
      </c>
      <c r="K932" s="1063">
        <v>0</v>
      </c>
      <c r="L932" s="1056">
        <v>0</v>
      </c>
      <c r="M932" s="1063">
        <v>0</v>
      </c>
      <c r="N932" s="1056">
        <v>0</v>
      </c>
      <c r="O932" s="1056">
        <v>566.79999999999995</v>
      </c>
      <c r="P932" s="1056">
        <v>2789861.36</v>
      </c>
      <c r="Q932" s="1056">
        <v>0</v>
      </c>
      <c r="R932" s="1056">
        <v>0</v>
      </c>
      <c r="S932" s="1056">
        <v>0</v>
      </c>
      <c r="T932" s="1056">
        <v>0</v>
      </c>
      <c r="U932" s="1056">
        <v>0</v>
      </c>
      <c r="V932" s="1056">
        <v>0</v>
      </c>
      <c r="W932" s="1056">
        <v>0</v>
      </c>
      <c r="X932" s="1056">
        <v>0</v>
      </c>
      <c r="Y932" s="1056">
        <v>0</v>
      </c>
      <c r="Z932" s="1056">
        <v>111864</v>
      </c>
      <c r="AA932" s="1056">
        <v>0</v>
      </c>
    </row>
    <row r="933" spans="1:27" s="1079" customFormat="1" ht="105.6" customHeight="1">
      <c r="A933" s="1322">
        <v>413</v>
      </c>
      <c r="B933" s="1062" t="s">
        <v>1176</v>
      </c>
      <c r="C933" s="1056">
        <f t="shared" si="527"/>
        <v>2924734.08</v>
      </c>
      <c r="D933" s="1056">
        <f t="shared" si="528"/>
        <v>0</v>
      </c>
      <c r="E933" s="1056">
        <v>0</v>
      </c>
      <c r="F933" s="1056">
        <v>0</v>
      </c>
      <c r="G933" s="1056">
        <v>0</v>
      </c>
      <c r="H933" s="1056">
        <v>0</v>
      </c>
      <c r="I933" s="1056">
        <v>0</v>
      </c>
      <c r="J933" s="1056">
        <v>0</v>
      </c>
      <c r="K933" s="1063">
        <v>0</v>
      </c>
      <c r="L933" s="1056">
        <v>0</v>
      </c>
      <c r="M933" s="1063">
        <v>0</v>
      </c>
      <c r="N933" s="1056">
        <v>0</v>
      </c>
      <c r="O933" s="1056">
        <v>824.2</v>
      </c>
      <c r="P933" s="1056">
        <v>2762070.08</v>
      </c>
      <c r="Q933" s="1056">
        <v>0</v>
      </c>
      <c r="R933" s="1056">
        <v>0</v>
      </c>
      <c r="S933" s="1056">
        <v>0</v>
      </c>
      <c r="T933" s="1056">
        <v>0</v>
      </c>
      <c r="U933" s="1056">
        <v>0</v>
      </c>
      <c r="V933" s="1056">
        <v>0</v>
      </c>
      <c r="W933" s="1056">
        <v>0</v>
      </c>
      <c r="X933" s="1056">
        <v>0</v>
      </c>
      <c r="Y933" s="1056">
        <v>0</v>
      </c>
      <c r="Z933" s="1056">
        <v>162664</v>
      </c>
      <c r="AA933" s="1056">
        <v>0</v>
      </c>
    </row>
    <row r="934" spans="1:27" s="1079" customFormat="1" ht="84.6" customHeight="1">
      <c r="A934" s="1322">
        <v>414</v>
      </c>
      <c r="B934" s="1062" t="s">
        <v>1499</v>
      </c>
      <c r="C934" s="1056">
        <f>D934+P934+T934+Z934+L934</f>
        <v>2084014.67</v>
      </c>
      <c r="D934" s="1056">
        <f t="shared" si="528"/>
        <v>1620688.68</v>
      </c>
      <c r="E934" s="1056">
        <v>0</v>
      </c>
      <c r="F934" s="1056">
        <v>1133289.8799999999</v>
      </c>
      <c r="G934" s="1056">
        <v>487398.8</v>
      </c>
      <c r="H934" s="1056">
        <v>0</v>
      </c>
      <c r="I934" s="1056">
        <v>0</v>
      </c>
      <c r="J934" s="1056">
        <v>0</v>
      </c>
      <c r="K934" s="1063">
        <v>1</v>
      </c>
      <c r="L934" s="1056">
        <v>328781.51</v>
      </c>
      <c r="M934" s="1063">
        <v>0</v>
      </c>
      <c r="N934" s="1056">
        <v>0</v>
      </c>
      <c r="O934" s="1056">
        <v>0</v>
      </c>
      <c r="P934" s="1056">
        <v>0</v>
      </c>
      <c r="Q934" s="1056">
        <v>0</v>
      </c>
      <c r="R934" s="1056">
        <v>0</v>
      </c>
      <c r="S934" s="1056">
        <v>0</v>
      </c>
      <c r="T934" s="1056">
        <v>0</v>
      </c>
      <c r="U934" s="1056">
        <v>0</v>
      </c>
      <c r="V934" s="1056">
        <v>0</v>
      </c>
      <c r="W934" s="1056">
        <v>0</v>
      </c>
      <c r="X934" s="1056">
        <v>0</v>
      </c>
      <c r="Y934" s="1056">
        <v>0</v>
      </c>
      <c r="Z934" s="1056">
        <v>134544.48000000001</v>
      </c>
      <c r="AA934" s="1056">
        <v>0</v>
      </c>
    </row>
    <row r="935" spans="1:27" s="1079" customFormat="1" ht="110.45" customHeight="1">
      <c r="A935" s="1322">
        <v>415</v>
      </c>
      <c r="B935" s="1062" t="s">
        <v>2075</v>
      </c>
      <c r="C935" s="1056">
        <f>D935+P935+T935+Z935+L935</f>
        <v>1373658.47</v>
      </c>
      <c r="D935" s="1056">
        <f t="shared" si="528"/>
        <v>959978.72</v>
      </c>
      <c r="E935" s="1056">
        <v>0</v>
      </c>
      <c r="F935" s="1056">
        <v>959978.72</v>
      </c>
      <c r="G935" s="1056">
        <v>0</v>
      </c>
      <c r="H935" s="1056">
        <v>0</v>
      </c>
      <c r="I935" s="1056">
        <v>0</v>
      </c>
      <c r="J935" s="1056">
        <v>0</v>
      </c>
      <c r="K935" s="1063">
        <v>1</v>
      </c>
      <c r="L935" s="1056">
        <v>328781.51</v>
      </c>
      <c r="M935" s="1063">
        <v>0</v>
      </c>
      <c r="N935" s="1056">
        <v>0</v>
      </c>
      <c r="O935" s="1056">
        <v>0</v>
      </c>
      <c r="P935" s="1056">
        <v>0</v>
      </c>
      <c r="Q935" s="1056">
        <v>0</v>
      </c>
      <c r="R935" s="1056">
        <v>0</v>
      </c>
      <c r="S935" s="1056">
        <v>0</v>
      </c>
      <c r="T935" s="1056">
        <v>0</v>
      </c>
      <c r="U935" s="1056">
        <v>0</v>
      </c>
      <c r="V935" s="1056">
        <v>0</v>
      </c>
      <c r="W935" s="1056">
        <v>0</v>
      </c>
      <c r="X935" s="1056">
        <v>0</v>
      </c>
      <c r="Y935" s="1056">
        <v>0</v>
      </c>
      <c r="Z935" s="1056">
        <v>84898.240000000005</v>
      </c>
      <c r="AA935" s="1056">
        <v>0</v>
      </c>
    </row>
    <row r="936" spans="1:27" s="1079" customFormat="1" ht="129" customHeight="1">
      <c r="A936" s="1322">
        <v>416</v>
      </c>
      <c r="B936" s="1062" t="s">
        <v>2076</v>
      </c>
      <c r="C936" s="1056">
        <f t="shared" si="527"/>
        <v>2145232.42</v>
      </c>
      <c r="D936" s="1056">
        <f t="shared" si="528"/>
        <v>0</v>
      </c>
      <c r="E936" s="1056">
        <v>0</v>
      </c>
      <c r="F936" s="1056">
        <v>0</v>
      </c>
      <c r="G936" s="1056">
        <v>0</v>
      </c>
      <c r="H936" s="1056">
        <v>0</v>
      </c>
      <c r="I936" s="1056">
        <v>0</v>
      </c>
      <c r="J936" s="1056">
        <v>0</v>
      </c>
      <c r="K936" s="1063">
        <v>0</v>
      </c>
      <c r="L936" s="1056">
        <v>0</v>
      </c>
      <c r="M936" s="1063">
        <v>0</v>
      </c>
      <c r="N936" s="1056">
        <v>0</v>
      </c>
      <c r="O936" s="1056">
        <v>503.16</v>
      </c>
      <c r="P936" s="1056">
        <v>1989413.83</v>
      </c>
      <c r="Q936" s="1056">
        <v>0</v>
      </c>
      <c r="R936" s="1056">
        <v>0</v>
      </c>
      <c r="S936" s="1056">
        <v>0</v>
      </c>
      <c r="T936" s="1056">
        <v>0</v>
      </c>
      <c r="U936" s="1056">
        <v>0</v>
      </c>
      <c r="V936" s="1056">
        <v>0</v>
      </c>
      <c r="W936" s="1056">
        <v>0</v>
      </c>
      <c r="X936" s="1056">
        <v>0</v>
      </c>
      <c r="Y936" s="1056">
        <v>0</v>
      </c>
      <c r="Z936" s="1056">
        <v>155818.59</v>
      </c>
      <c r="AA936" s="1056">
        <v>0</v>
      </c>
    </row>
    <row r="937" spans="1:27" s="1079" customFormat="1" ht="150.75" customHeight="1">
      <c r="A937" s="1322">
        <v>417</v>
      </c>
      <c r="B937" s="1062" t="s">
        <v>2074</v>
      </c>
      <c r="C937" s="1056">
        <f t="shared" si="527"/>
        <v>5109821.33</v>
      </c>
      <c r="D937" s="1056">
        <f t="shared" si="528"/>
        <v>0</v>
      </c>
      <c r="E937" s="1056">
        <v>0</v>
      </c>
      <c r="F937" s="1056">
        <v>0</v>
      </c>
      <c r="G937" s="1056">
        <v>0</v>
      </c>
      <c r="H937" s="1056">
        <v>0</v>
      </c>
      <c r="I937" s="1056">
        <v>0</v>
      </c>
      <c r="J937" s="1056">
        <v>0</v>
      </c>
      <c r="K937" s="1063">
        <v>0</v>
      </c>
      <c r="L937" s="1056">
        <v>0</v>
      </c>
      <c r="M937" s="1063">
        <v>0</v>
      </c>
      <c r="N937" s="1056">
        <v>0</v>
      </c>
      <c r="O937" s="1056">
        <v>473.62</v>
      </c>
      <c r="P937" s="1056">
        <v>1872617.42</v>
      </c>
      <c r="Q937" s="1056">
        <v>0</v>
      </c>
      <c r="R937" s="1056">
        <v>0</v>
      </c>
      <c r="S937" s="1056">
        <v>515</v>
      </c>
      <c r="T937" s="1056">
        <v>2990955.41</v>
      </c>
      <c r="U937" s="1056">
        <v>0</v>
      </c>
      <c r="V937" s="1056">
        <v>0</v>
      </c>
      <c r="W937" s="1056">
        <v>0</v>
      </c>
      <c r="X937" s="1056">
        <v>0</v>
      </c>
      <c r="Y937" s="1056">
        <v>0</v>
      </c>
      <c r="Z937" s="1056">
        <v>246248.5</v>
      </c>
      <c r="AA937" s="1056">
        <v>0</v>
      </c>
    </row>
    <row r="938" spans="1:27" s="1079" customFormat="1" ht="105.75" customHeight="1">
      <c r="A938" s="1322">
        <v>418</v>
      </c>
      <c r="B938" s="1062" t="s">
        <v>1174</v>
      </c>
      <c r="C938" s="1056">
        <f t="shared" si="527"/>
        <v>1462875.3399999999</v>
      </c>
      <c r="D938" s="1056">
        <f t="shared" si="528"/>
        <v>0</v>
      </c>
      <c r="E938" s="1056">
        <v>0</v>
      </c>
      <c r="F938" s="1056">
        <v>0</v>
      </c>
      <c r="G938" s="1056">
        <v>0</v>
      </c>
      <c r="H938" s="1056">
        <v>0</v>
      </c>
      <c r="I938" s="1056">
        <v>0</v>
      </c>
      <c r="J938" s="1056">
        <v>0</v>
      </c>
      <c r="K938" s="1063">
        <v>0</v>
      </c>
      <c r="L938" s="1056">
        <v>0</v>
      </c>
      <c r="M938" s="1063">
        <v>0</v>
      </c>
      <c r="N938" s="1056">
        <v>0</v>
      </c>
      <c r="O938" s="1056">
        <v>0</v>
      </c>
      <c r="P938" s="1056">
        <v>0</v>
      </c>
      <c r="Q938" s="1056">
        <v>0</v>
      </c>
      <c r="R938" s="1056">
        <v>0</v>
      </c>
      <c r="S938" s="1056">
        <v>468</v>
      </c>
      <c r="T938" s="1056">
        <v>1372381.64</v>
      </c>
      <c r="U938" s="1056">
        <v>0</v>
      </c>
      <c r="V938" s="1056">
        <v>0</v>
      </c>
      <c r="W938" s="1056">
        <v>0</v>
      </c>
      <c r="X938" s="1056">
        <v>0</v>
      </c>
      <c r="Y938" s="1056">
        <v>0</v>
      </c>
      <c r="Z938" s="1056">
        <v>90493.7</v>
      </c>
      <c r="AA938" s="1056">
        <v>0</v>
      </c>
    </row>
    <row r="939" spans="1:27" s="1079" customFormat="1" ht="91.15" customHeight="1">
      <c r="A939" s="1322">
        <v>419</v>
      </c>
      <c r="B939" s="1062" t="s">
        <v>1501</v>
      </c>
      <c r="C939" s="1056">
        <f t="shared" si="525"/>
        <v>6250068.7599999998</v>
      </c>
      <c r="D939" s="1056">
        <f t="shared" si="526"/>
        <v>5796096.0899999999</v>
      </c>
      <c r="E939" s="1056">
        <v>1596921.82</v>
      </c>
      <c r="F939" s="1056">
        <v>3025352.48</v>
      </c>
      <c r="G939" s="1056">
        <v>0</v>
      </c>
      <c r="H939" s="1056">
        <v>0</v>
      </c>
      <c r="I939" s="1056">
        <v>0</v>
      </c>
      <c r="J939" s="1056">
        <v>1173821.79</v>
      </c>
      <c r="K939" s="1063">
        <v>0</v>
      </c>
      <c r="L939" s="1056">
        <v>0</v>
      </c>
      <c r="M939" s="1063">
        <v>0</v>
      </c>
      <c r="N939" s="1056">
        <v>0</v>
      </c>
      <c r="O939" s="1056">
        <v>0</v>
      </c>
      <c r="P939" s="1056">
        <v>0</v>
      </c>
      <c r="Q939" s="1056">
        <v>0</v>
      </c>
      <c r="R939" s="1056">
        <v>0</v>
      </c>
      <c r="S939" s="1056">
        <v>0</v>
      </c>
      <c r="T939" s="1056">
        <v>0</v>
      </c>
      <c r="U939" s="1056">
        <v>0</v>
      </c>
      <c r="V939" s="1056">
        <v>0</v>
      </c>
      <c r="W939" s="1056">
        <v>0</v>
      </c>
      <c r="X939" s="1056">
        <v>0</v>
      </c>
      <c r="Y939" s="1056">
        <v>0</v>
      </c>
      <c r="Z939" s="1056">
        <v>453972.67</v>
      </c>
      <c r="AA939" s="1056">
        <v>0</v>
      </c>
    </row>
    <row r="940" spans="1:27" s="1079" customFormat="1" ht="91.15" customHeight="1">
      <c r="A940" s="1322">
        <v>420</v>
      </c>
      <c r="B940" s="1062" t="s">
        <v>1079</v>
      </c>
      <c r="C940" s="1056">
        <f t="shared" si="525"/>
        <v>1014866.08</v>
      </c>
      <c r="D940" s="1056">
        <f t="shared" si="526"/>
        <v>941151.46</v>
      </c>
      <c r="E940" s="1056">
        <v>0</v>
      </c>
      <c r="F940" s="1056">
        <v>0</v>
      </c>
      <c r="G940" s="1056">
        <v>0</v>
      </c>
      <c r="H940" s="1056">
        <v>0</v>
      </c>
      <c r="I940" s="1056">
        <v>0</v>
      </c>
      <c r="J940" s="1056">
        <v>941151.46</v>
      </c>
      <c r="K940" s="1063">
        <v>0</v>
      </c>
      <c r="L940" s="1056">
        <v>0</v>
      </c>
      <c r="M940" s="1063">
        <v>0</v>
      </c>
      <c r="N940" s="1056">
        <v>0</v>
      </c>
      <c r="O940" s="1056">
        <v>0</v>
      </c>
      <c r="P940" s="1056">
        <v>0</v>
      </c>
      <c r="Q940" s="1056">
        <v>0</v>
      </c>
      <c r="R940" s="1056">
        <v>0</v>
      </c>
      <c r="S940" s="1056">
        <v>0</v>
      </c>
      <c r="T940" s="1056">
        <v>0</v>
      </c>
      <c r="U940" s="1056">
        <v>0</v>
      </c>
      <c r="V940" s="1056">
        <v>0</v>
      </c>
      <c r="W940" s="1056">
        <v>0</v>
      </c>
      <c r="X940" s="1056">
        <v>0</v>
      </c>
      <c r="Y940" s="1056">
        <v>0</v>
      </c>
      <c r="Z940" s="1056">
        <v>73714.62</v>
      </c>
      <c r="AA940" s="1056">
        <v>0</v>
      </c>
    </row>
    <row r="941" spans="1:27" s="1079" customFormat="1" ht="87.6" customHeight="1">
      <c r="A941" s="1322">
        <v>421</v>
      </c>
      <c r="B941" s="1062" t="s">
        <v>1273</v>
      </c>
      <c r="C941" s="1056">
        <f>D941+P941+T941+Z941+AA941</f>
        <v>6788652.379999999</v>
      </c>
      <c r="D941" s="1056">
        <f>E941+F941+G941+H941+I941+J941</f>
        <v>6295559.7799999993</v>
      </c>
      <c r="E941" s="1056">
        <v>929889.61</v>
      </c>
      <c r="F941" s="1056">
        <v>1761666.6</v>
      </c>
      <c r="G941" s="1056">
        <v>757647.45</v>
      </c>
      <c r="H941" s="1056">
        <v>1081419.1000000001</v>
      </c>
      <c r="I941" s="1056">
        <v>1081419.1000000001</v>
      </c>
      <c r="J941" s="1056">
        <v>683517.92</v>
      </c>
      <c r="K941" s="1063">
        <v>0</v>
      </c>
      <c r="L941" s="1056">
        <v>0</v>
      </c>
      <c r="M941" s="1063">
        <v>0</v>
      </c>
      <c r="N941" s="1056">
        <v>0</v>
      </c>
      <c r="O941" s="1056">
        <v>0</v>
      </c>
      <c r="P941" s="1056">
        <v>0</v>
      </c>
      <c r="Q941" s="1056">
        <v>0</v>
      </c>
      <c r="R941" s="1056">
        <v>0</v>
      </c>
      <c r="S941" s="1056">
        <v>0</v>
      </c>
      <c r="T941" s="1056">
        <v>0</v>
      </c>
      <c r="U941" s="1056">
        <v>0</v>
      </c>
      <c r="V941" s="1056">
        <v>0</v>
      </c>
      <c r="W941" s="1056">
        <v>0</v>
      </c>
      <c r="X941" s="1056">
        <v>0</v>
      </c>
      <c r="Y941" s="1056">
        <v>0</v>
      </c>
      <c r="Z941" s="1056">
        <v>493092.6</v>
      </c>
      <c r="AA941" s="1056">
        <v>0</v>
      </c>
    </row>
    <row r="942" spans="1:27" s="1079" customFormat="1" ht="93.6" customHeight="1">
      <c r="A942" s="1322">
        <v>422</v>
      </c>
      <c r="B942" s="1062" t="s">
        <v>1274</v>
      </c>
      <c r="C942" s="1056">
        <f t="shared" ref="C942:C944" si="529">D942+P942+T942+Z942+AA942</f>
        <v>199642.52</v>
      </c>
      <c r="D942" s="1056">
        <f t="shared" ref="D942:D944" si="530">E942+F942+G942+H942+I942+J942</f>
        <v>185141.52</v>
      </c>
      <c r="E942" s="1056">
        <v>185141.52</v>
      </c>
      <c r="F942" s="1056">
        <v>0</v>
      </c>
      <c r="G942" s="1056">
        <v>0</v>
      </c>
      <c r="H942" s="1056">
        <v>0</v>
      </c>
      <c r="I942" s="1056">
        <v>0</v>
      </c>
      <c r="J942" s="1056">
        <v>0</v>
      </c>
      <c r="K942" s="1063">
        <v>0</v>
      </c>
      <c r="L942" s="1056">
        <v>0</v>
      </c>
      <c r="M942" s="1063">
        <v>0</v>
      </c>
      <c r="N942" s="1056">
        <v>0</v>
      </c>
      <c r="O942" s="1056">
        <v>0</v>
      </c>
      <c r="P942" s="1056">
        <v>0</v>
      </c>
      <c r="Q942" s="1056">
        <v>0</v>
      </c>
      <c r="R942" s="1056">
        <v>0</v>
      </c>
      <c r="S942" s="1056">
        <v>0</v>
      </c>
      <c r="T942" s="1056">
        <v>0</v>
      </c>
      <c r="U942" s="1056">
        <v>0</v>
      </c>
      <c r="V942" s="1056">
        <v>0</v>
      </c>
      <c r="W942" s="1056">
        <v>0</v>
      </c>
      <c r="X942" s="1056">
        <v>0</v>
      </c>
      <c r="Y942" s="1056">
        <v>0</v>
      </c>
      <c r="Z942" s="1056">
        <v>14501</v>
      </c>
      <c r="AA942" s="1056">
        <v>0</v>
      </c>
    </row>
    <row r="943" spans="1:27" s="1079" customFormat="1" ht="92.45" customHeight="1">
      <c r="A943" s="1322">
        <v>423</v>
      </c>
      <c r="B943" s="1062" t="s">
        <v>1294</v>
      </c>
      <c r="C943" s="1056">
        <f t="shared" si="529"/>
        <v>8465841.5099999998</v>
      </c>
      <c r="D943" s="1056">
        <f t="shared" si="530"/>
        <v>7850926.5499999998</v>
      </c>
      <c r="E943" s="1056">
        <v>2709077.81</v>
      </c>
      <c r="F943" s="1056">
        <v>0</v>
      </c>
      <c r="G943" s="1056">
        <v>0</v>
      </c>
      <c r="H943" s="1056">
        <v>3150533.63</v>
      </c>
      <c r="I943" s="1056">
        <v>0</v>
      </c>
      <c r="J943" s="1056">
        <v>1991315.11</v>
      </c>
      <c r="K943" s="1063">
        <v>0</v>
      </c>
      <c r="L943" s="1056">
        <v>0</v>
      </c>
      <c r="M943" s="1063">
        <v>0</v>
      </c>
      <c r="N943" s="1056">
        <v>0</v>
      </c>
      <c r="O943" s="1056">
        <v>0</v>
      </c>
      <c r="P943" s="1056">
        <v>0</v>
      </c>
      <c r="Q943" s="1056">
        <v>0</v>
      </c>
      <c r="R943" s="1056">
        <v>0</v>
      </c>
      <c r="S943" s="1056">
        <v>0</v>
      </c>
      <c r="T943" s="1056">
        <v>0</v>
      </c>
      <c r="U943" s="1056">
        <v>0</v>
      </c>
      <c r="V943" s="1056">
        <v>0</v>
      </c>
      <c r="W943" s="1056">
        <v>0</v>
      </c>
      <c r="X943" s="1056">
        <v>0</v>
      </c>
      <c r="Y943" s="1056">
        <v>0</v>
      </c>
      <c r="Z943" s="1056">
        <v>614914.96</v>
      </c>
      <c r="AA943" s="1056">
        <v>0</v>
      </c>
    </row>
    <row r="944" spans="1:27" s="1079" customFormat="1" ht="92.45" customHeight="1">
      <c r="A944" s="1322">
        <v>424</v>
      </c>
      <c r="B944" s="1062" t="s">
        <v>1122</v>
      </c>
      <c r="C944" s="1056">
        <f t="shared" si="529"/>
        <v>2034509</v>
      </c>
      <c r="D944" s="1056">
        <f t="shared" si="530"/>
        <v>0</v>
      </c>
      <c r="E944" s="1056">
        <v>0</v>
      </c>
      <c r="F944" s="1056">
        <v>0</v>
      </c>
      <c r="G944" s="1056">
        <v>0</v>
      </c>
      <c r="H944" s="1056">
        <v>0</v>
      </c>
      <c r="I944" s="1056">
        <v>0</v>
      </c>
      <c r="J944" s="1056">
        <v>0</v>
      </c>
      <c r="K944" s="1063">
        <v>0</v>
      </c>
      <c r="L944" s="1056">
        <v>0</v>
      </c>
      <c r="M944" s="1063">
        <v>0</v>
      </c>
      <c r="N944" s="1056">
        <v>0</v>
      </c>
      <c r="O944" s="1056">
        <v>563</v>
      </c>
      <c r="P944" s="1056">
        <v>1886733</v>
      </c>
      <c r="Q944" s="1056">
        <v>0</v>
      </c>
      <c r="R944" s="1056">
        <v>0</v>
      </c>
      <c r="S944" s="1056">
        <v>0</v>
      </c>
      <c r="T944" s="1056">
        <v>0</v>
      </c>
      <c r="U944" s="1056">
        <v>0</v>
      </c>
      <c r="V944" s="1056">
        <v>0</v>
      </c>
      <c r="W944" s="1056">
        <v>0</v>
      </c>
      <c r="X944" s="1056">
        <v>0</v>
      </c>
      <c r="Y944" s="1056">
        <v>0</v>
      </c>
      <c r="Z944" s="1056">
        <v>147776</v>
      </c>
      <c r="AA944" s="1056">
        <v>0</v>
      </c>
    </row>
    <row r="945" spans="1:27" s="1079" customFormat="1" ht="92.45" customHeight="1">
      <c r="A945" s="1322">
        <v>425</v>
      </c>
      <c r="B945" s="1062" t="s">
        <v>1080</v>
      </c>
      <c r="C945" s="1056">
        <f t="shared" ref="C945" si="531">D945+P945+T945+Z945+AA945</f>
        <v>1016036.22</v>
      </c>
      <c r="D945" s="1056">
        <f t="shared" ref="D945" si="532">E945+F945+G945+H945+I945+J945</f>
        <v>942236.6</v>
      </c>
      <c r="E945" s="1056">
        <v>0</v>
      </c>
      <c r="F945" s="1056">
        <v>0</v>
      </c>
      <c r="G945" s="1056">
        <v>0</v>
      </c>
      <c r="H945" s="1056">
        <v>0</v>
      </c>
      <c r="I945" s="1056">
        <v>0</v>
      </c>
      <c r="J945" s="1056">
        <v>942236.6</v>
      </c>
      <c r="K945" s="1063">
        <v>0</v>
      </c>
      <c r="L945" s="1056">
        <v>0</v>
      </c>
      <c r="M945" s="1063">
        <v>0</v>
      </c>
      <c r="N945" s="1056">
        <v>0</v>
      </c>
      <c r="O945" s="1056">
        <v>0</v>
      </c>
      <c r="P945" s="1056">
        <v>0</v>
      </c>
      <c r="Q945" s="1056">
        <v>0</v>
      </c>
      <c r="R945" s="1056">
        <v>0</v>
      </c>
      <c r="S945" s="1056">
        <v>0</v>
      </c>
      <c r="T945" s="1056">
        <v>0</v>
      </c>
      <c r="U945" s="1056">
        <v>0</v>
      </c>
      <c r="V945" s="1056">
        <v>0</v>
      </c>
      <c r="W945" s="1056">
        <v>0</v>
      </c>
      <c r="X945" s="1056">
        <v>0</v>
      </c>
      <c r="Y945" s="1056">
        <v>0</v>
      </c>
      <c r="Z945" s="1056">
        <v>73799.62</v>
      </c>
      <c r="AA945" s="1056">
        <v>0</v>
      </c>
    </row>
    <row r="946" spans="1:27" s="1079" customFormat="1" ht="92.45" customHeight="1">
      <c r="A946" s="1322"/>
      <c r="B946" s="1062" t="s">
        <v>2059</v>
      </c>
      <c r="C946" s="1056">
        <f>C947</f>
        <v>3004703.75</v>
      </c>
      <c r="D946" s="1056">
        <f t="shared" ref="D946:AA946" si="533">D947</f>
        <v>0</v>
      </c>
      <c r="E946" s="1056">
        <f t="shared" si="533"/>
        <v>0</v>
      </c>
      <c r="F946" s="1056">
        <f t="shared" si="533"/>
        <v>0</v>
      </c>
      <c r="G946" s="1056">
        <f t="shared" si="533"/>
        <v>0</v>
      </c>
      <c r="H946" s="1056">
        <f t="shared" si="533"/>
        <v>0</v>
      </c>
      <c r="I946" s="1056">
        <f t="shared" si="533"/>
        <v>0</v>
      </c>
      <c r="J946" s="1056">
        <f t="shared" si="533"/>
        <v>0</v>
      </c>
      <c r="K946" s="1056">
        <f t="shared" si="533"/>
        <v>0</v>
      </c>
      <c r="L946" s="1056">
        <f t="shared" si="533"/>
        <v>0</v>
      </c>
      <c r="M946" s="1056">
        <f t="shared" si="533"/>
        <v>0</v>
      </c>
      <c r="N946" s="1056">
        <f t="shared" si="533"/>
        <v>0</v>
      </c>
      <c r="O946" s="1056">
        <f t="shared" si="533"/>
        <v>391</v>
      </c>
      <c r="P946" s="1056">
        <f t="shared" si="533"/>
        <v>2786457.61</v>
      </c>
      <c r="Q946" s="1056">
        <f t="shared" si="533"/>
        <v>0</v>
      </c>
      <c r="R946" s="1056">
        <f t="shared" si="533"/>
        <v>0</v>
      </c>
      <c r="S946" s="1056">
        <f t="shared" si="533"/>
        <v>0</v>
      </c>
      <c r="T946" s="1056">
        <f t="shared" si="533"/>
        <v>0</v>
      </c>
      <c r="U946" s="1056">
        <v>0</v>
      </c>
      <c r="V946" s="1056">
        <v>0</v>
      </c>
      <c r="W946" s="1056">
        <f t="shared" si="533"/>
        <v>0</v>
      </c>
      <c r="X946" s="1056">
        <f t="shared" si="533"/>
        <v>0</v>
      </c>
      <c r="Y946" s="1056">
        <f t="shared" si="533"/>
        <v>0</v>
      </c>
      <c r="Z946" s="1056">
        <f t="shared" si="533"/>
        <v>218246.14</v>
      </c>
      <c r="AA946" s="1056">
        <f t="shared" si="533"/>
        <v>0</v>
      </c>
    </row>
    <row r="947" spans="1:27" s="1079" customFormat="1" ht="92.45" customHeight="1">
      <c r="A947" s="1322">
        <v>426</v>
      </c>
      <c r="B947" s="1055" t="s">
        <v>2061</v>
      </c>
      <c r="C947" s="1056">
        <f>D947+N947+P947+R947+T947+X947+Z947</f>
        <v>3004703.75</v>
      </c>
      <c r="D947" s="1056">
        <v>0</v>
      </c>
      <c r="E947" s="1056">
        <v>0</v>
      </c>
      <c r="F947" s="1056">
        <v>0</v>
      </c>
      <c r="G947" s="1056">
        <v>0</v>
      </c>
      <c r="H947" s="1056">
        <v>0</v>
      </c>
      <c r="I947" s="1056">
        <v>0</v>
      </c>
      <c r="J947" s="1056">
        <v>0</v>
      </c>
      <c r="K947" s="1063">
        <v>0</v>
      </c>
      <c r="L947" s="1056">
        <v>0</v>
      </c>
      <c r="M947" s="1063">
        <v>0</v>
      </c>
      <c r="N947" s="1056">
        <v>0</v>
      </c>
      <c r="O947" s="1056">
        <v>391</v>
      </c>
      <c r="P947" s="1056">
        <v>2786457.61</v>
      </c>
      <c r="Q947" s="1056">
        <v>0</v>
      </c>
      <c r="R947" s="1056">
        <v>0</v>
      </c>
      <c r="S947" s="1056">
        <v>0</v>
      </c>
      <c r="T947" s="1056">
        <v>0</v>
      </c>
      <c r="U947" s="1056">
        <v>0</v>
      </c>
      <c r="V947" s="1056">
        <v>0</v>
      </c>
      <c r="W947" s="1056">
        <v>0</v>
      </c>
      <c r="X947" s="1056">
        <v>0</v>
      </c>
      <c r="Y947" s="1076">
        <v>0</v>
      </c>
      <c r="Z947" s="1056">
        <v>218246.14</v>
      </c>
      <c r="AA947" s="1056">
        <v>0</v>
      </c>
    </row>
    <row r="948" spans="1:27" s="1079" customFormat="1" ht="92.45" customHeight="1">
      <c r="A948" s="1322"/>
      <c r="B948" s="1062" t="s">
        <v>1066</v>
      </c>
      <c r="C948" s="1056">
        <f>SUM(C949:C956)</f>
        <v>18759633.46629199</v>
      </c>
      <c r="D948" s="1056">
        <f t="shared" ref="D948:AA948" si="534">SUM(D949:D956)</f>
        <v>2948153.82</v>
      </c>
      <c r="E948" s="1056">
        <f t="shared" si="534"/>
        <v>468327</v>
      </c>
      <c r="F948" s="1056">
        <f t="shared" si="534"/>
        <v>2479826.8199999998</v>
      </c>
      <c r="G948" s="1056">
        <f t="shared" si="534"/>
        <v>0</v>
      </c>
      <c r="H948" s="1056">
        <f t="shared" si="534"/>
        <v>0</v>
      </c>
      <c r="I948" s="1056">
        <f t="shared" si="534"/>
        <v>0</v>
      </c>
      <c r="J948" s="1056">
        <f t="shared" si="534"/>
        <v>0</v>
      </c>
      <c r="K948" s="1063">
        <f t="shared" si="534"/>
        <v>0</v>
      </c>
      <c r="L948" s="1056">
        <f t="shared" si="534"/>
        <v>0</v>
      </c>
      <c r="M948" s="1063">
        <f t="shared" si="534"/>
        <v>0</v>
      </c>
      <c r="N948" s="1056">
        <f t="shared" si="534"/>
        <v>0</v>
      </c>
      <c r="O948" s="1056">
        <f t="shared" si="534"/>
        <v>2661.8</v>
      </c>
      <c r="P948" s="1056">
        <f t="shared" si="534"/>
        <v>13169207.219999999</v>
      </c>
      <c r="Q948" s="1056">
        <f t="shared" si="534"/>
        <v>0</v>
      </c>
      <c r="R948" s="1056">
        <f t="shared" si="534"/>
        <v>0</v>
      </c>
      <c r="S948" s="1056">
        <f t="shared" si="534"/>
        <v>499.1</v>
      </c>
      <c r="T948" s="1056">
        <f t="shared" si="534"/>
        <v>1463580.5</v>
      </c>
      <c r="U948" s="1056">
        <v>0</v>
      </c>
      <c r="V948" s="1056">
        <v>0</v>
      </c>
      <c r="W948" s="1056">
        <f t="shared" si="534"/>
        <v>0</v>
      </c>
      <c r="X948" s="1056">
        <f t="shared" si="534"/>
        <v>0</v>
      </c>
      <c r="Y948" s="1056">
        <v>0</v>
      </c>
      <c r="Z948" s="1056">
        <f t="shared" si="534"/>
        <v>1178691.926291992</v>
      </c>
      <c r="AA948" s="1056">
        <f t="shared" si="534"/>
        <v>0</v>
      </c>
    </row>
    <row r="949" spans="1:27" s="1079" customFormat="1" ht="92.45" customHeight="1">
      <c r="A949" s="1322">
        <v>427</v>
      </c>
      <c r="B949" s="1055" t="s">
        <v>1138</v>
      </c>
      <c r="C949" s="1056">
        <f t="shared" ref="C949" si="535">D949+N949+P949+R949+T949+X949+Z949</f>
        <v>505008</v>
      </c>
      <c r="D949" s="1056">
        <f t="shared" ref="D949" si="536">SUM(E949:J949)</f>
        <v>468327</v>
      </c>
      <c r="E949" s="1056">
        <v>468327</v>
      </c>
      <c r="F949" s="1056">
        <v>0</v>
      </c>
      <c r="G949" s="1056">
        <v>0</v>
      </c>
      <c r="H949" s="1056">
        <v>0</v>
      </c>
      <c r="I949" s="1056">
        <v>0</v>
      </c>
      <c r="J949" s="1056">
        <v>0</v>
      </c>
      <c r="K949" s="1063">
        <v>0</v>
      </c>
      <c r="L949" s="1056">
        <v>0</v>
      </c>
      <c r="M949" s="1063">
        <v>0</v>
      </c>
      <c r="N949" s="1056">
        <v>0</v>
      </c>
      <c r="O949" s="1284">
        <v>0</v>
      </c>
      <c r="P949" s="1056">
        <v>0</v>
      </c>
      <c r="Q949" s="1070">
        <v>0</v>
      </c>
      <c r="R949" s="1056">
        <v>0</v>
      </c>
      <c r="S949" s="1056">
        <v>0</v>
      </c>
      <c r="T949" s="1056">
        <v>0</v>
      </c>
      <c r="U949" s="1056">
        <v>0</v>
      </c>
      <c r="V949" s="1056">
        <v>0</v>
      </c>
      <c r="W949" s="1070">
        <v>0</v>
      </c>
      <c r="X949" s="1056">
        <v>0</v>
      </c>
      <c r="Y949" s="1056">
        <v>0</v>
      </c>
      <c r="Z949" s="1056">
        <v>36681</v>
      </c>
      <c r="AA949" s="1056">
        <v>0</v>
      </c>
    </row>
    <row r="950" spans="1:27" s="1079" customFormat="1" ht="93.6" customHeight="1">
      <c r="A950" s="1322">
        <v>428</v>
      </c>
      <c r="B950" s="1062" t="s">
        <v>2070</v>
      </c>
      <c r="C950" s="1056">
        <f t="shared" ref="C950:C956" si="537">D950+N950+P950+R950+T950+X950+Z950</f>
        <v>2089124.51</v>
      </c>
      <c r="D950" s="1056">
        <f t="shared" ref="D950:D956" si="538">SUM(E950:J950)</f>
        <v>0</v>
      </c>
      <c r="E950" s="1056">
        <v>0</v>
      </c>
      <c r="F950" s="1056">
        <v>0</v>
      </c>
      <c r="G950" s="1056">
        <v>0</v>
      </c>
      <c r="H950" s="1056">
        <v>0</v>
      </c>
      <c r="I950" s="1056">
        <v>0</v>
      </c>
      <c r="J950" s="1056">
        <v>0</v>
      </c>
      <c r="K950" s="1063">
        <v>0</v>
      </c>
      <c r="L950" s="1056">
        <v>0</v>
      </c>
      <c r="M950" s="1063">
        <v>0</v>
      </c>
      <c r="N950" s="1056">
        <v>0</v>
      </c>
      <c r="O950" s="1311">
        <v>490</v>
      </c>
      <c r="P950" s="1311">
        <v>1937381.31</v>
      </c>
      <c r="Q950" s="1056">
        <v>0</v>
      </c>
      <c r="R950" s="1056">
        <v>0</v>
      </c>
      <c r="S950" s="1056">
        <v>0</v>
      </c>
      <c r="T950" s="1056">
        <v>0</v>
      </c>
      <c r="U950" s="1056">
        <v>0</v>
      </c>
      <c r="V950" s="1056">
        <v>0</v>
      </c>
      <c r="W950" s="1056">
        <v>0</v>
      </c>
      <c r="X950" s="1056">
        <v>0</v>
      </c>
      <c r="Y950" s="1056">
        <v>0</v>
      </c>
      <c r="Z950" s="1056">
        <v>151743.20000000001</v>
      </c>
      <c r="AA950" s="1056">
        <v>0</v>
      </c>
    </row>
    <row r="951" spans="1:27" s="1079" customFormat="1" ht="93.6" customHeight="1">
      <c r="A951" s="1322">
        <v>429</v>
      </c>
      <c r="B951" s="1312" t="s">
        <v>1141</v>
      </c>
      <c r="C951" s="1056">
        <f t="shared" si="537"/>
        <v>2196085.86</v>
      </c>
      <c r="D951" s="1056">
        <f t="shared" si="538"/>
        <v>613191.36</v>
      </c>
      <c r="E951" s="1056">
        <v>0</v>
      </c>
      <c r="F951" s="1056">
        <v>613191.36</v>
      </c>
      <c r="G951" s="1056">
        <v>0</v>
      </c>
      <c r="H951" s="1056">
        <v>0</v>
      </c>
      <c r="I951" s="1056">
        <v>0</v>
      </c>
      <c r="J951" s="1056">
        <v>0</v>
      </c>
      <c r="K951" s="1063">
        <v>0</v>
      </c>
      <c r="L951" s="1056">
        <v>0</v>
      </c>
      <c r="M951" s="1063">
        <v>0</v>
      </c>
      <c r="N951" s="1056">
        <v>0</v>
      </c>
      <c r="O951" s="1284">
        <v>360</v>
      </c>
      <c r="P951" s="1056">
        <v>1423382.18</v>
      </c>
      <c r="Q951" s="1056">
        <v>0</v>
      </c>
      <c r="R951" s="1056">
        <v>0</v>
      </c>
      <c r="S951" s="1056">
        <v>0</v>
      </c>
      <c r="T951" s="1056">
        <v>0</v>
      </c>
      <c r="U951" s="1056">
        <v>0</v>
      </c>
      <c r="V951" s="1056">
        <v>0</v>
      </c>
      <c r="W951" s="1056">
        <v>0</v>
      </c>
      <c r="X951" s="1056">
        <v>0</v>
      </c>
      <c r="Y951" s="1056">
        <v>0</v>
      </c>
      <c r="Z951" s="1056">
        <v>159512.32000000001</v>
      </c>
      <c r="AA951" s="1056">
        <v>0</v>
      </c>
    </row>
    <row r="952" spans="1:27" s="1079" customFormat="1" ht="93.6" customHeight="1">
      <c r="A952" s="1322">
        <v>430</v>
      </c>
      <c r="B952" s="1312" t="s">
        <v>2071</v>
      </c>
      <c r="C952" s="1056">
        <f t="shared" si="537"/>
        <v>3623991.49</v>
      </c>
      <c r="D952" s="1056">
        <f t="shared" si="538"/>
        <v>0</v>
      </c>
      <c r="E952" s="1056">
        <v>0</v>
      </c>
      <c r="F952" s="1056">
        <v>0</v>
      </c>
      <c r="G952" s="1056">
        <v>0</v>
      </c>
      <c r="H952" s="1056">
        <v>0</v>
      </c>
      <c r="I952" s="1056">
        <v>0</v>
      </c>
      <c r="J952" s="1056">
        <v>0</v>
      </c>
      <c r="K952" s="1063">
        <v>0</v>
      </c>
      <c r="L952" s="1056">
        <v>0</v>
      </c>
      <c r="M952" s="1063">
        <v>0</v>
      </c>
      <c r="N952" s="1056">
        <v>0</v>
      </c>
      <c r="O952" s="1311">
        <v>850</v>
      </c>
      <c r="P952" s="1311">
        <v>3360763.49</v>
      </c>
      <c r="Q952" s="1056">
        <v>0</v>
      </c>
      <c r="R952" s="1056">
        <v>0</v>
      </c>
      <c r="S952" s="1056">
        <v>0</v>
      </c>
      <c r="T952" s="1056">
        <v>0</v>
      </c>
      <c r="U952" s="1056">
        <v>0</v>
      </c>
      <c r="V952" s="1056">
        <v>0</v>
      </c>
      <c r="W952" s="1056">
        <v>0</v>
      </c>
      <c r="X952" s="1056">
        <v>0</v>
      </c>
      <c r="Y952" s="1056">
        <v>0</v>
      </c>
      <c r="Z952" s="1056">
        <v>263228</v>
      </c>
      <c r="AA952" s="1056">
        <v>0</v>
      </c>
    </row>
    <row r="953" spans="1:27" s="1079" customFormat="1" ht="117" customHeight="1">
      <c r="A953" s="1322">
        <v>431</v>
      </c>
      <c r="B953" s="1312" t="s">
        <v>2072</v>
      </c>
      <c r="C953" s="1056">
        <f t="shared" ref="C953:C954" si="539">D953+N953+P953+R953+T953+X953+Z953</f>
        <v>1578213.79</v>
      </c>
      <c r="D953" s="1056">
        <f t="shared" ref="D953:D954" si="540">SUM(E953:J953)</f>
        <v>0</v>
      </c>
      <c r="E953" s="1056">
        <v>0</v>
      </c>
      <c r="F953" s="1056">
        <v>0</v>
      </c>
      <c r="G953" s="1056">
        <v>0</v>
      </c>
      <c r="H953" s="1056">
        <v>0</v>
      </c>
      <c r="I953" s="1056">
        <v>0</v>
      </c>
      <c r="J953" s="1056">
        <v>0</v>
      </c>
      <c r="K953" s="1063">
        <v>0</v>
      </c>
      <c r="L953" s="1056">
        <v>0</v>
      </c>
      <c r="M953" s="1063">
        <v>0</v>
      </c>
      <c r="N953" s="1056">
        <v>0</v>
      </c>
      <c r="O953" s="1056">
        <v>0</v>
      </c>
      <c r="P953" s="1056">
        <v>0</v>
      </c>
      <c r="Q953" s="1056">
        <v>0</v>
      </c>
      <c r="R953" s="1056">
        <v>0</v>
      </c>
      <c r="S953" s="1056">
        <v>499.1</v>
      </c>
      <c r="T953" s="1056">
        <v>1463580.5</v>
      </c>
      <c r="U953" s="1056">
        <v>0</v>
      </c>
      <c r="V953" s="1056">
        <v>0</v>
      </c>
      <c r="W953" s="1056">
        <v>0</v>
      </c>
      <c r="X953" s="1056">
        <v>0</v>
      </c>
      <c r="Y953" s="1056">
        <v>0</v>
      </c>
      <c r="Z953" s="1056">
        <v>114633.29</v>
      </c>
      <c r="AA953" s="1056">
        <v>0</v>
      </c>
    </row>
    <row r="954" spans="1:27" s="1079" customFormat="1" ht="98.45" customHeight="1">
      <c r="A954" s="1322">
        <v>432</v>
      </c>
      <c r="B954" s="1062" t="s">
        <v>1020</v>
      </c>
      <c r="C954" s="1056">
        <f t="shared" si="539"/>
        <v>2538046.2462919918</v>
      </c>
      <c r="D954" s="1056">
        <f t="shared" si="540"/>
        <v>0</v>
      </c>
      <c r="E954" s="1056">
        <v>0</v>
      </c>
      <c r="F954" s="1056">
        <v>0</v>
      </c>
      <c r="G954" s="1056">
        <v>0</v>
      </c>
      <c r="H954" s="1056">
        <v>0</v>
      </c>
      <c r="I954" s="1056">
        <v>0</v>
      </c>
      <c r="J954" s="1056">
        <v>0</v>
      </c>
      <c r="K954" s="1063">
        <v>0</v>
      </c>
      <c r="L954" s="1056">
        <v>0</v>
      </c>
      <c r="M954" s="1063">
        <v>0</v>
      </c>
      <c r="N954" s="1056">
        <v>0</v>
      </c>
      <c r="O954" s="1284">
        <v>340</v>
      </c>
      <c r="P954" s="1056">
        <v>2458576.19</v>
      </c>
      <c r="Q954" s="1056">
        <v>0</v>
      </c>
      <c r="R954" s="1056">
        <v>0</v>
      </c>
      <c r="S954" s="1056">
        <v>0</v>
      </c>
      <c r="T954" s="1056">
        <v>0</v>
      </c>
      <c r="U954" s="1056">
        <v>0</v>
      </c>
      <c r="V954" s="1056">
        <v>0</v>
      </c>
      <c r="W954" s="1056">
        <v>0</v>
      </c>
      <c r="X954" s="1056">
        <v>0</v>
      </c>
      <c r="Y954" s="1056">
        <v>0</v>
      </c>
      <c r="Z954" s="1056">
        <v>79470.056291992005</v>
      </c>
      <c r="AA954" s="1056">
        <v>0</v>
      </c>
    </row>
    <row r="955" spans="1:27" s="1079" customFormat="1" ht="151.5" customHeight="1">
      <c r="A955" s="1322">
        <v>433</v>
      </c>
      <c r="B955" s="1062" t="s">
        <v>2073</v>
      </c>
      <c r="C955" s="1056">
        <f t="shared" si="537"/>
        <v>1927617.46</v>
      </c>
      <c r="D955" s="1056">
        <f t="shared" si="538"/>
        <v>1866635.46</v>
      </c>
      <c r="E955" s="1056">
        <v>0</v>
      </c>
      <c r="F955" s="1056">
        <v>1866635.46</v>
      </c>
      <c r="G955" s="1056">
        <v>0</v>
      </c>
      <c r="H955" s="1056">
        <v>0</v>
      </c>
      <c r="I955" s="1056">
        <v>0</v>
      </c>
      <c r="J955" s="1056">
        <v>0</v>
      </c>
      <c r="K955" s="1063">
        <v>0</v>
      </c>
      <c r="L955" s="1056">
        <v>0</v>
      </c>
      <c r="M955" s="1063">
        <v>0</v>
      </c>
      <c r="N955" s="1056">
        <v>0</v>
      </c>
      <c r="O955" s="1284">
        <v>0</v>
      </c>
      <c r="P955" s="1056">
        <v>0</v>
      </c>
      <c r="Q955" s="1056">
        <v>0</v>
      </c>
      <c r="R955" s="1056">
        <v>0</v>
      </c>
      <c r="S955" s="1056">
        <v>0</v>
      </c>
      <c r="T955" s="1056">
        <v>0</v>
      </c>
      <c r="U955" s="1056">
        <v>0</v>
      </c>
      <c r="V955" s="1056">
        <v>0</v>
      </c>
      <c r="W955" s="1056">
        <v>0</v>
      </c>
      <c r="X955" s="1056">
        <v>0</v>
      </c>
      <c r="Y955" s="1056">
        <v>0</v>
      </c>
      <c r="Z955" s="1056">
        <v>60982</v>
      </c>
      <c r="AA955" s="1056">
        <v>0</v>
      </c>
    </row>
    <row r="956" spans="1:27" s="1079" customFormat="1" ht="84.75" customHeight="1">
      <c r="A956" s="1322">
        <v>434</v>
      </c>
      <c r="B956" s="1062" t="s">
        <v>1064</v>
      </c>
      <c r="C956" s="1056">
        <f t="shared" si="537"/>
        <v>4301546.1099999994</v>
      </c>
      <c r="D956" s="1056">
        <f t="shared" si="538"/>
        <v>0</v>
      </c>
      <c r="E956" s="1056">
        <v>0</v>
      </c>
      <c r="F956" s="1056">
        <v>0</v>
      </c>
      <c r="G956" s="1056">
        <v>0</v>
      </c>
      <c r="H956" s="1056">
        <v>0</v>
      </c>
      <c r="I956" s="1056">
        <v>0</v>
      </c>
      <c r="J956" s="1056">
        <v>0</v>
      </c>
      <c r="K956" s="1063">
        <v>0</v>
      </c>
      <c r="L956" s="1056">
        <v>0</v>
      </c>
      <c r="M956" s="1063">
        <v>0</v>
      </c>
      <c r="N956" s="1056">
        <v>0</v>
      </c>
      <c r="O956" s="1284">
        <v>621.79999999999995</v>
      </c>
      <c r="P956" s="1056">
        <v>3989104.05</v>
      </c>
      <c r="Q956" s="1056">
        <v>0</v>
      </c>
      <c r="R956" s="1056">
        <v>0</v>
      </c>
      <c r="S956" s="1056">
        <v>0</v>
      </c>
      <c r="T956" s="1056">
        <v>0</v>
      </c>
      <c r="U956" s="1056">
        <v>0</v>
      </c>
      <c r="V956" s="1056">
        <v>0</v>
      </c>
      <c r="W956" s="1056">
        <v>0</v>
      </c>
      <c r="X956" s="1056">
        <v>0</v>
      </c>
      <c r="Y956" s="1056">
        <v>0</v>
      </c>
      <c r="Z956" s="1056">
        <v>312442.06</v>
      </c>
      <c r="AA956" s="1056">
        <v>0</v>
      </c>
    </row>
    <row r="957" spans="1:27" s="1079" customFormat="1" ht="105.75" customHeight="1">
      <c r="A957" s="1322"/>
      <c r="B957" s="1062" t="s">
        <v>1050</v>
      </c>
      <c r="C957" s="1056">
        <f>SUM(C958:C969)</f>
        <v>36389188.409999996</v>
      </c>
      <c r="D957" s="1056">
        <f t="shared" ref="D957:AA957" si="541">SUM(D958:D969)</f>
        <v>9113459.8200000003</v>
      </c>
      <c r="E957" s="1056">
        <f t="shared" si="541"/>
        <v>0</v>
      </c>
      <c r="F957" s="1056">
        <f t="shared" si="541"/>
        <v>3694993.76</v>
      </c>
      <c r="G957" s="1056">
        <f t="shared" si="541"/>
        <v>0</v>
      </c>
      <c r="H957" s="1056">
        <f t="shared" si="541"/>
        <v>2664868.52</v>
      </c>
      <c r="I957" s="1056">
        <f t="shared" si="541"/>
        <v>0</v>
      </c>
      <c r="J957" s="1056">
        <f t="shared" si="541"/>
        <v>2753597.54</v>
      </c>
      <c r="K957" s="1056">
        <f t="shared" si="541"/>
        <v>0</v>
      </c>
      <c r="L957" s="1056">
        <f t="shared" si="541"/>
        <v>0</v>
      </c>
      <c r="M957" s="1056">
        <f t="shared" si="541"/>
        <v>0</v>
      </c>
      <c r="N957" s="1056">
        <f t="shared" si="541"/>
        <v>0</v>
      </c>
      <c r="O957" s="1056">
        <f t="shared" si="541"/>
        <v>3546.79</v>
      </c>
      <c r="P957" s="1056">
        <f t="shared" si="541"/>
        <v>14063190.789999999</v>
      </c>
      <c r="Q957" s="1056">
        <f t="shared" si="541"/>
        <v>0</v>
      </c>
      <c r="R957" s="1056">
        <f t="shared" si="541"/>
        <v>0</v>
      </c>
      <c r="S957" s="1056">
        <f t="shared" si="541"/>
        <v>3787.69</v>
      </c>
      <c r="T957" s="1056">
        <f t="shared" si="541"/>
        <v>10569435.619999999</v>
      </c>
      <c r="U957" s="1056">
        <f t="shared" si="541"/>
        <v>0</v>
      </c>
      <c r="V957" s="1056">
        <f t="shared" si="541"/>
        <v>0</v>
      </c>
      <c r="W957" s="1056">
        <f t="shared" si="541"/>
        <v>0</v>
      </c>
      <c r="X957" s="1056">
        <f t="shared" si="541"/>
        <v>0</v>
      </c>
      <c r="Y957" s="1056">
        <f t="shared" si="541"/>
        <v>0</v>
      </c>
      <c r="Z957" s="1056">
        <f t="shared" si="541"/>
        <v>2643102.1799999997</v>
      </c>
      <c r="AA957" s="1056">
        <f t="shared" si="541"/>
        <v>0</v>
      </c>
    </row>
    <row r="958" spans="1:27" s="1079" customFormat="1" ht="99.75" customHeight="1">
      <c r="A958" s="1322">
        <v>435</v>
      </c>
      <c r="B958" s="1062" t="s">
        <v>1154</v>
      </c>
      <c r="C958" s="1056">
        <f t="shared" ref="C958" si="542">D958+N958+P958+R958+T958+X958+Z958</f>
        <v>942237.79</v>
      </c>
      <c r="D958" s="1056">
        <f t="shared" ref="D958" si="543">SUM(E958:J958)</f>
        <v>0</v>
      </c>
      <c r="E958" s="1056">
        <v>0</v>
      </c>
      <c r="F958" s="1056">
        <v>0</v>
      </c>
      <c r="G958" s="1056">
        <v>0</v>
      </c>
      <c r="H958" s="1056">
        <v>0</v>
      </c>
      <c r="I958" s="1056">
        <v>0</v>
      </c>
      <c r="J958" s="1056">
        <v>0</v>
      </c>
      <c r="K958" s="1063">
        <v>0</v>
      </c>
      <c r="L958" s="1056">
        <v>0</v>
      </c>
      <c r="M958" s="1063">
        <v>0</v>
      </c>
      <c r="N958" s="1056">
        <v>0</v>
      </c>
      <c r="O958" s="1056">
        <v>221</v>
      </c>
      <c r="P958" s="1056">
        <v>873798.51</v>
      </c>
      <c r="Q958" s="1056">
        <v>0</v>
      </c>
      <c r="R958" s="1056">
        <v>0</v>
      </c>
      <c r="S958" s="1056">
        <v>0</v>
      </c>
      <c r="T958" s="1056">
        <v>0</v>
      </c>
      <c r="U958" s="1056">
        <v>0</v>
      </c>
      <c r="V958" s="1056">
        <v>0</v>
      </c>
      <c r="W958" s="1056">
        <v>0</v>
      </c>
      <c r="X958" s="1056">
        <v>0</v>
      </c>
      <c r="Y958" s="1056">
        <v>0</v>
      </c>
      <c r="Z958" s="1056">
        <v>68439.28</v>
      </c>
      <c r="AA958" s="1056">
        <v>0</v>
      </c>
    </row>
    <row r="959" spans="1:27" s="1079" customFormat="1" ht="96.75" customHeight="1">
      <c r="A959" s="1322">
        <v>436</v>
      </c>
      <c r="B959" s="1062" t="s">
        <v>1379</v>
      </c>
      <c r="C959" s="1056">
        <f t="shared" ref="C959:C965" si="544">D959+N959+P959+R959+T959+X959+Z959</f>
        <v>268565.7</v>
      </c>
      <c r="D959" s="1056">
        <f t="shared" ref="D959:D965" si="545">SUM(E959:J959)</f>
        <v>249058.48</v>
      </c>
      <c r="E959" s="1056">
        <v>0</v>
      </c>
      <c r="F959" s="1056">
        <v>0</v>
      </c>
      <c r="G959" s="1056">
        <v>0</v>
      </c>
      <c r="H959" s="1056">
        <v>0</v>
      </c>
      <c r="I959" s="1056">
        <v>0</v>
      </c>
      <c r="J959" s="1056">
        <v>249058.48</v>
      </c>
      <c r="K959" s="1063">
        <v>0</v>
      </c>
      <c r="L959" s="1056">
        <v>0</v>
      </c>
      <c r="M959" s="1063">
        <v>0</v>
      </c>
      <c r="N959" s="1056">
        <v>0</v>
      </c>
      <c r="O959" s="1056">
        <v>0</v>
      </c>
      <c r="P959" s="1056">
        <v>0</v>
      </c>
      <c r="Q959" s="1056">
        <v>0</v>
      </c>
      <c r="R959" s="1056">
        <v>0</v>
      </c>
      <c r="S959" s="1056">
        <v>0</v>
      </c>
      <c r="T959" s="1056">
        <v>0</v>
      </c>
      <c r="U959" s="1056">
        <v>0</v>
      </c>
      <c r="V959" s="1056">
        <v>0</v>
      </c>
      <c r="W959" s="1056">
        <v>0</v>
      </c>
      <c r="X959" s="1056">
        <v>0</v>
      </c>
      <c r="Y959" s="1056">
        <v>0</v>
      </c>
      <c r="Z959" s="1056">
        <v>19507.22</v>
      </c>
      <c r="AA959" s="1056">
        <v>0</v>
      </c>
    </row>
    <row r="960" spans="1:27" s="1079" customFormat="1" ht="99.75" customHeight="1">
      <c r="A960" s="1322">
        <v>437</v>
      </c>
      <c r="B960" s="1062" t="s">
        <v>2077</v>
      </c>
      <c r="C960" s="1056">
        <f t="shared" si="544"/>
        <v>5530327.4399999995</v>
      </c>
      <c r="D960" s="1056">
        <f t="shared" si="545"/>
        <v>5128633.05</v>
      </c>
      <c r="E960" s="1056">
        <v>0</v>
      </c>
      <c r="F960" s="1056">
        <v>3694993.76</v>
      </c>
      <c r="G960" s="1056">
        <v>0</v>
      </c>
      <c r="H960" s="1056">
        <v>0</v>
      </c>
      <c r="I960" s="1056">
        <v>0</v>
      </c>
      <c r="J960" s="1056">
        <v>1433639.29</v>
      </c>
      <c r="K960" s="1063">
        <v>0</v>
      </c>
      <c r="L960" s="1056">
        <v>0</v>
      </c>
      <c r="M960" s="1063">
        <v>0</v>
      </c>
      <c r="N960" s="1056">
        <v>0</v>
      </c>
      <c r="O960" s="1056">
        <v>0</v>
      </c>
      <c r="P960" s="1056">
        <v>0</v>
      </c>
      <c r="Q960" s="1056">
        <v>0</v>
      </c>
      <c r="R960" s="1056">
        <v>0</v>
      </c>
      <c r="S960" s="1056">
        <v>0</v>
      </c>
      <c r="T960" s="1056">
        <v>0</v>
      </c>
      <c r="U960" s="1056">
        <v>0</v>
      </c>
      <c r="V960" s="1056">
        <v>0</v>
      </c>
      <c r="W960" s="1056">
        <v>0</v>
      </c>
      <c r="X960" s="1056">
        <v>0</v>
      </c>
      <c r="Y960" s="1056">
        <v>0</v>
      </c>
      <c r="Z960" s="1056">
        <v>401694.39</v>
      </c>
      <c r="AA960" s="1056">
        <v>0</v>
      </c>
    </row>
    <row r="961" spans="1:27" s="1079" customFormat="1" ht="96.75" customHeight="1">
      <c r="A961" s="1322">
        <v>438</v>
      </c>
      <c r="B961" s="1062" t="s">
        <v>1258</v>
      </c>
      <c r="C961" s="1056">
        <f t="shared" si="544"/>
        <v>1449596.5999999999</v>
      </c>
      <c r="D961" s="1056">
        <f t="shared" si="545"/>
        <v>0</v>
      </c>
      <c r="E961" s="1056">
        <v>0</v>
      </c>
      <c r="F961" s="1056">
        <v>0</v>
      </c>
      <c r="G961" s="1056">
        <v>0</v>
      </c>
      <c r="H961" s="1056">
        <v>0</v>
      </c>
      <c r="I961" s="1056">
        <v>0</v>
      </c>
      <c r="J961" s="1056">
        <v>0</v>
      </c>
      <c r="K961" s="1063">
        <v>0</v>
      </c>
      <c r="L961" s="1056">
        <v>0</v>
      </c>
      <c r="M961" s="1063">
        <v>0</v>
      </c>
      <c r="N961" s="1056">
        <v>0</v>
      </c>
      <c r="O961" s="1056">
        <v>340</v>
      </c>
      <c r="P961" s="1056">
        <v>1344305.4</v>
      </c>
      <c r="Q961" s="1056">
        <v>0</v>
      </c>
      <c r="R961" s="1056">
        <v>0</v>
      </c>
      <c r="S961" s="1056">
        <v>0</v>
      </c>
      <c r="T961" s="1056">
        <v>0</v>
      </c>
      <c r="U961" s="1056">
        <v>0</v>
      </c>
      <c r="V961" s="1056">
        <v>0</v>
      </c>
      <c r="W961" s="1056">
        <v>0</v>
      </c>
      <c r="X961" s="1056">
        <v>0</v>
      </c>
      <c r="Y961" s="1056">
        <v>0</v>
      </c>
      <c r="Z961" s="1056">
        <v>105291.2</v>
      </c>
      <c r="AA961" s="1056">
        <v>0</v>
      </c>
    </row>
    <row r="962" spans="1:27" s="1079" customFormat="1" ht="96.75" customHeight="1">
      <c r="A962" s="1322">
        <v>439</v>
      </c>
      <c r="B962" s="1062" t="s">
        <v>1156</v>
      </c>
      <c r="C962" s="1056">
        <f t="shared" si="544"/>
        <v>2521397.5699999998</v>
      </c>
      <c r="D962" s="1056">
        <f t="shared" si="545"/>
        <v>2338256.29</v>
      </c>
      <c r="E962" s="1056">
        <v>0</v>
      </c>
      <c r="F962" s="1056">
        <v>0</v>
      </c>
      <c r="G962" s="1056">
        <v>0</v>
      </c>
      <c r="H962" s="1056">
        <v>1432705.52</v>
      </c>
      <c r="I962" s="1056">
        <v>0</v>
      </c>
      <c r="J962" s="1056">
        <v>905550.77</v>
      </c>
      <c r="K962" s="1063">
        <v>0</v>
      </c>
      <c r="L962" s="1056">
        <v>0</v>
      </c>
      <c r="M962" s="1063">
        <v>0</v>
      </c>
      <c r="N962" s="1056">
        <v>0</v>
      </c>
      <c r="O962" s="1056">
        <v>0</v>
      </c>
      <c r="P962" s="1056">
        <v>0</v>
      </c>
      <c r="Q962" s="1056">
        <v>0</v>
      </c>
      <c r="R962" s="1056">
        <v>0</v>
      </c>
      <c r="S962" s="1056">
        <v>0</v>
      </c>
      <c r="T962" s="1056">
        <v>0</v>
      </c>
      <c r="U962" s="1056">
        <v>0</v>
      </c>
      <c r="V962" s="1056">
        <v>0</v>
      </c>
      <c r="W962" s="1056">
        <v>0</v>
      </c>
      <c r="X962" s="1056">
        <v>0</v>
      </c>
      <c r="Y962" s="1056">
        <v>0</v>
      </c>
      <c r="Z962" s="1056">
        <v>183141.28</v>
      </c>
      <c r="AA962" s="1056">
        <v>0</v>
      </c>
    </row>
    <row r="963" spans="1:27" s="1079" customFormat="1" ht="96.75" customHeight="1">
      <c r="A963" s="1322">
        <v>440</v>
      </c>
      <c r="B963" s="1062" t="s">
        <v>1157</v>
      </c>
      <c r="C963" s="1056">
        <f t="shared" si="544"/>
        <v>1046699.87</v>
      </c>
      <c r="D963" s="1056">
        <f t="shared" si="545"/>
        <v>970673</v>
      </c>
      <c r="E963" s="1056">
        <v>0</v>
      </c>
      <c r="F963" s="1056">
        <v>0</v>
      </c>
      <c r="G963" s="1056">
        <v>0</v>
      </c>
      <c r="H963" s="1056">
        <v>970673</v>
      </c>
      <c r="I963" s="1056">
        <v>0</v>
      </c>
      <c r="J963" s="1056">
        <v>0</v>
      </c>
      <c r="K963" s="1063">
        <v>0</v>
      </c>
      <c r="L963" s="1056">
        <v>0</v>
      </c>
      <c r="M963" s="1063">
        <v>0</v>
      </c>
      <c r="N963" s="1056">
        <v>0</v>
      </c>
      <c r="O963" s="1056">
        <v>0</v>
      </c>
      <c r="P963" s="1056">
        <v>0</v>
      </c>
      <c r="Q963" s="1056">
        <v>0</v>
      </c>
      <c r="R963" s="1056">
        <v>0</v>
      </c>
      <c r="S963" s="1056">
        <v>0</v>
      </c>
      <c r="T963" s="1056">
        <v>0</v>
      </c>
      <c r="U963" s="1056">
        <v>0</v>
      </c>
      <c r="V963" s="1056">
        <v>0</v>
      </c>
      <c r="W963" s="1056">
        <v>0</v>
      </c>
      <c r="X963" s="1056">
        <v>0</v>
      </c>
      <c r="Y963" s="1056">
        <v>0</v>
      </c>
      <c r="Z963" s="1056">
        <v>76026.87</v>
      </c>
      <c r="AA963" s="1056">
        <v>0</v>
      </c>
    </row>
    <row r="964" spans="1:27" s="1079" customFormat="1" ht="96.75" customHeight="1">
      <c r="A964" s="1322">
        <v>441</v>
      </c>
      <c r="B964" s="1062" t="s">
        <v>2079</v>
      </c>
      <c r="C964" s="1056">
        <f t="shared" si="544"/>
        <v>460270.38</v>
      </c>
      <c r="D964" s="1056">
        <f t="shared" si="545"/>
        <v>426839</v>
      </c>
      <c r="E964" s="1056"/>
      <c r="F964" s="1056"/>
      <c r="G964" s="1056"/>
      <c r="H964" s="1056">
        <v>261490</v>
      </c>
      <c r="I964" s="1056">
        <v>0</v>
      </c>
      <c r="J964" s="1056">
        <v>165349</v>
      </c>
      <c r="K964" s="1063">
        <v>0</v>
      </c>
      <c r="L964" s="1056">
        <v>0</v>
      </c>
      <c r="M964" s="1063">
        <v>0</v>
      </c>
      <c r="N964" s="1056">
        <v>0</v>
      </c>
      <c r="O964" s="1056">
        <v>0</v>
      </c>
      <c r="P964" s="1056">
        <v>0</v>
      </c>
      <c r="Q964" s="1056">
        <v>0</v>
      </c>
      <c r="R964" s="1056">
        <v>0</v>
      </c>
      <c r="S964" s="1056">
        <v>0</v>
      </c>
      <c r="T964" s="1056">
        <v>0</v>
      </c>
      <c r="U964" s="1056">
        <v>0</v>
      </c>
      <c r="V964" s="1056">
        <v>0</v>
      </c>
      <c r="W964" s="1056">
        <v>0</v>
      </c>
      <c r="X964" s="1056">
        <v>0</v>
      </c>
      <c r="Y964" s="1056">
        <v>0</v>
      </c>
      <c r="Z964" s="1056">
        <v>33431.379999999997</v>
      </c>
      <c r="AA964" s="1056">
        <v>0</v>
      </c>
    </row>
    <row r="965" spans="1:27" s="1090" customFormat="1" ht="120" customHeight="1">
      <c r="A965" s="1322">
        <v>442</v>
      </c>
      <c r="B965" s="1062" t="s">
        <v>2078</v>
      </c>
      <c r="C965" s="1056">
        <f t="shared" si="544"/>
        <v>2801696.49</v>
      </c>
      <c r="D965" s="1056">
        <f t="shared" si="545"/>
        <v>0</v>
      </c>
      <c r="E965" s="1056">
        <v>0</v>
      </c>
      <c r="F965" s="1056">
        <v>0</v>
      </c>
      <c r="G965" s="1056">
        <v>0</v>
      </c>
      <c r="H965" s="1056">
        <v>0</v>
      </c>
      <c r="I965" s="1056">
        <v>0</v>
      </c>
      <c r="J965" s="1056">
        <v>0</v>
      </c>
      <c r="K965" s="1063">
        <v>0</v>
      </c>
      <c r="L965" s="1056">
        <v>0</v>
      </c>
      <c r="M965" s="1063">
        <v>0</v>
      </c>
      <c r="N965" s="1056">
        <v>0</v>
      </c>
      <c r="O965" s="1056">
        <v>775.3</v>
      </c>
      <c r="P965" s="1056">
        <v>2598195.75</v>
      </c>
      <c r="Q965" s="1056">
        <v>0</v>
      </c>
      <c r="R965" s="1056">
        <v>0</v>
      </c>
      <c r="S965" s="1056">
        <v>0</v>
      </c>
      <c r="T965" s="1056">
        <v>0</v>
      </c>
      <c r="U965" s="1056">
        <v>0</v>
      </c>
      <c r="V965" s="1056">
        <v>0</v>
      </c>
      <c r="W965" s="1056">
        <v>0</v>
      </c>
      <c r="X965" s="1056">
        <v>0</v>
      </c>
      <c r="Y965" s="1056">
        <v>0</v>
      </c>
      <c r="Z965" s="1056">
        <v>203500.74</v>
      </c>
      <c r="AA965" s="1056">
        <v>0</v>
      </c>
    </row>
    <row r="966" spans="1:27" s="1090" customFormat="1" ht="102.75" customHeight="1">
      <c r="A966" s="1322">
        <v>443</v>
      </c>
      <c r="B966" s="1062" t="s">
        <v>2080</v>
      </c>
      <c r="C966" s="1056">
        <f t="shared" ref="C966" si="546">D966+N966+P966+R966+T966+X966+Z966</f>
        <v>4007708.24</v>
      </c>
      <c r="D966" s="1056">
        <f t="shared" ref="D966" si="547">SUM(E966:J966)</f>
        <v>0</v>
      </c>
      <c r="E966" s="1056">
        <v>0</v>
      </c>
      <c r="F966" s="1056">
        <v>0</v>
      </c>
      <c r="G966" s="1056">
        <v>0</v>
      </c>
      <c r="H966" s="1056">
        <v>0</v>
      </c>
      <c r="I966" s="1056">
        <v>0</v>
      </c>
      <c r="J966" s="1056">
        <v>0</v>
      </c>
      <c r="K966" s="1063">
        <v>0</v>
      </c>
      <c r="L966" s="1056">
        <v>0</v>
      </c>
      <c r="M966" s="1063">
        <v>0</v>
      </c>
      <c r="N966" s="1056">
        <v>0</v>
      </c>
      <c r="O966" s="1056">
        <v>940</v>
      </c>
      <c r="P966" s="1056">
        <v>3716609.04</v>
      </c>
      <c r="Q966" s="1056">
        <v>0</v>
      </c>
      <c r="R966" s="1056">
        <v>0</v>
      </c>
      <c r="S966" s="1056">
        <v>0</v>
      </c>
      <c r="T966" s="1056">
        <v>0</v>
      </c>
      <c r="U966" s="1056">
        <v>0</v>
      </c>
      <c r="V966" s="1056">
        <v>0</v>
      </c>
      <c r="W966" s="1056">
        <v>0</v>
      </c>
      <c r="X966" s="1056">
        <v>0</v>
      </c>
      <c r="Y966" s="1056">
        <v>0</v>
      </c>
      <c r="Z966" s="1056">
        <v>291099.2</v>
      </c>
      <c r="AA966" s="1056">
        <v>0</v>
      </c>
    </row>
    <row r="967" spans="1:27" s="1090" customFormat="1" ht="113.45" customHeight="1">
      <c r="A967" s="1322">
        <v>444</v>
      </c>
      <c r="B967" s="1062" t="s">
        <v>1380</v>
      </c>
      <c r="C967" s="1056">
        <f t="shared" ref="C967:C969" si="548">D967+N967+P967+R967+T967+X967+Z967</f>
        <v>1671299.6</v>
      </c>
      <c r="D967" s="1056">
        <f t="shared" ref="D967:D969" si="549">SUM(E967:J967)</f>
        <v>0</v>
      </c>
      <c r="E967" s="1056">
        <v>0</v>
      </c>
      <c r="F967" s="1056">
        <v>0</v>
      </c>
      <c r="G967" s="1056">
        <v>0</v>
      </c>
      <c r="H967" s="1056">
        <v>0</v>
      </c>
      <c r="I967" s="1056">
        <v>0</v>
      </c>
      <c r="J967" s="1056">
        <v>0</v>
      </c>
      <c r="K967" s="1063">
        <v>0</v>
      </c>
      <c r="L967" s="1056">
        <v>0</v>
      </c>
      <c r="M967" s="1063">
        <v>0</v>
      </c>
      <c r="N967" s="1056">
        <v>0</v>
      </c>
      <c r="O967" s="1056">
        <v>392</v>
      </c>
      <c r="P967" s="1056">
        <v>1549905.04</v>
      </c>
      <c r="Q967" s="1056">
        <v>0</v>
      </c>
      <c r="R967" s="1056">
        <v>0</v>
      </c>
      <c r="S967" s="1056">
        <v>0</v>
      </c>
      <c r="T967" s="1056">
        <v>0</v>
      </c>
      <c r="U967" s="1056">
        <v>0</v>
      </c>
      <c r="V967" s="1056">
        <v>0</v>
      </c>
      <c r="W967" s="1056">
        <v>0</v>
      </c>
      <c r="X967" s="1056">
        <v>0</v>
      </c>
      <c r="Y967" s="1056">
        <v>0</v>
      </c>
      <c r="Z967" s="1056">
        <v>121394.56</v>
      </c>
      <c r="AA967" s="1056">
        <v>0</v>
      </c>
    </row>
    <row r="968" spans="1:27" s="1087" customFormat="1" ht="105.6" customHeight="1">
      <c r="A968" s="1322">
        <v>445</v>
      </c>
      <c r="B968" s="1062" t="s">
        <v>1289</v>
      </c>
      <c r="C968" s="1056">
        <f t="shared" si="548"/>
        <v>11397253.149999999</v>
      </c>
      <c r="D968" s="1056">
        <f t="shared" si="549"/>
        <v>0</v>
      </c>
      <c r="E968" s="1056">
        <v>0</v>
      </c>
      <c r="F968" s="1056">
        <v>0</v>
      </c>
      <c r="G968" s="1056">
        <v>0</v>
      </c>
      <c r="H968" s="1056">
        <v>0</v>
      </c>
      <c r="I968" s="1056">
        <v>0</v>
      </c>
      <c r="J968" s="1056">
        <v>0</v>
      </c>
      <c r="K968" s="1063">
        <v>0</v>
      </c>
      <c r="L968" s="1056">
        <v>0</v>
      </c>
      <c r="M968" s="1063">
        <v>0</v>
      </c>
      <c r="N968" s="1056">
        <v>0</v>
      </c>
      <c r="O968" s="1056">
        <v>0</v>
      </c>
      <c r="P968" s="1056">
        <v>0</v>
      </c>
      <c r="Q968" s="1056">
        <v>0</v>
      </c>
      <c r="R968" s="1056">
        <v>0</v>
      </c>
      <c r="S968" s="1056">
        <v>3787.69</v>
      </c>
      <c r="T968" s="1056">
        <v>10569435.619999999</v>
      </c>
      <c r="U968" s="1056">
        <v>0</v>
      </c>
      <c r="V968" s="1056">
        <v>0</v>
      </c>
      <c r="W968" s="1056">
        <v>0</v>
      </c>
      <c r="X968" s="1056">
        <v>0</v>
      </c>
      <c r="Y968" s="1056">
        <v>0</v>
      </c>
      <c r="Z968" s="1056">
        <v>827817.53</v>
      </c>
      <c r="AA968" s="1056">
        <v>0</v>
      </c>
    </row>
    <row r="969" spans="1:27" s="1087" customFormat="1" ht="112.5" customHeight="1">
      <c r="A969" s="1322">
        <v>446</v>
      </c>
      <c r="B969" s="1062" t="s">
        <v>1179</v>
      </c>
      <c r="C969" s="1056">
        <f t="shared" si="548"/>
        <v>4292135.58</v>
      </c>
      <c r="D969" s="1056">
        <f t="shared" si="549"/>
        <v>0</v>
      </c>
      <c r="E969" s="1056">
        <v>0</v>
      </c>
      <c r="F969" s="1056">
        <v>0</v>
      </c>
      <c r="G969" s="1056">
        <v>0</v>
      </c>
      <c r="H969" s="1056">
        <v>0</v>
      </c>
      <c r="I969" s="1056">
        <v>0</v>
      </c>
      <c r="J969" s="1056">
        <v>0</v>
      </c>
      <c r="K969" s="1063">
        <v>0</v>
      </c>
      <c r="L969" s="1056">
        <v>0</v>
      </c>
      <c r="M969" s="1063">
        <v>0</v>
      </c>
      <c r="N969" s="1056">
        <v>0</v>
      </c>
      <c r="O969" s="1056">
        <v>878.49</v>
      </c>
      <c r="P969" s="1056">
        <v>3980377.05</v>
      </c>
      <c r="Q969" s="1056">
        <v>0</v>
      </c>
      <c r="R969" s="1056">
        <v>0</v>
      </c>
      <c r="S969" s="1056">
        <v>0</v>
      </c>
      <c r="T969" s="1056">
        <v>0</v>
      </c>
      <c r="U969" s="1056">
        <v>0</v>
      </c>
      <c r="V969" s="1056">
        <v>0</v>
      </c>
      <c r="W969" s="1056">
        <v>0</v>
      </c>
      <c r="X969" s="1056">
        <v>0</v>
      </c>
      <c r="Y969" s="1056">
        <v>0</v>
      </c>
      <c r="Z969" s="1056">
        <v>311758.53000000003</v>
      </c>
      <c r="AA969" s="1056">
        <v>0</v>
      </c>
    </row>
    <row r="970" spans="1:27" s="1087" customFormat="1" ht="106.5" customHeight="1">
      <c r="A970" s="1322"/>
      <c r="B970" s="1055" t="s">
        <v>2046</v>
      </c>
      <c r="C970" s="1068">
        <f>C971+C972</f>
        <v>14648449.310000001</v>
      </c>
      <c r="D970" s="1068">
        <f t="shared" ref="D970:AA970" si="550">D971+D972</f>
        <v>0</v>
      </c>
      <c r="E970" s="1068">
        <f t="shared" si="550"/>
        <v>0</v>
      </c>
      <c r="F970" s="1068">
        <f t="shared" si="550"/>
        <v>0</v>
      </c>
      <c r="G970" s="1068">
        <f t="shared" si="550"/>
        <v>0</v>
      </c>
      <c r="H970" s="1068">
        <f t="shared" si="550"/>
        <v>0</v>
      </c>
      <c r="I970" s="1068">
        <f t="shared" si="550"/>
        <v>0</v>
      </c>
      <c r="J970" s="1068">
        <f t="shared" si="550"/>
        <v>0</v>
      </c>
      <c r="K970" s="1068">
        <f t="shared" si="550"/>
        <v>0</v>
      </c>
      <c r="L970" s="1068">
        <f t="shared" si="550"/>
        <v>0</v>
      </c>
      <c r="M970" s="1068">
        <f t="shared" si="550"/>
        <v>0</v>
      </c>
      <c r="N970" s="1068">
        <f t="shared" si="550"/>
        <v>0</v>
      </c>
      <c r="O970" s="1068">
        <f t="shared" si="550"/>
        <v>1346.8</v>
      </c>
      <c r="P970" s="1068">
        <f t="shared" si="550"/>
        <v>4768495.3599999994</v>
      </c>
      <c r="Q970" s="1068">
        <f t="shared" si="550"/>
        <v>0</v>
      </c>
      <c r="R970" s="1068">
        <f t="shared" si="550"/>
        <v>0</v>
      </c>
      <c r="S970" s="1068">
        <f t="shared" si="550"/>
        <v>1666.01</v>
      </c>
      <c r="T970" s="1068">
        <f t="shared" si="550"/>
        <v>8815965.6400000006</v>
      </c>
      <c r="U970" s="1068">
        <f t="shared" si="550"/>
        <v>0</v>
      </c>
      <c r="V970" s="1068">
        <f t="shared" si="550"/>
        <v>0</v>
      </c>
      <c r="W970" s="1068">
        <f t="shared" si="550"/>
        <v>0</v>
      </c>
      <c r="X970" s="1068">
        <f t="shared" si="550"/>
        <v>0</v>
      </c>
      <c r="Y970" s="1068">
        <f t="shared" si="550"/>
        <v>0</v>
      </c>
      <c r="Z970" s="1068">
        <f t="shared" si="550"/>
        <v>1063988.31</v>
      </c>
      <c r="AA970" s="1068">
        <f t="shared" si="550"/>
        <v>0</v>
      </c>
    </row>
    <row r="971" spans="1:27" s="1087" customFormat="1" ht="109.5" customHeight="1">
      <c r="A971" s="1322">
        <v>447</v>
      </c>
      <c r="B971" s="1055" t="s">
        <v>2048</v>
      </c>
      <c r="C971" s="1068">
        <f t="shared" ref="C971:C972" si="551">D971+N971+P971+R971+T971+X971+Z971+L971</f>
        <v>6692193</v>
      </c>
      <c r="D971" s="1068">
        <f t="shared" ref="D971:D972" si="552">SUM(E971:J971)</f>
        <v>0</v>
      </c>
      <c r="E971" s="1068">
        <v>0</v>
      </c>
      <c r="F971" s="1068">
        <v>0</v>
      </c>
      <c r="G971" s="1068">
        <v>0</v>
      </c>
      <c r="H971" s="1068">
        <v>0</v>
      </c>
      <c r="I971" s="1068">
        <v>0</v>
      </c>
      <c r="J971" s="1068">
        <v>0</v>
      </c>
      <c r="K971" s="1063">
        <v>0</v>
      </c>
      <c r="L971" s="1068">
        <v>0</v>
      </c>
      <c r="M971" s="1063">
        <v>0</v>
      </c>
      <c r="N971" s="1068">
        <v>0</v>
      </c>
      <c r="O971" s="1068">
        <v>682.8</v>
      </c>
      <c r="P971" s="1068">
        <v>2143146</v>
      </c>
      <c r="Q971" s="1068">
        <v>0</v>
      </c>
      <c r="R971" s="1068">
        <v>0</v>
      </c>
      <c r="S971" s="1068">
        <v>847.61</v>
      </c>
      <c r="T971" s="1068">
        <v>4062960</v>
      </c>
      <c r="U971" s="1076">
        <v>0</v>
      </c>
      <c r="V971" s="1076">
        <v>0</v>
      </c>
      <c r="W971" s="1068">
        <v>0</v>
      </c>
      <c r="X971" s="1068">
        <v>0</v>
      </c>
      <c r="Y971" s="1056">
        <v>0</v>
      </c>
      <c r="Z971" s="1068">
        <v>486087</v>
      </c>
      <c r="AA971" s="1068">
        <v>0</v>
      </c>
    </row>
    <row r="972" spans="1:27" s="1087" customFormat="1" ht="103.5" customHeight="1">
      <c r="A972" s="1322">
        <v>448</v>
      </c>
      <c r="B972" s="1055" t="s">
        <v>2063</v>
      </c>
      <c r="C972" s="1068">
        <f t="shared" si="551"/>
        <v>7956256.3100000005</v>
      </c>
      <c r="D972" s="1068">
        <f t="shared" si="552"/>
        <v>0</v>
      </c>
      <c r="E972" s="1056">
        <v>0</v>
      </c>
      <c r="F972" s="1056">
        <v>0</v>
      </c>
      <c r="G972" s="1056">
        <v>0</v>
      </c>
      <c r="H972" s="1056">
        <v>0</v>
      </c>
      <c r="I972" s="1056">
        <v>0</v>
      </c>
      <c r="J972" s="1056">
        <v>0</v>
      </c>
      <c r="K972" s="1063">
        <v>0</v>
      </c>
      <c r="L972" s="1056">
        <v>0</v>
      </c>
      <c r="M972" s="1063">
        <v>0</v>
      </c>
      <c r="N972" s="1056">
        <v>0</v>
      </c>
      <c r="O972" s="1056">
        <v>664</v>
      </c>
      <c r="P972" s="1056">
        <v>2625349.36</v>
      </c>
      <c r="Q972" s="1056">
        <v>0</v>
      </c>
      <c r="R972" s="1056">
        <v>0</v>
      </c>
      <c r="S972" s="1056">
        <v>818.4</v>
      </c>
      <c r="T972" s="1056">
        <v>4753005.6399999997</v>
      </c>
      <c r="U972" s="1056">
        <v>0</v>
      </c>
      <c r="V972" s="1056">
        <v>0</v>
      </c>
      <c r="W972" s="1056">
        <v>0</v>
      </c>
      <c r="X972" s="1056">
        <v>0</v>
      </c>
      <c r="Y972" s="1076">
        <v>0</v>
      </c>
      <c r="Z972" s="1056">
        <v>577901.31000000006</v>
      </c>
      <c r="AA972" s="1056">
        <v>0</v>
      </c>
    </row>
    <row r="973" spans="1:27" s="1087" customFormat="1" ht="108" customHeight="1">
      <c r="A973" s="1322"/>
      <c r="B973" s="1062" t="s">
        <v>1118</v>
      </c>
      <c r="C973" s="1056">
        <f>C974+C975+C976</f>
        <v>7002836.7800000003</v>
      </c>
      <c r="D973" s="1056">
        <f t="shared" ref="D973:AA973" si="553">D974+D975+D976</f>
        <v>1214913.32</v>
      </c>
      <c r="E973" s="1056">
        <f t="shared" si="553"/>
        <v>0</v>
      </c>
      <c r="F973" s="1056">
        <f t="shared" si="553"/>
        <v>1214913.32</v>
      </c>
      <c r="G973" s="1056">
        <f t="shared" si="553"/>
        <v>0</v>
      </c>
      <c r="H973" s="1056">
        <f t="shared" si="553"/>
        <v>0</v>
      </c>
      <c r="I973" s="1056">
        <f t="shared" si="553"/>
        <v>0</v>
      </c>
      <c r="J973" s="1056">
        <f t="shared" si="553"/>
        <v>0</v>
      </c>
      <c r="K973" s="1056">
        <f t="shared" si="553"/>
        <v>0</v>
      </c>
      <c r="L973" s="1056">
        <f t="shared" si="553"/>
        <v>0</v>
      </c>
      <c r="M973" s="1056">
        <f t="shared" si="553"/>
        <v>0</v>
      </c>
      <c r="N973" s="1056">
        <f t="shared" si="553"/>
        <v>0</v>
      </c>
      <c r="O973" s="1056">
        <f t="shared" si="553"/>
        <v>979.64</v>
      </c>
      <c r="P973" s="1056">
        <f t="shared" si="553"/>
        <v>5347062.75</v>
      </c>
      <c r="Q973" s="1056">
        <f t="shared" si="553"/>
        <v>0</v>
      </c>
      <c r="R973" s="1056">
        <f t="shared" si="553"/>
        <v>0</v>
      </c>
      <c r="S973" s="1056">
        <f t="shared" si="553"/>
        <v>0</v>
      </c>
      <c r="T973" s="1056">
        <f t="shared" si="553"/>
        <v>0</v>
      </c>
      <c r="U973" s="1056">
        <f t="shared" si="553"/>
        <v>0</v>
      </c>
      <c r="V973" s="1056">
        <f t="shared" si="553"/>
        <v>0</v>
      </c>
      <c r="W973" s="1056">
        <f t="shared" si="553"/>
        <v>0</v>
      </c>
      <c r="X973" s="1056">
        <f t="shared" si="553"/>
        <v>0</v>
      </c>
      <c r="Y973" s="1056">
        <f t="shared" si="553"/>
        <v>0</v>
      </c>
      <c r="Z973" s="1056">
        <f t="shared" si="553"/>
        <v>440860.71</v>
      </c>
      <c r="AA973" s="1056">
        <f t="shared" si="553"/>
        <v>0</v>
      </c>
    </row>
    <row r="974" spans="1:27" s="1087" customFormat="1" ht="120.75" customHeight="1">
      <c r="A974" s="1322">
        <v>449</v>
      </c>
      <c r="B974" s="1062" t="s">
        <v>1128</v>
      </c>
      <c r="C974" s="1056">
        <f t="shared" ref="C974" si="554">D974+N974+P974+R974+T974+X974+Z974</f>
        <v>3003203.02</v>
      </c>
      <c r="D974" s="1056">
        <f t="shared" ref="D974" si="555">SUM(E974:J974)</f>
        <v>0</v>
      </c>
      <c r="E974" s="1056">
        <v>0</v>
      </c>
      <c r="F974" s="1056">
        <v>0</v>
      </c>
      <c r="G974" s="1056">
        <v>0</v>
      </c>
      <c r="H974" s="1056">
        <v>0</v>
      </c>
      <c r="I974" s="1056">
        <v>0</v>
      </c>
      <c r="J974" s="1056">
        <v>0</v>
      </c>
      <c r="K974" s="1063">
        <v>0</v>
      </c>
      <c r="L974" s="1056">
        <v>0</v>
      </c>
      <c r="M974" s="1063">
        <v>0</v>
      </c>
      <c r="N974" s="1056">
        <v>0</v>
      </c>
      <c r="O974" s="1056">
        <v>629.64</v>
      </c>
      <c r="P974" s="1056">
        <v>2852855.02</v>
      </c>
      <c r="Q974" s="1056">
        <v>0</v>
      </c>
      <c r="R974" s="1056">
        <v>0</v>
      </c>
      <c r="S974" s="1056">
        <v>0</v>
      </c>
      <c r="T974" s="1056">
        <v>0</v>
      </c>
      <c r="U974" s="1056">
        <v>0</v>
      </c>
      <c r="V974" s="1056">
        <v>0</v>
      </c>
      <c r="W974" s="1056">
        <v>0</v>
      </c>
      <c r="X974" s="1056">
        <v>0</v>
      </c>
      <c r="Y974" s="1056">
        <v>0</v>
      </c>
      <c r="Z974" s="1056">
        <v>150348</v>
      </c>
      <c r="AA974" s="1056">
        <v>0</v>
      </c>
    </row>
    <row r="975" spans="1:27" s="1087" customFormat="1" ht="122.25" customHeight="1">
      <c r="A975" s="1322">
        <v>450</v>
      </c>
      <c r="B975" s="1062" t="s">
        <v>1180</v>
      </c>
      <c r="C975" s="1056">
        <f t="shared" ref="C975:C976" si="556">D975+N975+P975+R975+T975+X975+Z975</f>
        <v>2689563.73</v>
      </c>
      <c r="D975" s="1056">
        <f t="shared" ref="D975:D976" si="557">SUM(E975:J975)</f>
        <v>0</v>
      </c>
      <c r="E975" s="1056">
        <v>0</v>
      </c>
      <c r="F975" s="1056">
        <v>0</v>
      </c>
      <c r="G975" s="1056">
        <v>0</v>
      </c>
      <c r="H975" s="1056">
        <v>0</v>
      </c>
      <c r="I975" s="1056">
        <v>0</v>
      </c>
      <c r="J975" s="1056">
        <v>0</v>
      </c>
      <c r="K975" s="1063">
        <v>0</v>
      </c>
      <c r="L975" s="1056">
        <v>0</v>
      </c>
      <c r="M975" s="1063">
        <v>0</v>
      </c>
      <c r="N975" s="1056">
        <v>0</v>
      </c>
      <c r="O975" s="1056">
        <v>350</v>
      </c>
      <c r="P975" s="1056">
        <v>2494207.73</v>
      </c>
      <c r="Q975" s="1056">
        <v>0</v>
      </c>
      <c r="R975" s="1056">
        <v>0</v>
      </c>
      <c r="S975" s="1056">
        <v>0</v>
      </c>
      <c r="T975" s="1056">
        <v>0</v>
      </c>
      <c r="U975" s="1056">
        <v>0</v>
      </c>
      <c r="V975" s="1056">
        <v>0</v>
      </c>
      <c r="W975" s="1056">
        <v>0</v>
      </c>
      <c r="X975" s="1056">
        <v>0</v>
      </c>
      <c r="Y975" s="1056">
        <v>0</v>
      </c>
      <c r="Z975" s="1056">
        <v>195356</v>
      </c>
      <c r="AA975" s="1056"/>
    </row>
    <row r="976" spans="1:27" ht="102" customHeight="1">
      <c r="A976" s="1322">
        <v>451</v>
      </c>
      <c r="B976" s="1062" t="s">
        <v>1480</v>
      </c>
      <c r="C976" s="1056">
        <f t="shared" si="556"/>
        <v>1310070.03</v>
      </c>
      <c r="D976" s="1056">
        <f t="shared" si="557"/>
        <v>1214913.32</v>
      </c>
      <c r="E976" s="1056">
        <v>0</v>
      </c>
      <c r="F976" s="1056">
        <v>1214913.32</v>
      </c>
      <c r="G976" s="1056">
        <v>0</v>
      </c>
      <c r="H976" s="1056">
        <v>0</v>
      </c>
      <c r="I976" s="1056">
        <v>0</v>
      </c>
      <c r="J976" s="1056">
        <v>0</v>
      </c>
      <c r="K976" s="1063">
        <v>0</v>
      </c>
      <c r="L976" s="1056">
        <v>0</v>
      </c>
      <c r="M976" s="1063">
        <v>0</v>
      </c>
      <c r="N976" s="1056">
        <v>0</v>
      </c>
      <c r="O976" s="1056">
        <v>0</v>
      </c>
      <c r="P976" s="1056">
        <v>0</v>
      </c>
      <c r="Q976" s="1056">
        <v>0</v>
      </c>
      <c r="R976" s="1056">
        <v>0</v>
      </c>
      <c r="S976" s="1056">
        <v>0</v>
      </c>
      <c r="T976" s="1056">
        <v>0</v>
      </c>
      <c r="U976" s="1056">
        <v>0</v>
      </c>
      <c r="V976" s="1056">
        <v>0</v>
      </c>
      <c r="W976" s="1056">
        <v>0</v>
      </c>
      <c r="X976" s="1056">
        <v>0</v>
      </c>
      <c r="Y976" s="1056">
        <v>0</v>
      </c>
      <c r="Z976" s="1056">
        <v>95156.71</v>
      </c>
      <c r="AA976" s="1056">
        <v>0</v>
      </c>
    </row>
    <row r="977" spans="1:27" ht="102" customHeight="1">
      <c r="A977" s="1322"/>
      <c r="B977" s="1062" t="s">
        <v>2005</v>
      </c>
      <c r="C977" s="1056">
        <f>C978+C979</f>
        <v>3611200.94</v>
      </c>
      <c r="D977" s="1056">
        <f t="shared" ref="D977:AA977" si="558">D978+D979</f>
        <v>0</v>
      </c>
      <c r="E977" s="1056">
        <f t="shared" si="558"/>
        <v>0</v>
      </c>
      <c r="F977" s="1056">
        <f t="shared" si="558"/>
        <v>0</v>
      </c>
      <c r="G977" s="1056">
        <f t="shared" si="558"/>
        <v>0</v>
      </c>
      <c r="H977" s="1056">
        <f t="shared" si="558"/>
        <v>0</v>
      </c>
      <c r="I977" s="1056">
        <f t="shared" si="558"/>
        <v>0</v>
      </c>
      <c r="J977" s="1056">
        <f t="shared" si="558"/>
        <v>0</v>
      </c>
      <c r="K977" s="1056">
        <f t="shared" si="558"/>
        <v>0</v>
      </c>
      <c r="L977" s="1056">
        <f t="shared" si="558"/>
        <v>0</v>
      </c>
      <c r="M977" s="1056">
        <f t="shared" si="558"/>
        <v>0</v>
      </c>
      <c r="N977" s="1056">
        <f t="shared" si="558"/>
        <v>0</v>
      </c>
      <c r="O977" s="1056">
        <f t="shared" si="558"/>
        <v>847</v>
      </c>
      <c r="P977" s="1056">
        <f t="shared" si="558"/>
        <v>3348901.98</v>
      </c>
      <c r="Q977" s="1056">
        <f t="shared" si="558"/>
        <v>0</v>
      </c>
      <c r="R977" s="1056">
        <f t="shared" si="558"/>
        <v>0</v>
      </c>
      <c r="S977" s="1056">
        <f t="shared" si="558"/>
        <v>0</v>
      </c>
      <c r="T977" s="1056">
        <f t="shared" si="558"/>
        <v>0</v>
      </c>
      <c r="U977" s="1056">
        <f t="shared" si="558"/>
        <v>0</v>
      </c>
      <c r="V977" s="1056">
        <f t="shared" si="558"/>
        <v>0</v>
      </c>
      <c r="W977" s="1056">
        <f t="shared" si="558"/>
        <v>0</v>
      </c>
      <c r="X977" s="1056">
        <f t="shared" si="558"/>
        <v>0</v>
      </c>
      <c r="Y977" s="1056">
        <f t="shared" si="558"/>
        <v>0</v>
      </c>
      <c r="Z977" s="1056">
        <f t="shared" si="558"/>
        <v>262298.96000000002</v>
      </c>
      <c r="AA977" s="1056">
        <f t="shared" si="558"/>
        <v>0</v>
      </c>
    </row>
    <row r="978" spans="1:27" ht="102" customHeight="1">
      <c r="A978" s="1322">
        <v>452</v>
      </c>
      <c r="B978" s="1062" t="s">
        <v>2008</v>
      </c>
      <c r="C978" s="1056">
        <f t="shared" ref="C978:C979" si="559">D978+N978+P978+R978+T978+X978+Z978</f>
        <v>2020908.2</v>
      </c>
      <c r="D978" s="1056">
        <f t="shared" ref="D978:D979" si="560">SUM(E978:J978)</f>
        <v>0</v>
      </c>
      <c r="E978" s="1056">
        <v>0</v>
      </c>
      <c r="F978" s="1056">
        <v>0</v>
      </c>
      <c r="G978" s="1056">
        <v>0</v>
      </c>
      <c r="H978" s="1056">
        <v>0</v>
      </c>
      <c r="I978" s="1056">
        <v>0</v>
      </c>
      <c r="J978" s="1056">
        <v>0</v>
      </c>
      <c r="K978" s="1063">
        <v>0</v>
      </c>
      <c r="L978" s="1056">
        <v>0</v>
      </c>
      <c r="M978" s="1063">
        <v>0</v>
      </c>
      <c r="N978" s="1056">
        <v>0</v>
      </c>
      <c r="O978" s="1056">
        <v>474</v>
      </c>
      <c r="P978" s="1056">
        <v>1874119.88</v>
      </c>
      <c r="Q978" s="1056">
        <v>0</v>
      </c>
      <c r="R978" s="1056">
        <v>0</v>
      </c>
      <c r="S978" s="1056">
        <v>0</v>
      </c>
      <c r="T978" s="1056">
        <v>0</v>
      </c>
      <c r="U978" s="1056">
        <v>0</v>
      </c>
      <c r="V978" s="1056">
        <v>0</v>
      </c>
      <c r="W978" s="1056">
        <v>0</v>
      </c>
      <c r="X978" s="1056">
        <v>0</v>
      </c>
      <c r="Y978" s="1056">
        <v>0</v>
      </c>
      <c r="Z978" s="1056">
        <v>146788.32</v>
      </c>
      <c r="AA978" s="1056">
        <v>0</v>
      </c>
    </row>
    <row r="979" spans="1:27" ht="102" customHeight="1">
      <c r="A979" s="1322">
        <v>453</v>
      </c>
      <c r="B979" s="1062" t="s">
        <v>2009</v>
      </c>
      <c r="C979" s="1056">
        <f t="shared" si="559"/>
        <v>1590292.74</v>
      </c>
      <c r="D979" s="1056">
        <f t="shared" si="560"/>
        <v>0</v>
      </c>
      <c r="E979" s="1056">
        <v>0</v>
      </c>
      <c r="F979" s="1056">
        <v>0</v>
      </c>
      <c r="G979" s="1056">
        <v>0</v>
      </c>
      <c r="H979" s="1056">
        <v>0</v>
      </c>
      <c r="I979" s="1056">
        <v>0</v>
      </c>
      <c r="J979" s="1056">
        <v>0</v>
      </c>
      <c r="K979" s="1063">
        <v>0</v>
      </c>
      <c r="L979" s="1056">
        <v>0</v>
      </c>
      <c r="M979" s="1063">
        <v>0</v>
      </c>
      <c r="N979" s="1056">
        <v>0</v>
      </c>
      <c r="O979" s="1056">
        <v>373</v>
      </c>
      <c r="P979" s="1056">
        <v>1474782.1</v>
      </c>
      <c r="Q979" s="1056">
        <v>0</v>
      </c>
      <c r="R979" s="1056">
        <v>0</v>
      </c>
      <c r="S979" s="1056">
        <v>0</v>
      </c>
      <c r="T979" s="1056">
        <v>0</v>
      </c>
      <c r="U979" s="1056">
        <v>0</v>
      </c>
      <c r="V979" s="1056">
        <v>0</v>
      </c>
      <c r="W979" s="1056">
        <v>0</v>
      </c>
      <c r="X979" s="1056">
        <v>0</v>
      </c>
      <c r="Y979" s="1056">
        <v>0</v>
      </c>
      <c r="Z979" s="1056">
        <v>115510.64</v>
      </c>
      <c r="AA979" s="1056">
        <v>0</v>
      </c>
    </row>
    <row r="980" spans="1:27" ht="102" customHeight="1">
      <c r="A980" s="1322"/>
      <c r="B980" s="1062" t="s">
        <v>1100</v>
      </c>
      <c r="C980" s="1056">
        <f t="shared" ref="C980:T980" si="561">SUM(C981:C985)</f>
        <v>13889826.600000001</v>
      </c>
      <c r="D980" s="1056">
        <f t="shared" si="561"/>
        <v>0</v>
      </c>
      <c r="E980" s="1056">
        <f t="shared" si="561"/>
        <v>0</v>
      </c>
      <c r="F980" s="1056">
        <f t="shared" si="561"/>
        <v>0</v>
      </c>
      <c r="G980" s="1056">
        <f t="shared" si="561"/>
        <v>0</v>
      </c>
      <c r="H980" s="1056">
        <f t="shared" si="561"/>
        <v>0</v>
      </c>
      <c r="I980" s="1056">
        <f t="shared" si="561"/>
        <v>0</v>
      </c>
      <c r="J980" s="1056">
        <f t="shared" si="561"/>
        <v>0</v>
      </c>
      <c r="K980" s="1063">
        <f t="shared" si="561"/>
        <v>0</v>
      </c>
      <c r="L980" s="1056">
        <f t="shared" si="561"/>
        <v>0</v>
      </c>
      <c r="M980" s="1063">
        <f t="shared" si="561"/>
        <v>0</v>
      </c>
      <c r="N980" s="1056">
        <f t="shared" si="561"/>
        <v>0</v>
      </c>
      <c r="O980" s="1056">
        <f t="shared" si="561"/>
        <v>2842.44</v>
      </c>
      <c r="P980" s="1056">
        <f t="shared" si="561"/>
        <v>13157945.100000001</v>
      </c>
      <c r="Q980" s="1056">
        <f t="shared" si="561"/>
        <v>0</v>
      </c>
      <c r="R980" s="1056">
        <f t="shared" si="561"/>
        <v>0</v>
      </c>
      <c r="S980" s="1056">
        <f t="shared" si="561"/>
        <v>0</v>
      </c>
      <c r="T980" s="1056">
        <f t="shared" si="561"/>
        <v>0</v>
      </c>
      <c r="U980" s="1056">
        <v>0</v>
      </c>
      <c r="V980" s="1056">
        <v>0</v>
      </c>
      <c r="W980" s="1056">
        <f>SUM(W981:W985)</f>
        <v>0</v>
      </c>
      <c r="X980" s="1056">
        <f>SUM(X981:X985)</f>
        <v>0</v>
      </c>
      <c r="Y980" s="1056">
        <v>0</v>
      </c>
      <c r="Z980" s="1056">
        <f>SUM(Z981:Z985)</f>
        <v>731881.5</v>
      </c>
      <c r="AA980" s="1056">
        <f>SUM(AA981:AA985)</f>
        <v>0</v>
      </c>
    </row>
    <row r="981" spans="1:27" ht="108" customHeight="1">
      <c r="A981" s="1322">
        <v>454</v>
      </c>
      <c r="B981" s="1062" t="s">
        <v>1214</v>
      </c>
      <c r="C981" s="1056">
        <f>P981+Z981</f>
        <v>2790331.41</v>
      </c>
      <c r="D981" s="1056">
        <v>0</v>
      </c>
      <c r="E981" s="1056">
        <v>0</v>
      </c>
      <c r="F981" s="1056">
        <v>0</v>
      </c>
      <c r="G981" s="1056">
        <v>0</v>
      </c>
      <c r="H981" s="1056">
        <v>0</v>
      </c>
      <c r="I981" s="1056">
        <v>0</v>
      </c>
      <c r="J981" s="1056">
        <v>0</v>
      </c>
      <c r="K981" s="1063">
        <v>0</v>
      </c>
      <c r="L981" s="1056">
        <v>0</v>
      </c>
      <c r="M981" s="1063">
        <v>0</v>
      </c>
      <c r="N981" s="1056">
        <v>0</v>
      </c>
      <c r="O981" s="1056">
        <v>811.74</v>
      </c>
      <c r="P981" s="1056">
        <v>2587656.17</v>
      </c>
      <c r="Q981" s="1056">
        <v>0</v>
      </c>
      <c r="R981" s="1056">
        <v>0</v>
      </c>
      <c r="S981" s="1056">
        <v>0</v>
      </c>
      <c r="T981" s="1056">
        <v>0</v>
      </c>
      <c r="U981" s="1056">
        <v>0</v>
      </c>
      <c r="V981" s="1056">
        <v>0</v>
      </c>
      <c r="W981" s="1056">
        <v>0</v>
      </c>
      <c r="X981" s="1056">
        <v>0</v>
      </c>
      <c r="Y981" s="1056">
        <v>0</v>
      </c>
      <c r="Z981" s="1056">
        <v>202675.24</v>
      </c>
      <c r="AA981" s="1056">
        <v>0</v>
      </c>
    </row>
    <row r="982" spans="1:27" ht="133.5" customHeight="1">
      <c r="A982" s="1322">
        <v>455</v>
      </c>
      <c r="B982" s="1062" t="s">
        <v>1213</v>
      </c>
      <c r="C982" s="1056">
        <f t="shared" ref="C982:C985" si="562">P982+Z982+D982</f>
        <v>1405237.49</v>
      </c>
      <c r="D982" s="1056">
        <v>0</v>
      </c>
      <c r="E982" s="1056">
        <v>0</v>
      </c>
      <c r="F982" s="1056">
        <v>0</v>
      </c>
      <c r="G982" s="1056">
        <v>0</v>
      </c>
      <c r="H982" s="1056">
        <v>0</v>
      </c>
      <c r="I982" s="1056">
        <v>0</v>
      </c>
      <c r="J982" s="1056">
        <v>0</v>
      </c>
      <c r="K982" s="1063">
        <v>0</v>
      </c>
      <c r="L982" s="1056">
        <v>0</v>
      </c>
      <c r="M982" s="1063">
        <v>0</v>
      </c>
      <c r="N982" s="1056">
        <v>0</v>
      </c>
      <c r="O982" s="1056">
        <v>408.8</v>
      </c>
      <c r="P982" s="1056">
        <v>1303168.31</v>
      </c>
      <c r="Q982" s="1056">
        <v>0</v>
      </c>
      <c r="R982" s="1056">
        <v>0</v>
      </c>
      <c r="S982" s="1056">
        <v>0</v>
      </c>
      <c r="T982" s="1056">
        <v>0</v>
      </c>
      <c r="U982" s="1056">
        <v>0</v>
      </c>
      <c r="V982" s="1056">
        <v>0</v>
      </c>
      <c r="W982" s="1056">
        <v>0</v>
      </c>
      <c r="X982" s="1056">
        <v>0</v>
      </c>
      <c r="Y982" s="1056">
        <v>0</v>
      </c>
      <c r="Z982" s="1056">
        <v>102069.18</v>
      </c>
      <c r="AA982" s="1056">
        <v>0</v>
      </c>
    </row>
    <row r="983" spans="1:27" ht="110.45" customHeight="1">
      <c r="A983" s="1322">
        <v>456</v>
      </c>
      <c r="B983" s="1062" t="s">
        <v>1212</v>
      </c>
      <c r="C983" s="1056">
        <f t="shared" si="562"/>
        <v>4931773.08</v>
      </c>
      <c r="D983" s="1056">
        <v>0</v>
      </c>
      <c r="E983" s="1056">
        <v>0</v>
      </c>
      <c r="F983" s="1056">
        <v>0</v>
      </c>
      <c r="G983" s="1056">
        <v>0</v>
      </c>
      <c r="H983" s="1056">
        <v>0</v>
      </c>
      <c r="I983" s="1056">
        <v>0</v>
      </c>
      <c r="J983" s="1056">
        <v>0</v>
      </c>
      <c r="K983" s="1063">
        <v>0</v>
      </c>
      <c r="L983" s="1056">
        <v>0</v>
      </c>
      <c r="M983" s="1063">
        <v>0</v>
      </c>
      <c r="N983" s="1056">
        <v>0</v>
      </c>
      <c r="O983" s="1056">
        <v>697</v>
      </c>
      <c r="P983" s="1056">
        <v>4726409</v>
      </c>
      <c r="Q983" s="1056">
        <v>0</v>
      </c>
      <c r="R983" s="1056">
        <v>0</v>
      </c>
      <c r="S983" s="1056">
        <v>0</v>
      </c>
      <c r="T983" s="1056">
        <v>0</v>
      </c>
      <c r="U983" s="1056">
        <v>0</v>
      </c>
      <c r="V983" s="1056">
        <v>0</v>
      </c>
      <c r="W983" s="1056">
        <v>0</v>
      </c>
      <c r="X983" s="1056">
        <v>0</v>
      </c>
      <c r="Y983" s="1056">
        <v>0</v>
      </c>
      <c r="Z983" s="1056">
        <v>205364.08</v>
      </c>
      <c r="AA983" s="1056">
        <v>0</v>
      </c>
    </row>
    <row r="984" spans="1:27" ht="141" customHeight="1">
      <c r="A984" s="1322">
        <v>457</v>
      </c>
      <c r="B984" s="1062" t="s">
        <v>1701</v>
      </c>
      <c r="C984" s="1056">
        <f t="shared" si="562"/>
        <v>3323689.62</v>
      </c>
      <c r="D984" s="1056">
        <v>0</v>
      </c>
      <c r="E984" s="1056">
        <v>0</v>
      </c>
      <c r="F984" s="1056">
        <v>0</v>
      </c>
      <c r="G984" s="1056">
        <v>0</v>
      </c>
      <c r="H984" s="1056">
        <v>0</v>
      </c>
      <c r="I984" s="1056">
        <v>0</v>
      </c>
      <c r="J984" s="1056">
        <v>0</v>
      </c>
      <c r="K984" s="1063">
        <v>0</v>
      </c>
      <c r="L984" s="1056">
        <v>0</v>
      </c>
      <c r="M984" s="1063">
        <v>0</v>
      </c>
      <c r="N984" s="1056">
        <v>0</v>
      </c>
      <c r="O984" s="1056">
        <v>499.8</v>
      </c>
      <c r="P984" s="1056">
        <v>3206423.62</v>
      </c>
      <c r="Q984" s="1056">
        <v>0</v>
      </c>
      <c r="R984" s="1056">
        <v>0</v>
      </c>
      <c r="S984" s="1056">
        <v>0</v>
      </c>
      <c r="T984" s="1056">
        <v>0</v>
      </c>
      <c r="U984" s="1056">
        <v>0</v>
      </c>
      <c r="V984" s="1056">
        <v>0</v>
      </c>
      <c r="W984" s="1056">
        <v>0</v>
      </c>
      <c r="X984" s="1056">
        <v>0</v>
      </c>
      <c r="Y984" s="1056">
        <v>0</v>
      </c>
      <c r="Z984" s="1056">
        <v>117266</v>
      </c>
      <c r="AA984" s="1056">
        <v>0</v>
      </c>
    </row>
    <row r="985" spans="1:27" ht="127.15" customHeight="1">
      <c r="A985" s="1322">
        <v>458</v>
      </c>
      <c r="B985" s="1062" t="s">
        <v>1205</v>
      </c>
      <c r="C985" s="1056">
        <f t="shared" si="562"/>
        <v>1438795</v>
      </c>
      <c r="D985" s="1056">
        <v>0</v>
      </c>
      <c r="E985" s="1056">
        <v>0</v>
      </c>
      <c r="F985" s="1056">
        <v>0</v>
      </c>
      <c r="G985" s="1056">
        <v>0</v>
      </c>
      <c r="H985" s="1056">
        <v>0</v>
      </c>
      <c r="I985" s="1056">
        <v>0</v>
      </c>
      <c r="J985" s="1056">
        <v>0</v>
      </c>
      <c r="K985" s="1063">
        <v>0</v>
      </c>
      <c r="L985" s="1056">
        <v>0</v>
      </c>
      <c r="M985" s="1063">
        <v>0</v>
      </c>
      <c r="N985" s="1056">
        <v>0</v>
      </c>
      <c r="O985" s="1056">
        <v>425.1</v>
      </c>
      <c r="P985" s="1056">
        <v>1334288</v>
      </c>
      <c r="Q985" s="1056">
        <v>0</v>
      </c>
      <c r="R985" s="1056">
        <v>0</v>
      </c>
      <c r="S985" s="1056">
        <v>0</v>
      </c>
      <c r="T985" s="1056">
        <v>0</v>
      </c>
      <c r="U985" s="1056">
        <v>0</v>
      </c>
      <c r="V985" s="1056">
        <v>0</v>
      </c>
      <c r="W985" s="1056">
        <v>0</v>
      </c>
      <c r="X985" s="1056">
        <v>0</v>
      </c>
      <c r="Y985" s="1056">
        <v>0</v>
      </c>
      <c r="Z985" s="1056">
        <v>104507</v>
      </c>
      <c r="AA985" s="1056">
        <v>0</v>
      </c>
    </row>
    <row r="986" spans="1:27" ht="127.15" customHeight="1">
      <c r="A986" s="1322"/>
      <c r="B986" s="1062" t="s">
        <v>1117</v>
      </c>
      <c r="C986" s="1056">
        <f>C987+C988</f>
        <v>4106879</v>
      </c>
      <c r="D986" s="1056">
        <f t="shared" ref="D986:AA986" si="563">D987+D988</f>
        <v>2266580</v>
      </c>
      <c r="E986" s="1056">
        <f t="shared" si="563"/>
        <v>0</v>
      </c>
      <c r="F986" s="1056">
        <f t="shared" si="563"/>
        <v>2266580</v>
      </c>
      <c r="G986" s="1056">
        <f t="shared" si="563"/>
        <v>0</v>
      </c>
      <c r="H986" s="1056">
        <f t="shared" si="563"/>
        <v>0</v>
      </c>
      <c r="I986" s="1056">
        <f t="shared" si="563"/>
        <v>0</v>
      </c>
      <c r="J986" s="1056">
        <f t="shared" si="563"/>
        <v>0</v>
      </c>
      <c r="K986" s="1056">
        <f t="shared" si="563"/>
        <v>0</v>
      </c>
      <c r="L986" s="1056">
        <f t="shared" si="563"/>
        <v>0</v>
      </c>
      <c r="M986" s="1056">
        <f t="shared" si="563"/>
        <v>0</v>
      </c>
      <c r="N986" s="1056">
        <f t="shared" si="563"/>
        <v>0</v>
      </c>
      <c r="O986" s="1056">
        <f t="shared" si="563"/>
        <v>390</v>
      </c>
      <c r="P986" s="1056">
        <f t="shared" si="563"/>
        <v>1541997</v>
      </c>
      <c r="Q986" s="1056">
        <f t="shared" si="563"/>
        <v>0</v>
      </c>
      <c r="R986" s="1056">
        <f t="shared" si="563"/>
        <v>0</v>
      </c>
      <c r="S986" s="1056">
        <f t="shared" si="563"/>
        <v>0</v>
      </c>
      <c r="T986" s="1056">
        <f t="shared" si="563"/>
        <v>0</v>
      </c>
      <c r="U986" s="1056">
        <f t="shared" si="563"/>
        <v>0</v>
      </c>
      <c r="V986" s="1056">
        <f t="shared" si="563"/>
        <v>0</v>
      </c>
      <c r="W986" s="1056">
        <f t="shared" si="563"/>
        <v>0</v>
      </c>
      <c r="X986" s="1056">
        <f t="shared" si="563"/>
        <v>0</v>
      </c>
      <c r="Y986" s="1056">
        <f t="shared" si="563"/>
        <v>0</v>
      </c>
      <c r="Z986" s="1056">
        <f t="shared" si="563"/>
        <v>298302</v>
      </c>
      <c r="AA986" s="1056">
        <f t="shared" si="563"/>
        <v>0</v>
      </c>
    </row>
    <row r="987" spans="1:27" ht="135" customHeight="1">
      <c r="A987" s="1322">
        <v>459</v>
      </c>
      <c r="B987" s="1062" t="s">
        <v>1363</v>
      </c>
      <c r="C987" s="1056">
        <f>P987+Z987+D987</f>
        <v>1662772</v>
      </c>
      <c r="D987" s="1056">
        <f t="shared" ref="D987" si="564">SUM(E987:J987)</f>
        <v>0</v>
      </c>
      <c r="E987" s="1056">
        <v>0</v>
      </c>
      <c r="F987" s="1056">
        <v>0</v>
      </c>
      <c r="G987" s="1056">
        <v>0</v>
      </c>
      <c r="H987" s="1056">
        <v>0</v>
      </c>
      <c r="I987" s="1056">
        <v>0</v>
      </c>
      <c r="J987" s="1056">
        <v>0</v>
      </c>
      <c r="K987" s="1063">
        <v>0</v>
      </c>
      <c r="L987" s="1056">
        <v>0</v>
      </c>
      <c r="M987" s="1063">
        <v>0</v>
      </c>
      <c r="N987" s="1056">
        <v>0</v>
      </c>
      <c r="O987" s="1056">
        <v>390</v>
      </c>
      <c r="P987" s="1056">
        <v>1541997</v>
      </c>
      <c r="Q987" s="1070">
        <v>0</v>
      </c>
      <c r="R987" s="1056">
        <v>0</v>
      </c>
      <c r="S987" s="1056">
        <v>0</v>
      </c>
      <c r="T987" s="1056">
        <v>0</v>
      </c>
      <c r="U987" s="1056">
        <v>0</v>
      </c>
      <c r="V987" s="1056">
        <v>0</v>
      </c>
      <c r="W987" s="1070">
        <v>0</v>
      </c>
      <c r="X987" s="1056">
        <v>0</v>
      </c>
      <c r="Y987" s="1056">
        <v>0</v>
      </c>
      <c r="Z987" s="1056">
        <v>120775</v>
      </c>
      <c r="AA987" s="1056">
        <v>0</v>
      </c>
    </row>
    <row r="988" spans="1:27" ht="69" customHeight="1">
      <c r="A988" s="1322">
        <v>460</v>
      </c>
      <c r="B988" s="1062" t="s">
        <v>1329</v>
      </c>
      <c r="C988" s="1056">
        <f>P988+Z988+D988</f>
        <v>2444107</v>
      </c>
      <c r="D988" s="1056">
        <f t="shared" ref="D988" si="565">SUM(E988:J988)</f>
        <v>2266580</v>
      </c>
      <c r="E988" s="1056">
        <v>0</v>
      </c>
      <c r="F988" s="1056">
        <v>2266580</v>
      </c>
      <c r="G988" s="1056">
        <v>0</v>
      </c>
      <c r="H988" s="1056">
        <v>0</v>
      </c>
      <c r="I988" s="1056">
        <v>0</v>
      </c>
      <c r="J988" s="1056">
        <v>0</v>
      </c>
      <c r="K988" s="1063">
        <v>0</v>
      </c>
      <c r="L988" s="1056">
        <v>0</v>
      </c>
      <c r="M988" s="1063">
        <v>0</v>
      </c>
      <c r="N988" s="1056">
        <v>0</v>
      </c>
      <c r="O988" s="1056">
        <v>0</v>
      </c>
      <c r="P988" s="1056">
        <v>0</v>
      </c>
      <c r="Q988" s="1070">
        <v>0</v>
      </c>
      <c r="R988" s="1056">
        <v>0</v>
      </c>
      <c r="S988" s="1056">
        <v>0</v>
      </c>
      <c r="T988" s="1056">
        <v>0</v>
      </c>
      <c r="U988" s="1056">
        <v>0</v>
      </c>
      <c r="V988" s="1056">
        <v>0</v>
      </c>
      <c r="W988" s="1070">
        <v>0</v>
      </c>
      <c r="X988" s="1056">
        <v>0</v>
      </c>
      <c r="Y988" s="1056">
        <v>0</v>
      </c>
      <c r="Z988" s="1056">
        <v>177527</v>
      </c>
      <c r="AA988" s="1056">
        <v>0</v>
      </c>
    </row>
    <row r="989" spans="1:27" ht="106.5" customHeight="1">
      <c r="A989" s="1322"/>
      <c r="B989" s="1062" t="s">
        <v>1239</v>
      </c>
      <c r="C989" s="1056">
        <f>C990+C991</f>
        <v>4992786.540000001</v>
      </c>
      <c r="D989" s="1056">
        <f t="shared" ref="D989:AA989" si="566">D990+D991</f>
        <v>0</v>
      </c>
      <c r="E989" s="1056">
        <f t="shared" si="566"/>
        <v>0</v>
      </c>
      <c r="F989" s="1056">
        <f t="shared" si="566"/>
        <v>0</v>
      </c>
      <c r="G989" s="1056">
        <f t="shared" si="566"/>
        <v>0</v>
      </c>
      <c r="H989" s="1056">
        <f t="shared" si="566"/>
        <v>0</v>
      </c>
      <c r="I989" s="1056">
        <f t="shared" si="566"/>
        <v>0</v>
      </c>
      <c r="J989" s="1056">
        <f t="shared" si="566"/>
        <v>0</v>
      </c>
      <c r="K989" s="1056">
        <f t="shared" si="566"/>
        <v>0</v>
      </c>
      <c r="L989" s="1056">
        <f t="shared" si="566"/>
        <v>0</v>
      </c>
      <c r="M989" s="1056">
        <f t="shared" si="566"/>
        <v>0</v>
      </c>
      <c r="N989" s="1056">
        <f t="shared" si="566"/>
        <v>0</v>
      </c>
      <c r="O989" s="1056">
        <f t="shared" si="566"/>
        <v>945.52</v>
      </c>
      <c r="P989" s="1056">
        <f t="shared" si="566"/>
        <v>4630136.34</v>
      </c>
      <c r="Q989" s="1056">
        <f t="shared" si="566"/>
        <v>0</v>
      </c>
      <c r="R989" s="1056">
        <f t="shared" si="566"/>
        <v>0</v>
      </c>
      <c r="S989" s="1056">
        <f t="shared" si="566"/>
        <v>0</v>
      </c>
      <c r="T989" s="1056">
        <f t="shared" si="566"/>
        <v>0</v>
      </c>
      <c r="U989" s="1056">
        <f t="shared" si="566"/>
        <v>0</v>
      </c>
      <c r="V989" s="1056">
        <f t="shared" si="566"/>
        <v>0</v>
      </c>
      <c r="W989" s="1056">
        <f t="shared" si="566"/>
        <v>0</v>
      </c>
      <c r="X989" s="1056">
        <f t="shared" si="566"/>
        <v>0</v>
      </c>
      <c r="Y989" s="1056">
        <f t="shared" si="566"/>
        <v>0</v>
      </c>
      <c r="Z989" s="1056">
        <f t="shared" si="566"/>
        <v>362650.2</v>
      </c>
      <c r="AA989" s="1056">
        <f t="shared" si="566"/>
        <v>0</v>
      </c>
    </row>
    <row r="990" spans="1:27" ht="103.5" customHeight="1">
      <c r="A990" s="1322">
        <v>461</v>
      </c>
      <c r="B990" s="1062" t="s">
        <v>1129</v>
      </c>
      <c r="C990" s="1056">
        <f t="shared" ref="C990" si="567">D990+N990+P990+R990+T990+X990+Z990</f>
        <v>2881052.5300000003</v>
      </c>
      <c r="D990" s="1056">
        <f t="shared" ref="D990" si="568">SUM(E990:J990)</f>
        <v>0</v>
      </c>
      <c r="E990" s="1056">
        <v>0</v>
      </c>
      <c r="F990" s="1056">
        <v>0</v>
      </c>
      <c r="G990" s="1056">
        <v>0</v>
      </c>
      <c r="H990" s="1056">
        <v>0</v>
      </c>
      <c r="I990" s="1056">
        <v>0</v>
      </c>
      <c r="J990" s="1056">
        <v>0</v>
      </c>
      <c r="K990" s="1056">
        <v>0</v>
      </c>
      <c r="L990" s="1056">
        <v>0</v>
      </c>
      <c r="M990" s="1056">
        <v>0</v>
      </c>
      <c r="N990" s="1056">
        <v>0</v>
      </c>
      <c r="O990" s="1056">
        <v>361.15</v>
      </c>
      <c r="P990" s="1056">
        <v>2671787.77</v>
      </c>
      <c r="Q990" s="1056">
        <v>0</v>
      </c>
      <c r="R990" s="1056">
        <v>0</v>
      </c>
      <c r="S990" s="1056">
        <v>0</v>
      </c>
      <c r="T990" s="1056">
        <v>0</v>
      </c>
      <c r="U990" s="1056">
        <v>0</v>
      </c>
      <c r="V990" s="1056">
        <v>0</v>
      </c>
      <c r="W990" s="1056">
        <v>0</v>
      </c>
      <c r="X990" s="1056">
        <v>0</v>
      </c>
      <c r="Y990" s="1056">
        <v>0</v>
      </c>
      <c r="Z990" s="1056">
        <v>209264.76</v>
      </c>
      <c r="AA990" s="1056">
        <v>0</v>
      </c>
    </row>
    <row r="991" spans="1:27" ht="109.5" customHeight="1">
      <c r="A991" s="1322">
        <v>462</v>
      </c>
      <c r="B991" s="1062" t="s">
        <v>1211</v>
      </c>
      <c r="C991" s="1056">
        <f t="shared" ref="C991" si="569">D991+N991+P991+R991+T991+X991+Z991</f>
        <v>2111734.0100000002</v>
      </c>
      <c r="D991" s="1056">
        <f t="shared" ref="D991" si="570">SUM(E991:J991)</f>
        <v>0</v>
      </c>
      <c r="E991" s="1056">
        <v>0</v>
      </c>
      <c r="F991" s="1056">
        <v>0</v>
      </c>
      <c r="G991" s="1056">
        <v>0</v>
      </c>
      <c r="H991" s="1056">
        <v>0</v>
      </c>
      <c r="I991" s="1056">
        <v>0</v>
      </c>
      <c r="J991" s="1056">
        <v>0</v>
      </c>
      <c r="K991" s="1063">
        <v>0</v>
      </c>
      <c r="L991" s="1056">
        <v>0</v>
      </c>
      <c r="M991" s="1063">
        <v>0</v>
      </c>
      <c r="N991" s="1056">
        <v>0</v>
      </c>
      <c r="O991" s="1056">
        <v>584.37</v>
      </c>
      <c r="P991" s="1056">
        <v>1958348.57</v>
      </c>
      <c r="Q991" s="1056">
        <v>0</v>
      </c>
      <c r="R991" s="1056">
        <v>0</v>
      </c>
      <c r="S991" s="1056">
        <v>0</v>
      </c>
      <c r="T991" s="1056">
        <v>0</v>
      </c>
      <c r="U991" s="1056">
        <v>0</v>
      </c>
      <c r="V991" s="1056">
        <v>0</v>
      </c>
      <c r="W991" s="1056">
        <v>0</v>
      </c>
      <c r="X991" s="1056">
        <v>0</v>
      </c>
      <c r="Y991" s="1056">
        <v>0</v>
      </c>
      <c r="Z991" s="1056">
        <v>153385.44</v>
      </c>
      <c r="AA991" s="1056">
        <v>0</v>
      </c>
    </row>
    <row r="992" spans="1:27" s="1126" customFormat="1" ht="103.5" customHeight="1">
      <c r="A992" s="1322"/>
      <c r="B992" s="1062" t="s">
        <v>1245</v>
      </c>
      <c r="C992" s="1056">
        <f>SUM(C993:C1005)</f>
        <v>35375596.030000001</v>
      </c>
      <c r="D992" s="1056">
        <f t="shared" ref="D992:AA992" si="571">SUM(D993:D1005)</f>
        <v>944906</v>
      </c>
      <c r="E992" s="1056">
        <f t="shared" si="571"/>
        <v>0</v>
      </c>
      <c r="F992" s="1056">
        <f t="shared" si="571"/>
        <v>0</v>
      </c>
      <c r="G992" s="1056">
        <f t="shared" si="571"/>
        <v>0</v>
      </c>
      <c r="H992" s="1056">
        <f t="shared" si="571"/>
        <v>0</v>
      </c>
      <c r="I992" s="1056">
        <f t="shared" si="571"/>
        <v>0</v>
      </c>
      <c r="J992" s="1056">
        <f t="shared" si="571"/>
        <v>944906</v>
      </c>
      <c r="K992" s="1056">
        <f t="shared" si="571"/>
        <v>0</v>
      </c>
      <c r="L992" s="1056">
        <f t="shared" si="571"/>
        <v>0</v>
      </c>
      <c r="M992" s="1056">
        <f t="shared" si="571"/>
        <v>0</v>
      </c>
      <c r="N992" s="1056">
        <f t="shared" si="571"/>
        <v>0</v>
      </c>
      <c r="O992" s="1056">
        <f t="shared" si="571"/>
        <v>5098.9799999999996</v>
      </c>
      <c r="P992" s="1056">
        <f t="shared" si="571"/>
        <v>21074787.82</v>
      </c>
      <c r="Q992" s="1056">
        <f t="shared" si="571"/>
        <v>893.4</v>
      </c>
      <c r="R992" s="1056">
        <f t="shared" si="571"/>
        <v>1207262</v>
      </c>
      <c r="S992" s="1056">
        <f t="shared" si="571"/>
        <v>2300</v>
      </c>
      <c r="T992" s="1056">
        <f t="shared" si="571"/>
        <v>9714751.3399999999</v>
      </c>
      <c r="U992" s="1056">
        <f t="shared" si="571"/>
        <v>0</v>
      </c>
      <c r="V992" s="1056">
        <f t="shared" si="571"/>
        <v>0</v>
      </c>
      <c r="W992" s="1056">
        <f t="shared" si="571"/>
        <v>0</v>
      </c>
      <c r="X992" s="1056">
        <f t="shared" si="571"/>
        <v>0</v>
      </c>
      <c r="Y992" s="1056">
        <f t="shared" si="571"/>
        <v>0</v>
      </c>
      <c r="Z992" s="1056">
        <f t="shared" si="571"/>
        <v>2433888.87</v>
      </c>
      <c r="AA992" s="1056">
        <f t="shared" si="571"/>
        <v>0</v>
      </c>
    </row>
    <row r="993" spans="1:27" ht="89.25" customHeight="1">
      <c r="A993" s="1322">
        <v>463</v>
      </c>
      <c r="B993" s="1062" t="s">
        <v>1322</v>
      </c>
      <c r="C993" s="1056">
        <f t="shared" ref="C993" si="572">D993+N993+P993+R993+T993+X993+Z993</f>
        <v>3257328.82</v>
      </c>
      <c r="D993" s="1056">
        <f t="shared" ref="D993" si="573">SUM(E993:J993)</f>
        <v>0</v>
      </c>
      <c r="E993" s="1056">
        <v>0</v>
      </c>
      <c r="F993" s="1056">
        <v>0</v>
      </c>
      <c r="G993" s="1056">
        <v>0</v>
      </c>
      <c r="H993" s="1056">
        <v>0</v>
      </c>
      <c r="I993" s="1056">
        <v>0</v>
      </c>
      <c r="J993" s="1056">
        <v>0</v>
      </c>
      <c r="K993" s="1056">
        <v>0</v>
      </c>
      <c r="L993" s="1056">
        <v>0</v>
      </c>
      <c r="M993" s="1056">
        <v>0</v>
      </c>
      <c r="N993" s="1056">
        <v>0</v>
      </c>
      <c r="O993" s="1056">
        <v>764</v>
      </c>
      <c r="P993" s="1056">
        <v>3020733.3</v>
      </c>
      <c r="Q993" s="1056">
        <v>0</v>
      </c>
      <c r="R993" s="1056">
        <v>0</v>
      </c>
      <c r="S993" s="1056">
        <v>0</v>
      </c>
      <c r="T993" s="1056">
        <v>0</v>
      </c>
      <c r="U993" s="1056">
        <v>0</v>
      </c>
      <c r="V993" s="1056">
        <v>0</v>
      </c>
      <c r="W993" s="1056">
        <v>0</v>
      </c>
      <c r="X993" s="1056">
        <v>0</v>
      </c>
      <c r="Y993" s="1056">
        <v>0</v>
      </c>
      <c r="Z993" s="1056">
        <v>236595.52</v>
      </c>
      <c r="AA993" s="1056">
        <v>0</v>
      </c>
    </row>
    <row r="994" spans="1:27" ht="103.5" customHeight="1">
      <c r="A994" s="1322">
        <v>464</v>
      </c>
      <c r="B994" s="1062" t="s">
        <v>1323</v>
      </c>
      <c r="C994" s="1056">
        <f t="shared" ref="C994:C998" si="574">D994+N994+P994+R994+T994+X994+Z994</f>
        <v>1206575.99</v>
      </c>
      <c r="D994" s="1056">
        <f t="shared" ref="D994:D998" si="575">SUM(E994:J994)</f>
        <v>0</v>
      </c>
      <c r="E994" s="1056">
        <v>0</v>
      </c>
      <c r="F994" s="1056">
        <v>0</v>
      </c>
      <c r="G994" s="1056">
        <v>0</v>
      </c>
      <c r="H994" s="1056">
        <v>0</v>
      </c>
      <c r="I994" s="1056">
        <v>0</v>
      </c>
      <c r="J994" s="1056">
        <v>0</v>
      </c>
      <c r="K994" s="1056">
        <v>0</v>
      </c>
      <c r="L994" s="1056">
        <v>0</v>
      </c>
      <c r="M994" s="1056">
        <v>0</v>
      </c>
      <c r="N994" s="1056">
        <v>0</v>
      </c>
      <c r="O994" s="1056">
        <v>283</v>
      </c>
      <c r="P994" s="1056">
        <v>1118936.55</v>
      </c>
      <c r="Q994" s="1056">
        <v>0</v>
      </c>
      <c r="R994" s="1056">
        <v>0</v>
      </c>
      <c r="S994" s="1056">
        <v>0</v>
      </c>
      <c r="T994" s="1056">
        <v>0</v>
      </c>
      <c r="U994" s="1056">
        <v>0</v>
      </c>
      <c r="V994" s="1056">
        <v>0</v>
      </c>
      <c r="W994" s="1056">
        <v>0</v>
      </c>
      <c r="X994" s="1056">
        <v>0</v>
      </c>
      <c r="Y994" s="1056">
        <v>0</v>
      </c>
      <c r="Z994" s="1056">
        <v>87639.44</v>
      </c>
      <c r="AA994" s="1056">
        <v>0</v>
      </c>
    </row>
    <row r="995" spans="1:27" ht="89.25" customHeight="1">
      <c r="A995" s="1322">
        <v>465</v>
      </c>
      <c r="B995" s="1062" t="s">
        <v>1322</v>
      </c>
      <c r="C995" s="1056">
        <f t="shared" si="574"/>
        <v>2226132.06</v>
      </c>
      <c r="D995" s="1056">
        <f t="shared" si="575"/>
        <v>0</v>
      </c>
      <c r="E995" s="1056">
        <v>0</v>
      </c>
      <c r="F995" s="1056">
        <v>0</v>
      </c>
      <c r="G995" s="1056">
        <v>0</v>
      </c>
      <c r="H995" s="1056">
        <v>0</v>
      </c>
      <c r="I995" s="1056">
        <v>0</v>
      </c>
      <c r="J995" s="1056">
        <v>0</v>
      </c>
      <c r="K995" s="1056">
        <v>0</v>
      </c>
      <c r="L995" s="1056">
        <v>0</v>
      </c>
      <c r="M995" s="1056">
        <v>0</v>
      </c>
      <c r="N995" s="1056">
        <v>0</v>
      </c>
      <c r="O995" s="1056">
        <v>0</v>
      </c>
      <c r="P995" s="1056">
        <v>0</v>
      </c>
      <c r="Q995" s="1056">
        <v>0</v>
      </c>
      <c r="R995" s="1056">
        <v>0</v>
      </c>
      <c r="S995" s="1056">
        <v>704</v>
      </c>
      <c r="T995" s="1056">
        <v>2064437.34</v>
      </c>
      <c r="U995" s="1056">
        <v>0</v>
      </c>
      <c r="V995" s="1056">
        <v>0</v>
      </c>
      <c r="W995" s="1056">
        <v>0</v>
      </c>
      <c r="X995" s="1056">
        <v>0</v>
      </c>
      <c r="Y995" s="1056">
        <v>0</v>
      </c>
      <c r="Z995" s="1056">
        <v>161694.72</v>
      </c>
      <c r="AA995" s="1056">
        <v>0</v>
      </c>
    </row>
    <row r="996" spans="1:27" ht="112.5" customHeight="1">
      <c r="A996" s="1322">
        <v>466</v>
      </c>
      <c r="B996" s="1062" t="s">
        <v>1511</v>
      </c>
      <c r="C996" s="1056">
        <f t="shared" si="574"/>
        <v>2520600.35</v>
      </c>
      <c r="D996" s="1056">
        <f t="shared" si="575"/>
        <v>0</v>
      </c>
      <c r="E996" s="1056">
        <v>0</v>
      </c>
      <c r="F996" s="1056">
        <v>0</v>
      </c>
      <c r="G996" s="1056">
        <v>0</v>
      </c>
      <c r="H996" s="1056">
        <v>0</v>
      </c>
      <c r="I996" s="1056">
        <v>0</v>
      </c>
      <c r="J996" s="1056">
        <v>0</v>
      </c>
      <c r="K996" s="1056">
        <v>0</v>
      </c>
      <c r="L996" s="1056">
        <v>0</v>
      </c>
      <c r="M996" s="1056">
        <v>0</v>
      </c>
      <c r="N996" s="1056">
        <v>0</v>
      </c>
      <c r="O996" s="1234">
        <v>621.38</v>
      </c>
      <c r="P996" s="1234">
        <v>2337517.35</v>
      </c>
      <c r="Q996" s="1056">
        <v>0</v>
      </c>
      <c r="R996" s="1056">
        <v>0</v>
      </c>
      <c r="S996" s="1056">
        <v>0</v>
      </c>
      <c r="T996" s="1056">
        <v>0</v>
      </c>
      <c r="U996" s="1056">
        <v>0</v>
      </c>
      <c r="V996" s="1056">
        <v>0</v>
      </c>
      <c r="W996" s="1056">
        <v>0</v>
      </c>
      <c r="X996" s="1056">
        <v>0</v>
      </c>
      <c r="Y996" s="1056">
        <v>0</v>
      </c>
      <c r="Z996" s="1234">
        <v>183083</v>
      </c>
      <c r="AA996" s="1056">
        <v>0</v>
      </c>
    </row>
    <row r="997" spans="1:27" ht="100.5" customHeight="1">
      <c r="A997" s="1322">
        <v>467</v>
      </c>
      <c r="B997" s="1062" t="s">
        <v>1512</v>
      </c>
      <c r="C997" s="1056">
        <f t="shared" si="574"/>
        <v>3921488.08</v>
      </c>
      <c r="D997" s="1056">
        <f t="shared" si="575"/>
        <v>0</v>
      </c>
      <c r="E997" s="1056">
        <v>0</v>
      </c>
      <c r="F997" s="1056">
        <v>0</v>
      </c>
      <c r="G997" s="1056">
        <v>0</v>
      </c>
      <c r="H997" s="1056">
        <v>0</v>
      </c>
      <c r="I997" s="1056">
        <v>0</v>
      </c>
      <c r="J997" s="1056">
        <v>0</v>
      </c>
      <c r="K997" s="1056">
        <v>0</v>
      </c>
      <c r="L997" s="1056">
        <v>0</v>
      </c>
      <c r="M997" s="1056">
        <v>0</v>
      </c>
      <c r="N997" s="1056">
        <v>0</v>
      </c>
      <c r="O997" s="1234">
        <v>588</v>
      </c>
      <c r="P997" s="1234">
        <v>3772263.08</v>
      </c>
      <c r="Q997" s="1056">
        <v>0</v>
      </c>
      <c r="R997" s="1056">
        <v>0</v>
      </c>
      <c r="S997" s="1056">
        <v>0</v>
      </c>
      <c r="T997" s="1056">
        <v>0</v>
      </c>
      <c r="U997" s="1056">
        <v>0</v>
      </c>
      <c r="V997" s="1056">
        <v>0</v>
      </c>
      <c r="W997" s="1056">
        <v>0</v>
      </c>
      <c r="X997" s="1056">
        <v>0</v>
      </c>
      <c r="Y997" s="1056">
        <v>0</v>
      </c>
      <c r="Z997" s="1234">
        <v>149225</v>
      </c>
      <c r="AA997" s="1056">
        <v>0</v>
      </c>
    </row>
    <row r="998" spans="1:27" ht="68.25" customHeight="1">
      <c r="A998" s="1322">
        <v>468</v>
      </c>
      <c r="B998" s="1062" t="s">
        <v>1327</v>
      </c>
      <c r="C998" s="1056">
        <f t="shared" si="574"/>
        <v>1499379</v>
      </c>
      <c r="D998" s="1056">
        <f t="shared" si="575"/>
        <v>0</v>
      </c>
      <c r="E998" s="1056">
        <v>0</v>
      </c>
      <c r="F998" s="1056">
        <v>0</v>
      </c>
      <c r="G998" s="1056">
        <v>0</v>
      </c>
      <c r="H998" s="1056">
        <v>0</v>
      </c>
      <c r="I998" s="1056">
        <v>0</v>
      </c>
      <c r="J998" s="1056">
        <v>0</v>
      </c>
      <c r="K998" s="1056">
        <v>0</v>
      </c>
      <c r="L998" s="1056">
        <v>0</v>
      </c>
      <c r="M998" s="1056">
        <v>0</v>
      </c>
      <c r="N998" s="1056">
        <v>0</v>
      </c>
      <c r="O998" s="1234">
        <v>441.6</v>
      </c>
      <c r="P998" s="1234">
        <v>1390472</v>
      </c>
      <c r="Q998" s="1056">
        <v>0</v>
      </c>
      <c r="R998" s="1056">
        <v>0</v>
      </c>
      <c r="S998" s="1056">
        <v>0</v>
      </c>
      <c r="T998" s="1056">
        <v>0</v>
      </c>
      <c r="U998" s="1056">
        <v>0</v>
      </c>
      <c r="V998" s="1056">
        <v>0</v>
      </c>
      <c r="W998" s="1056">
        <v>0</v>
      </c>
      <c r="X998" s="1056">
        <v>0</v>
      </c>
      <c r="Y998" s="1056">
        <v>0</v>
      </c>
      <c r="Z998" s="1234">
        <v>108907</v>
      </c>
      <c r="AA998" s="1056">
        <v>0</v>
      </c>
    </row>
    <row r="999" spans="1:27" ht="80.25" customHeight="1">
      <c r="A999" s="1322">
        <v>469</v>
      </c>
      <c r="B999" s="1062" t="s">
        <v>1513</v>
      </c>
      <c r="C999" s="1056">
        <f t="shared" ref="C999" si="576">D999+N999+P999+R999+T999+X999+Z999</f>
        <v>2451843.84</v>
      </c>
      <c r="D999" s="1056">
        <f t="shared" ref="D999" si="577">SUM(E999:J999)</f>
        <v>0</v>
      </c>
      <c r="E999" s="1056">
        <v>0</v>
      </c>
      <c r="F999" s="1056">
        <v>0</v>
      </c>
      <c r="G999" s="1056">
        <v>0</v>
      </c>
      <c r="H999" s="1056">
        <v>0</v>
      </c>
      <c r="I999" s="1056">
        <v>0</v>
      </c>
      <c r="J999" s="1056">
        <v>0</v>
      </c>
      <c r="K999" s="1063">
        <v>0</v>
      </c>
      <c r="L999" s="1056">
        <v>0</v>
      </c>
      <c r="M999" s="1063">
        <v>0</v>
      </c>
      <c r="N999" s="1056">
        <v>0</v>
      </c>
      <c r="O999" s="1234">
        <v>580</v>
      </c>
      <c r="P999" s="1234">
        <v>2273754.5699999998</v>
      </c>
      <c r="Q999" s="1056">
        <v>0</v>
      </c>
      <c r="R999" s="1056">
        <v>0</v>
      </c>
      <c r="S999" s="1056">
        <v>0</v>
      </c>
      <c r="T999" s="1056">
        <v>0</v>
      </c>
      <c r="U999" s="1056">
        <v>0</v>
      </c>
      <c r="V999" s="1056">
        <v>0</v>
      </c>
      <c r="W999" s="1056">
        <v>0</v>
      </c>
      <c r="X999" s="1056">
        <v>0</v>
      </c>
      <c r="Y999" s="1056">
        <v>0</v>
      </c>
      <c r="Z999" s="1234">
        <v>178089.27</v>
      </c>
      <c r="AA999" s="1056">
        <v>0</v>
      </c>
    </row>
    <row r="1000" spans="1:27" ht="103.5" customHeight="1">
      <c r="A1000" s="1322">
        <v>470</v>
      </c>
      <c r="B1000" s="1062" t="s">
        <v>1514</v>
      </c>
      <c r="C1000" s="1056">
        <f t="shared" ref="C1000:C1001" si="578">D1000+N1000+P1000+R1000+T1000+X1000+Z1000</f>
        <v>1774387.33</v>
      </c>
      <c r="D1000" s="1056">
        <f t="shared" ref="D1000:D1001" si="579">SUM(E1000:J1000)</f>
        <v>0</v>
      </c>
      <c r="E1000" s="1056">
        <v>0</v>
      </c>
      <c r="F1000" s="1056">
        <v>0</v>
      </c>
      <c r="G1000" s="1056">
        <v>0</v>
      </c>
      <c r="H1000" s="1056">
        <v>0</v>
      </c>
      <c r="I1000" s="1056">
        <v>0</v>
      </c>
      <c r="J1000" s="1056">
        <v>0</v>
      </c>
      <c r="K1000" s="1063">
        <v>0</v>
      </c>
      <c r="L1000" s="1056">
        <v>0</v>
      </c>
      <c r="M1000" s="1063">
        <v>0</v>
      </c>
      <c r="N1000" s="1056">
        <v>0</v>
      </c>
      <c r="O1000" s="1234">
        <v>426</v>
      </c>
      <c r="P1000" s="1234">
        <v>1645505.01</v>
      </c>
      <c r="Q1000" s="1056">
        <v>0</v>
      </c>
      <c r="R1000" s="1056">
        <v>0</v>
      </c>
      <c r="S1000" s="1056">
        <v>0</v>
      </c>
      <c r="T1000" s="1056">
        <v>0</v>
      </c>
      <c r="U1000" s="1056">
        <v>0</v>
      </c>
      <c r="V1000" s="1056">
        <v>0</v>
      </c>
      <c r="W1000" s="1056">
        <v>0</v>
      </c>
      <c r="X1000" s="1056">
        <v>0</v>
      </c>
      <c r="Y1000" s="1056">
        <v>0</v>
      </c>
      <c r="Z1000" s="1234">
        <v>128882.32</v>
      </c>
      <c r="AA1000" s="1056">
        <v>0</v>
      </c>
    </row>
    <row r="1001" spans="1:27" ht="100.5" customHeight="1">
      <c r="A1001" s="1322">
        <v>471</v>
      </c>
      <c r="B1001" s="1062" t="s">
        <v>2081</v>
      </c>
      <c r="C1001" s="1056">
        <f t="shared" si="578"/>
        <v>5947609.5599999996</v>
      </c>
      <c r="D1001" s="1056">
        <f t="shared" si="579"/>
        <v>0</v>
      </c>
      <c r="E1001" s="1056">
        <v>0</v>
      </c>
      <c r="F1001" s="1056">
        <v>0</v>
      </c>
      <c r="G1001" s="1056">
        <v>0</v>
      </c>
      <c r="H1001" s="1056">
        <v>0</v>
      </c>
      <c r="I1001" s="1056">
        <v>0</v>
      </c>
      <c r="J1001" s="1056">
        <v>0</v>
      </c>
      <c r="K1001" s="1063">
        <v>0</v>
      </c>
      <c r="L1001" s="1056">
        <v>0</v>
      </c>
      <c r="M1001" s="1063">
        <v>0</v>
      </c>
      <c r="N1001" s="1056">
        <v>0</v>
      </c>
      <c r="O1001" s="1056">
        <v>1395</v>
      </c>
      <c r="P1001" s="1056">
        <v>5515605.96</v>
      </c>
      <c r="Q1001" s="1056">
        <v>0</v>
      </c>
      <c r="R1001" s="1056">
        <v>0</v>
      </c>
      <c r="S1001" s="1056">
        <v>0</v>
      </c>
      <c r="T1001" s="1056">
        <v>0</v>
      </c>
      <c r="U1001" s="1056">
        <v>0</v>
      </c>
      <c r="V1001" s="1056">
        <v>0</v>
      </c>
      <c r="W1001" s="1056">
        <v>0</v>
      </c>
      <c r="X1001" s="1056">
        <v>0</v>
      </c>
      <c r="Y1001" s="1056">
        <v>0</v>
      </c>
      <c r="Z1001" s="1056">
        <v>432003.6</v>
      </c>
      <c r="AA1001" s="1056">
        <v>0</v>
      </c>
    </row>
    <row r="1002" spans="1:27" s="1126" customFormat="1" ht="107.25" customHeight="1">
      <c r="A1002" s="1322">
        <v>472</v>
      </c>
      <c r="B1002" s="1062" t="s">
        <v>2082</v>
      </c>
      <c r="C1002" s="1056">
        <f>D1002+N1002+P1002+R1002+T1002+X1002+Z1002</f>
        <v>4124758</v>
      </c>
      <c r="D1002" s="1056">
        <f t="shared" ref="D1002:D1005" si="580">SUM(E1002:J1002)</f>
        <v>0</v>
      </c>
      <c r="E1002" s="1056">
        <v>0</v>
      </c>
      <c r="F1002" s="1056">
        <v>0</v>
      </c>
      <c r="G1002" s="1056">
        <v>0</v>
      </c>
      <c r="H1002" s="1056">
        <v>0</v>
      </c>
      <c r="I1002" s="1056">
        <v>0</v>
      </c>
      <c r="J1002" s="1056">
        <v>0</v>
      </c>
      <c r="K1002" s="1063">
        <v>0</v>
      </c>
      <c r="L1002" s="1056">
        <v>0</v>
      </c>
      <c r="M1002" s="1063">
        <v>0</v>
      </c>
      <c r="N1002" s="1056">
        <v>0</v>
      </c>
      <c r="O1002" s="1056">
        <v>0</v>
      </c>
      <c r="P1002" s="1056">
        <v>0</v>
      </c>
      <c r="Q1002" s="1056">
        <v>0</v>
      </c>
      <c r="R1002" s="1056">
        <v>0</v>
      </c>
      <c r="S1002" s="1056">
        <v>798</v>
      </c>
      <c r="T1002" s="1056">
        <v>3825157</v>
      </c>
      <c r="U1002" s="1056">
        <v>0</v>
      </c>
      <c r="V1002" s="1056">
        <v>0</v>
      </c>
      <c r="W1002" s="1056">
        <v>0</v>
      </c>
      <c r="X1002" s="1056">
        <v>0</v>
      </c>
      <c r="Y1002" s="1056">
        <v>0</v>
      </c>
      <c r="Z1002" s="1056">
        <v>299601</v>
      </c>
      <c r="AA1002" s="1056">
        <v>0</v>
      </c>
    </row>
    <row r="1003" spans="1:27" ht="101.25" customHeight="1">
      <c r="A1003" s="1322">
        <v>473</v>
      </c>
      <c r="B1003" s="1062" t="s">
        <v>2083</v>
      </c>
      <c r="C1003" s="1056">
        <f>D1003+N1003+P1003+R1003+T1003+X1003+Z1003</f>
        <v>4124758</v>
      </c>
      <c r="D1003" s="1056">
        <f t="shared" si="580"/>
        <v>0</v>
      </c>
      <c r="E1003" s="1056">
        <v>0</v>
      </c>
      <c r="F1003" s="1056">
        <v>0</v>
      </c>
      <c r="G1003" s="1056">
        <v>0</v>
      </c>
      <c r="H1003" s="1056">
        <v>0</v>
      </c>
      <c r="I1003" s="1056">
        <v>0</v>
      </c>
      <c r="J1003" s="1056">
        <v>0</v>
      </c>
      <c r="K1003" s="1063">
        <v>0</v>
      </c>
      <c r="L1003" s="1056">
        <v>0</v>
      </c>
      <c r="M1003" s="1063">
        <v>0</v>
      </c>
      <c r="N1003" s="1056">
        <v>0</v>
      </c>
      <c r="O1003" s="1056">
        <v>0</v>
      </c>
      <c r="P1003" s="1056">
        <v>0</v>
      </c>
      <c r="Q1003" s="1056">
        <v>0</v>
      </c>
      <c r="R1003" s="1056">
        <v>0</v>
      </c>
      <c r="S1003" s="1056">
        <v>798</v>
      </c>
      <c r="T1003" s="1056">
        <v>3825157</v>
      </c>
      <c r="U1003" s="1056">
        <v>0</v>
      </c>
      <c r="V1003" s="1056">
        <v>0</v>
      </c>
      <c r="W1003" s="1056">
        <v>0</v>
      </c>
      <c r="X1003" s="1056">
        <v>0</v>
      </c>
      <c r="Y1003" s="1056">
        <v>0</v>
      </c>
      <c r="Z1003" s="1056">
        <v>299601</v>
      </c>
      <c r="AA1003" s="1056">
        <v>0</v>
      </c>
    </row>
    <row r="1004" spans="1:27" ht="68.25" customHeight="1">
      <c r="A1004" s="1322">
        <v>474</v>
      </c>
      <c r="B1004" s="1062" t="s">
        <v>2042</v>
      </c>
      <c r="C1004" s="1056">
        <f>D1004+N1004+P1004+R1004+T1004+X1004+Z1004</f>
        <v>1157140</v>
      </c>
      <c r="D1004" s="1056">
        <f t="shared" si="580"/>
        <v>469460</v>
      </c>
      <c r="E1004" s="1056">
        <v>0</v>
      </c>
      <c r="F1004" s="1056">
        <v>0</v>
      </c>
      <c r="G1004" s="1056">
        <v>0</v>
      </c>
      <c r="H1004" s="1056">
        <v>0</v>
      </c>
      <c r="I1004" s="1056">
        <v>0</v>
      </c>
      <c r="J1004" s="1056">
        <v>469460</v>
      </c>
      <c r="K1004" s="1063">
        <v>0</v>
      </c>
      <c r="L1004" s="1056">
        <v>0</v>
      </c>
      <c r="M1004" s="1063">
        <v>0</v>
      </c>
      <c r="N1004" s="1056">
        <v>0</v>
      </c>
      <c r="O1004" s="1056">
        <v>0</v>
      </c>
      <c r="P1004" s="1056">
        <v>0</v>
      </c>
      <c r="Q1004" s="1056">
        <v>446.7</v>
      </c>
      <c r="R1004" s="1056">
        <v>603631</v>
      </c>
      <c r="S1004" s="1056">
        <v>0</v>
      </c>
      <c r="T1004" s="1056">
        <v>0</v>
      </c>
      <c r="U1004" s="1056">
        <v>0</v>
      </c>
      <c r="V1004" s="1056">
        <v>0</v>
      </c>
      <c r="W1004" s="1056">
        <v>0</v>
      </c>
      <c r="X1004" s="1056">
        <v>0</v>
      </c>
      <c r="Y1004" s="1056">
        <v>0</v>
      </c>
      <c r="Z1004" s="1056">
        <v>84049</v>
      </c>
      <c r="AA1004" s="1056">
        <v>0</v>
      </c>
    </row>
    <row r="1005" spans="1:27" ht="74.25" customHeight="1">
      <c r="A1005" s="1322">
        <v>475</v>
      </c>
      <c r="B1005" s="1062" t="s">
        <v>2043</v>
      </c>
      <c r="C1005" s="1056">
        <f>D1005+N1005+P1005+R1005+T1005+X1005+Z1005</f>
        <v>1163595</v>
      </c>
      <c r="D1005" s="1056">
        <f t="shared" si="580"/>
        <v>475446</v>
      </c>
      <c r="E1005" s="1056">
        <v>0</v>
      </c>
      <c r="F1005" s="1056">
        <v>0</v>
      </c>
      <c r="G1005" s="1056">
        <v>0</v>
      </c>
      <c r="H1005" s="1056">
        <v>0</v>
      </c>
      <c r="I1005" s="1056">
        <v>0</v>
      </c>
      <c r="J1005" s="1056">
        <v>475446</v>
      </c>
      <c r="K1005" s="1063">
        <v>0</v>
      </c>
      <c r="L1005" s="1056">
        <v>0</v>
      </c>
      <c r="M1005" s="1063">
        <v>0</v>
      </c>
      <c r="N1005" s="1056">
        <v>0</v>
      </c>
      <c r="O1005" s="1056">
        <v>0</v>
      </c>
      <c r="P1005" s="1056">
        <v>0</v>
      </c>
      <c r="Q1005" s="1056">
        <v>446.7</v>
      </c>
      <c r="R1005" s="1056">
        <v>603631</v>
      </c>
      <c r="S1005" s="1056">
        <v>0</v>
      </c>
      <c r="T1005" s="1056">
        <v>0</v>
      </c>
      <c r="U1005" s="1056">
        <v>0</v>
      </c>
      <c r="V1005" s="1056">
        <v>0</v>
      </c>
      <c r="W1005" s="1056">
        <v>0</v>
      </c>
      <c r="X1005" s="1056">
        <v>0</v>
      </c>
      <c r="Y1005" s="1056">
        <v>0</v>
      </c>
      <c r="Z1005" s="1056">
        <v>84518</v>
      </c>
      <c r="AA1005" s="1056">
        <v>0</v>
      </c>
    </row>
    <row r="1006" spans="1:27" ht="65.25" customHeight="1">
      <c r="A1006" s="1322"/>
      <c r="B1006" s="1062"/>
      <c r="C1006" s="1056"/>
      <c r="D1006" s="1056"/>
      <c r="E1006" s="1056"/>
      <c r="F1006" s="1056"/>
      <c r="G1006" s="1056"/>
      <c r="H1006" s="1056"/>
      <c r="I1006" s="1056"/>
      <c r="J1006" s="1056"/>
      <c r="K1006" s="1063"/>
      <c r="L1006" s="1056"/>
      <c r="M1006" s="1063"/>
      <c r="N1006" s="1056"/>
      <c r="O1006" s="1056"/>
      <c r="P1006" s="1056"/>
      <c r="Q1006" s="1056"/>
      <c r="R1006" s="1056"/>
      <c r="S1006" s="1056"/>
      <c r="T1006" s="1056"/>
      <c r="U1006" s="1056"/>
      <c r="V1006" s="1056"/>
      <c r="W1006" s="1056"/>
      <c r="X1006" s="1056"/>
      <c r="Y1006" s="1056"/>
      <c r="Z1006" s="1056"/>
      <c r="AA1006" s="1056"/>
    </row>
    <row r="1007" spans="1:27" ht="68.25" customHeight="1">
      <c r="A1007" s="1322"/>
      <c r="B1007" s="1062" t="s">
        <v>211</v>
      </c>
      <c r="C1007" s="1056">
        <f>C1008</f>
        <v>1537679</v>
      </c>
      <c r="D1007" s="1056">
        <f t="shared" ref="D1007:AA1007" si="581">D1008</f>
        <v>0</v>
      </c>
      <c r="E1007" s="1056">
        <f t="shared" si="581"/>
        <v>0</v>
      </c>
      <c r="F1007" s="1056">
        <f t="shared" si="581"/>
        <v>0</v>
      </c>
      <c r="G1007" s="1056">
        <f t="shared" si="581"/>
        <v>0</v>
      </c>
      <c r="H1007" s="1056">
        <f t="shared" si="581"/>
        <v>0</v>
      </c>
      <c r="I1007" s="1056">
        <f t="shared" si="581"/>
        <v>0</v>
      </c>
      <c r="J1007" s="1056">
        <f t="shared" si="581"/>
        <v>0</v>
      </c>
      <c r="K1007" s="1056">
        <f t="shared" si="581"/>
        <v>0</v>
      </c>
      <c r="L1007" s="1056">
        <f t="shared" si="581"/>
        <v>0</v>
      </c>
      <c r="M1007" s="1056">
        <f t="shared" si="581"/>
        <v>0</v>
      </c>
      <c r="N1007" s="1056">
        <f t="shared" si="581"/>
        <v>0</v>
      </c>
      <c r="O1007" s="1056">
        <f t="shared" si="581"/>
        <v>487.68</v>
      </c>
      <c r="P1007" s="1056">
        <f t="shared" si="581"/>
        <v>1425989.9497003814</v>
      </c>
      <c r="Q1007" s="1056">
        <f t="shared" si="581"/>
        <v>0</v>
      </c>
      <c r="R1007" s="1056">
        <f t="shared" si="581"/>
        <v>0</v>
      </c>
      <c r="S1007" s="1056">
        <f t="shared" si="581"/>
        <v>0</v>
      </c>
      <c r="T1007" s="1056">
        <f t="shared" si="581"/>
        <v>0</v>
      </c>
      <c r="U1007" s="1056">
        <f t="shared" si="581"/>
        <v>0</v>
      </c>
      <c r="V1007" s="1056">
        <f t="shared" si="581"/>
        <v>0</v>
      </c>
      <c r="W1007" s="1056">
        <f t="shared" si="581"/>
        <v>0</v>
      </c>
      <c r="X1007" s="1056">
        <f t="shared" si="581"/>
        <v>0</v>
      </c>
      <c r="Y1007" s="1056">
        <f t="shared" si="581"/>
        <v>0</v>
      </c>
      <c r="Z1007" s="1056">
        <f t="shared" si="581"/>
        <v>111689.05029961867</v>
      </c>
      <c r="AA1007" s="1056">
        <f t="shared" si="581"/>
        <v>0</v>
      </c>
    </row>
    <row r="1008" spans="1:27" ht="100.5" customHeight="1">
      <c r="A1008" s="1322"/>
      <c r="B1008" s="1062" t="s">
        <v>2029</v>
      </c>
      <c r="C1008" s="1056">
        <f>C1009</f>
        <v>1537679</v>
      </c>
      <c r="D1008" s="1056">
        <f t="shared" ref="D1008:AA1008" si="582">D1009</f>
        <v>0</v>
      </c>
      <c r="E1008" s="1056">
        <f t="shared" si="582"/>
        <v>0</v>
      </c>
      <c r="F1008" s="1056">
        <f t="shared" si="582"/>
        <v>0</v>
      </c>
      <c r="G1008" s="1056">
        <f t="shared" si="582"/>
        <v>0</v>
      </c>
      <c r="H1008" s="1056">
        <f t="shared" si="582"/>
        <v>0</v>
      </c>
      <c r="I1008" s="1056">
        <f t="shared" si="582"/>
        <v>0</v>
      </c>
      <c r="J1008" s="1056">
        <f t="shared" si="582"/>
        <v>0</v>
      </c>
      <c r="K1008" s="1063">
        <f t="shared" si="582"/>
        <v>0</v>
      </c>
      <c r="L1008" s="1056">
        <f t="shared" si="582"/>
        <v>0</v>
      </c>
      <c r="M1008" s="1063">
        <f t="shared" si="582"/>
        <v>0</v>
      </c>
      <c r="N1008" s="1056">
        <f t="shared" si="582"/>
        <v>0</v>
      </c>
      <c r="O1008" s="1056">
        <f t="shared" si="582"/>
        <v>487.68</v>
      </c>
      <c r="P1008" s="1056">
        <f t="shared" si="582"/>
        <v>1425989.9497003814</v>
      </c>
      <c r="Q1008" s="1056">
        <f t="shared" si="582"/>
        <v>0</v>
      </c>
      <c r="R1008" s="1056">
        <f t="shared" si="582"/>
        <v>0</v>
      </c>
      <c r="S1008" s="1056">
        <f t="shared" si="582"/>
        <v>0</v>
      </c>
      <c r="T1008" s="1056">
        <f t="shared" si="582"/>
        <v>0</v>
      </c>
      <c r="U1008" s="1056">
        <v>0</v>
      </c>
      <c r="V1008" s="1056">
        <v>0</v>
      </c>
      <c r="W1008" s="1056">
        <f t="shared" si="582"/>
        <v>0</v>
      </c>
      <c r="X1008" s="1056">
        <f t="shared" si="582"/>
        <v>0</v>
      </c>
      <c r="Y1008" s="1056">
        <v>0</v>
      </c>
      <c r="Z1008" s="1056">
        <f t="shared" si="582"/>
        <v>111689.05029961867</v>
      </c>
      <c r="AA1008" s="1056">
        <f t="shared" si="582"/>
        <v>0</v>
      </c>
    </row>
    <row r="1009" spans="1:27" ht="80.25" customHeight="1">
      <c r="A1009" s="1322">
        <v>476</v>
      </c>
      <c r="B1009" s="1062" t="s">
        <v>630</v>
      </c>
      <c r="C1009" s="1056">
        <f t="shared" ref="C1009" si="583">D1009+N1009+P1009+R1009+T1009+X1009+Z1009</f>
        <v>1537679</v>
      </c>
      <c r="D1009" s="1056">
        <f t="shared" ref="D1009" si="584">SUM(E1009:J1009)</f>
        <v>0</v>
      </c>
      <c r="E1009" s="1056">
        <v>0</v>
      </c>
      <c r="F1009" s="1056">
        <v>0</v>
      </c>
      <c r="G1009" s="1056">
        <v>0</v>
      </c>
      <c r="H1009" s="1056">
        <v>0</v>
      </c>
      <c r="I1009" s="1056">
        <v>0</v>
      </c>
      <c r="J1009" s="1056">
        <v>0</v>
      </c>
      <c r="K1009" s="1063">
        <v>0</v>
      </c>
      <c r="L1009" s="1056">
        <v>0</v>
      </c>
      <c r="M1009" s="1063">
        <v>0</v>
      </c>
      <c r="N1009" s="1056">
        <v>0</v>
      </c>
      <c r="O1009" s="1056">
        <v>487.68</v>
      </c>
      <c r="P1009" s="1056">
        <v>1425989.9497003814</v>
      </c>
      <c r="Q1009" s="1056">
        <v>0</v>
      </c>
      <c r="R1009" s="1056">
        <v>0</v>
      </c>
      <c r="S1009" s="1056">
        <v>0</v>
      </c>
      <c r="T1009" s="1056">
        <v>0</v>
      </c>
      <c r="U1009" s="1056">
        <v>0</v>
      </c>
      <c r="V1009" s="1056">
        <v>0</v>
      </c>
      <c r="W1009" s="1056">
        <v>0</v>
      </c>
      <c r="X1009" s="1056">
        <v>0</v>
      </c>
      <c r="Y1009" s="1056">
        <v>0</v>
      </c>
      <c r="Z1009" s="1056">
        <v>111689.05029961867</v>
      </c>
      <c r="AA1009" s="1056">
        <v>0</v>
      </c>
    </row>
    <row r="1010" spans="1:27" ht="71.25" customHeight="1">
      <c r="A1010" s="1322"/>
      <c r="B1010" s="1062" t="s">
        <v>66</v>
      </c>
      <c r="C1010" s="1056">
        <f>C1011</f>
        <v>2913878.0300000003</v>
      </c>
      <c r="D1010" s="1056">
        <f t="shared" ref="D1010:AA1010" si="585">D1011</f>
        <v>0</v>
      </c>
      <c r="E1010" s="1056">
        <f t="shared" si="585"/>
        <v>0</v>
      </c>
      <c r="F1010" s="1056">
        <f t="shared" si="585"/>
        <v>0</v>
      </c>
      <c r="G1010" s="1056">
        <f t="shared" si="585"/>
        <v>0</v>
      </c>
      <c r="H1010" s="1056">
        <f t="shared" si="585"/>
        <v>0</v>
      </c>
      <c r="I1010" s="1056">
        <f t="shared" si="585"/>
        <v>0</v>
      </c>
      <c r="J1010" s="1056">
        <f t="shared" si="585"/>
        <v>0</v>
      </c>
      <c r="K1010" s="1056">
        <f t="shared" si="585"/>
        <v>0</v>
      </c>
      <c r="L1010" s="1056">
        <f t="shared" si="585"/>
        <v>0</v>
      </c>
      <c r="M1010" s="1056">
        <f t="shared" si="585"/>
        <v>0</v>
      </c>
      <c r="N1010" s="1056">
        <f t="shared" si="585"/>
        <v>0</v>
      </c>
      <c r="O1010" s="1056">
        <f t="shared" si="585"/>
        <v>740.6</v>
      </c>
      <c r="P1010" s="1056">
        <f t="shared" si="585"/>
        <v>2702229.0300000003</v>
      </c>
      <c r="Q1010" s="1056">
        <f t="shared" si="585"/>
        <v>0</v>
      </c>
      <c r="R1010" s="1056">
        <f t="shared" si="585"/>
        <v>0</v>
      </c>
      <c r="S1010" s="1056">
        <f t="shared" si="585"/>
        <v>0</v>
      </c>
      <c r="T1010" s="1056">
        <f t="shared" si="585"/>
        <v>0</v>
      </c>
      <c r="U1010" s="1056">
        <f t="shared" si="585"/>
        <v>0</v>
      </c>
      <c r="V1010" s="1056">
        <f t="shared" si="585"/>
        <v>0</v>
      </c>
      <c r="W1010" s="1056">
        <f t="shared" si="585"/>
        <v>0</v>
      </c>
      <c r="X1010" s="1056">
        <f t="shared" si="585"/>
        <v>0</v>
      </c>
      <c r="Y1010" s="1056">
        <f t="shared" si="585"/>
        <v>0</v>
      </c>
      <c r="Z1010" s="1056">
        <f t="shared" si="585"/>
        <v>211649</v>
      </c>
      <c r="AA1010" s="1056">
        <f t="shared" si="585"/>
        <v>0</v>
      </c>
    </row>
    <row r="1011" spans="1:27" ht="109.5" customHeight="1">
      <c r="A1011" s="1322"/>
      <c r="B1011" s="1062" t="s">
        <v>1035</v>
      </c>
      <c r="C1011" s="1056">
        <f>C1012+C1013</f>
        <v>2913878.0300000003</v>
      </c>
      <c r="D1011" s="1056">
        <f t="shared" ref="D1011:AA1011" si="586">D1012+D1013</f>
        <v>0</v>
      </c>
      <c r="E1011" s="1056">
        <f t="shared" si="586"/>
        <v>0</v>
      </c>
      <c r="F1011" s="1056">
        <f t="shared" si="586"/>
        <v>0</v>
      </c>
      <c r="G1011" s="1056">
        <f t="shared" si="586"/>
        <v>0</v>
      </c>
      <c r="H1011" s="1056">
        <f t="shared" si="586"/>
        <v>0</v>
      </c>
      <c r="I1011" s="1056">
        <f t="shared" si="586"/>
        <v>0</v>
      </c>
      <c r="J1011" s="1056">
        <f t="shared" si="586"/>
        <v>0</v>
      </c>
      <c r="K1011" s="1056">
        <f t="shared" si="586"/>
        <v>0</v>
      </c>
      <c r="L1011" s="1056">
        <f t="shared" si="586"/>
        <v>0</v>
      </c>
      <c r="M1011" s="1056">
        <f t="shared" si="586"/>
        <v>0</v>
      </c>
      <c r="N1011" s="1056">
        <f t="shared" si="586"/>
        <v>0</v>
      </c>
      <c r="O1011" s="1056">
        <f t="shared" si="586"/>
        <v>740.6</v>
      </c>
      <c r="P1011" s="1056">
        <f t="shared" si="586"/>
        <v>2702229.0300000003</v>
      </c>
      <c r="Q1011" s="1056">
        <f t="shared" si="586"/>
        <v>0</v>
      </c>
      <c r="R1011" s="1056">
        <f t="shared" si="586"/>
        <v>0</v>
      </c>
      <c r="S1011" s="1056">
        <f t="shared" si="586"/>
        <v>0</v>
      </c>
      <c r="T1011" s="1056">
        <f t="shared" si="586"/>
        <v>0</v>
      </c>
      <c r="U1011" s="1056">
        <f t="shared" si="586"/>
        <v>0</v>
      </c>
      <c r="V1011" s="1056">
        <f t="shared" si="586"/>
        <v>0</v>
      </c>
      <c r="W1011" s="1056">
        <f t="shared" si="586"/>
        <v>0</v>
      </c>
      <c r="X1011" s="1056">
        <f t="shared" si="586"/>
        <v>0</v>
      </c>
      <c r="Y1011" s="1056">
        <f t="shared" si="586"/>
        <v>0</v>
      </c>
      <c r="Z1011" s="1056">
        <f t="shared" si="586"/>
        <v>211649</v>
      </c>
      <c r="AA1011" s="1056">
        <f t="shared" si="586"/>
        <v>0</v>
      </c>
    </row>
    <row r="1012" spans="1:27" ht="106.5" customHeight="1">
      <c r="A1012" s="1322">
        <v>477</v>
      </c>
      <c r="B1012" s="1062" t="s">
        <v>2084</v>
      </c>
      <c r="C1012" s="1056">
        <f t="shared" ref="C1012" si="587">D1012+N1012+P1012+R1012+T1012+X1012+Z1012</f>
        <v>1558743</v>
      </c>
      <c r="D1012" s="1056">
        <f t="shared" ref="D1012" si="588">SUM(E1012:J1012)</f>
        <v>0</v>
      </c>
      <c r="E1012" s="1056">
        <v>0</v>
      </c>
      <c r="F1012" s="1056">
        <v>0</v>
      </c>
      <c r="G1012" s="1056">
        <v>0</v>
      </c>
      <c r="H1012" s="1056">
        <v>0</v>
      </c>
      <c r="I1012" s="1056">
        <v>0</v>
      </c>
      <c r="J1012" s="1056">
        <v>0</v>
      </c>
      <c r="K1012" s="1063">
        <v>0</v>
      </c>
      <c r="L1012" s="1056">
        <v>0</v>
      </c>
      <c r="M1012" s="1063">
        <v>0</v>
      </c>
      <c r="N1012" s="1056">
        <v>0</v>
      </c>
      <c r="O1012" s="1056">
        <v>365.6</v>
      </c>
      <c r="P1012" s="1056">
        <v>1445524</v>
      </c>
      <c r="Q1012" s="1056">
        <v>0</v>
      </c>
      <c r="R1012" s="1056">
        <v>0</v>
      </c>
      <c r="S1012" s="1056">
        <v>0</v>
      </c>
      <c r="T1012" s="1056">
        <v>0</v>
      </c>
      <c r="U1012" s="1056">
        <v>0</v>
      </c>
      <c r="V1012" s="1056">
        <v>0</v>
      </c>
      <c r="W1012" s="1056">
        <v>0</v>
      </c>
      <c r="X1012" s="1056">
        <v>0</v>
      </c>
      <c r="Y1012" s="1056">
        <v>0</v>
      </c>
      <c r="Z1012" s="1056">
        <v>113219</v>
      </c>
      <c r="AA1012" s="1056">
        <v>0</v>
      </c>
    </row>
    <row r="1013" spans="1:27" ht="106.5" customHeight="1">
      <c r="A1013" s="1322">
        <v>478</v>
      </c>
      <c r="B1013" s="1062" t="s">
        <v>2085</v>
      </c>
      <c r="C1013" s="1056">
        <f t="shared" ref="C1013" si="589">D1013+N1013+P1013+R1013+T1013+X1013+Z1013</f>
        <v>1355135.03</v>
      </c>
      <c r="D1013" s="1056">
        <f t="shared" ref="D1013" si="590">SUM(E1013:J1013)</f>
        <v>0</v>
      </c>
      <c r="E1013" s="1056">
        <v>0</v>
      </c>
      <c r="F1013" s="1056">
        <v>0</v>
      </c>
      <c r="G1013" s="1056">
        <v>0</v>
      </c>
      <c r="H1013" s="1056">
        <v>0</v>
      </c>
      <c r="I1013" s="1056">
        <v>0</v>
      </c>
      <c r="J1013" s="1056">
        <v>0</v>
      </c>
      <c r="K1013" s="1063">
        <v>0</v>
      </c>
      <c r="L1013" s="1056">
        <v>0</v>
      </c>
      <c r="M1013" s="1063">
        <v>0</v>
      </c>
      <c r="N1013" s="1056">
        <v>0</v>
      </c>
      <c r="O1013" s="1056">
        <v>375</v>
      </c>
      <c r="P1013" s="1056">
        <v>1256705.03</v>
      </c>
      <c r="Q1013" s="1056">
        <v>0</v>
      </c>
      <c r="R1013" s="1056">
        <v>0</v>
      </c>
      <c r="S1013" s="1056">
        <v>0</v>
      </c>
      <c r="T1013" s="1056">
        <v>0</v>
      </c>
      <c r="U1013" s="1056">
        <v>0</v>
      </c>
      <c r="V1013" s="1056">
        <v>0</v>
      </c>
      <c r="W1013" s="1056">
        <v>0</v>
      </c>
      <c r="X1013" s="1056">
        <v>0</v>
      </c>
      <c r="Y1013" s="1056">
        <v>0</v>
      </c>
      <c r="Z1013" s="1056">
        <v>98430</v>
      </c>
      <c r="AA1013" s="1056">
        <v>0</v>
      </c>
    </row>
    <row r="1014" spans="1:27" ht="103.5" customHeight="1">
      <c r="A1014" s="1322"/>
      <c r="B1014" s="1062" t="s">
        <v>1053</v>
      </c>
      <c r="C1014" s="1056">
        <f>SUM(C1015:C1021)</f>
        <v>37279404.839999996</v>
      </c>
      <c r="D1014" s="1056">
        <f t="shared" ref="D1014:AA1014" si="591">SUM(D1015:D1021)</f>
        <v>0</v>
      </c>
      <c r="E1014" s="1056">
        <f t="shared" si="591"/>
        <v>0</v>
      </c>
      <c r="F1014" s="1056">
        <f t="shared" si="591"/>
        <v>0</v>
      </c>
      <c r="G1014" s="1056">
        <f t="shared" si="591"/>
        <v>0</v>
      </c>
      <c r="H1014" s="1056">
        <f t="shared" si="591"/>
        <v>0</v>
      </c>
      <c r="I1014" s="1056">
        <f t="shared" si="591"/>
        <v>0</v>
      </c>
      <c r="J1014" s="1056">
        <f t="shared" si="591"/>
        <v>0</v>
      </c>
      <c r="K1014" s="1056">
        <f t="shared" si="591"/>
        <v>0</v>
      </c>
      <c r="L1014" s="1056">
        <f t="shared" si="591"/>
        <v>0</v>
      </c>
      <c r="M1014" s="1056">
        <f t="shared" si="591"/>
        <v>6</v>
      </c>
      <c r="N1014" s="1056">
        <f t="shared" si="591"/>
        <v>16079622.370000001</v>
      </c>
      <c r="O1014" s="1056">
        <f t="shared" si="591"/>
        <v>5006.1000000000004</v>
      </c>
      <c r="P1014" s="1056">
        <f t="shared" si="591"/>
        <v>18491999.289999999</v>
      </c>
      <c r="Q1014" s="1056">
        <f t="shared" si="591"/>
        <v>0</v>
      </c>
      <c r="R1014" s="1056">
        <f t="shared" si="591"/>
        <v>0</v>
      </c>
      <c r="S1014" s="1056">
        <f t="shared" si="591"/>
        <v>0</v>
      </c>
      <c r="T1014" s="1056">
        <f t="shared" si="591"/>
        <v>0</v>
      </c>
      <c r="U1014" s="1056">
        <f t="shared" si="591"/>
        <v>0</v>
      </c>
      <c r="V1014" s="1056">
        <f t="shared" si="591"/>
        <v>0</v>
      </c>
      <c r="W1014" s="1056">
        <f t="shared" si="591"/>
        <v>0</v>
      </c>
      <c r="X1014" s="1056">
        <f t="shared" si="591"/>
        <v>0</v>
      </c>
      <c r="Y1014" s="1056">
        <f t="shared" si="591"/>
        <v>0</v>
      </c>
      <c r="Z1014" s="1056">
        <f t="shared" si="591"/>
        <v>2707783.18</v>
      </c>
      <c r="AA1014" s="1056">
        <f t="shared" si="591"/>
        <v>0</v>
      </c>
    </row>
    <row r="1015" spans="1:27" ht="115.5" customHeight="1">
      <c r="A1015" s="1322">
        <v>479</v>
      </c>
      <c r="B1015" s="1245" t="s">
        <v>1158</v>
      </c>
      <c r="C1015" s="1068">
        <f t="shared" ref="C1015" si="592">D1015+N1015+P1015+R1015+T1015+X1015+Z1015</f>
        <v>8669520.3100000005</v>
      </c>
      <c r="D1015" s="1068">
        <f t="shared" ref="D1015" si="593">SUM(E1015:J1015)</f>
        <v>0</v>
      </c>
      <c r="E1015" s="1068">
        <v>0</v>
      </c>
      <c r="F1015" s="1068">
        <v>0</v>
      </c>
      <c r="G1015" s="1068">
        <v>0</v>
      </c>
      <c r="H1015" s="1068">
        <v>0</v>
      </c>
      <c r="I1015" s="1068">
        <v>0</v>
      </c>
      <c r="J1015" s="1068">
        <v>0</v>
      </c>
      <c r="K1015" s="1063">
        <v>0</v>
      </c>
      <c r="L1015" s="1068">
        <v>0</v>
      </c>
      <c r="M1015" s="1063">
        <v>3</v>
      </c>
      <c r="N1015" s="1068">
        <v>8039811.1900000004</v>
      </c>
      <c r="O1015" s="1068">
        <v>0</v>
      </c>
      <c r="P1015" s="1068">
        <v>0</v>
      </c>
      <c r="Q1015" s="1068">
        <v>0</v>
      </c>
      <c r="R1015" s="1068">
        <v>0</v>
      </c>
      <c r="S1015" s="1068">
        <v>0</v>
      </c>
      <c r="T1015" s="1068">
        <v>0</v>
      </c>
      <c r="U1015" s="1056">
        <v>0</v>
      </c>
      <c r="V1015" s="1056">
        <v>0</v>
      </c>
      <c r="W1015" s="1068">
        <v>0</v>
      </c>
      <c r="X1015" s="1068">
        <v>0</v>
      </c>
      <c r="Y1015" s="1056">
        <v>0</v>
      </c>
      <c r="Z1015" s="1068">
        <v>629709.12</v>
      </c>
      <c r="AA1015" s="1068">
        <v>0</v>
      </c>
    </row>
    <row r="1016" spans="1:27" ht="115.5" customHeight="1">
      <c r="A1016" s="1322">
        <v>480</v>
      </c>
      <c r="B1016" s="1245" t="s">
        <v>2086</v>
      </c>
      <c r="C1016" s="1068">
        <f t="shared" ref="C1016:C1021" si="594">D1016+N1016+P1016+R1016+T1016+X1016+Z1016</f>
        <v>2889840.1</v>
      </c>
      <c r="D1016" s="1068">
        <f t="shared" ref="D1016:D1021" si="595">SUM(E1016:J1016)</f>
        <v>0</v>
      </c>
      <c r="E1016" s="1068">
        <v>0</v>
      </c>
      <c r="F1016" s="1068">
        <v>0</v>
      </c>
      <c r="G1016" s="1068">
        <v>0</v>
      </c>
      <c r="H1016" s="1068">
        <v>0</v>
      </c>
      <c r="I1016" s="1068">
        <v>0</v>
      </c>
      <c r="J1016" s="1068">
        <v>0</v>
      </c>
      <c r="K1016" s="1063">
        <v>0</v>
      </c>
      <c r="L1016" s="1068">
        <v>0</v>
      </c>
      <c r="M1016" s="1063">
        <v>1</v>
      </c>
      <c r="N1016" s="1068">
        <v>2679937.06</v>
      </c>
      <c r="O1016" s="1068">
        <v>0</v>
      </c>
      <c r="P1016" s="1068">
        <v>0</v>
      </c>
      <c r="Q1016" s="1068">
        <v>0</v>
      </c>
      <c r="R1016" s="1068">
        <v>0</v>
      </c>
      <c r="S1016" s="1068">
        <v>0</v>
      </c>
      <c r="T1016" s="1068">
        <v>0</v>
      </c>
      <c r="U1016" s="1056">
        <v>0</v>
      </c>
      <c r="V1016" s="1056">
        <v>0</v>
      </c>
      <c r="W1016" s="1068">
        <v>0</v>
      </c>
      <c r="X1016" s="1068">
        <v>0</v>
      </c>
      <c r="Y1016" s="1056">
        <v>0</v>
      </c>
      <c r="Z1016" s="1068">
        <v>209903.04</v>
      </c>
      <c r="AA1016" s="1068">
        <v>0</v>
      </c>
    </row>
    <row r="1017" spans="1:27" ht="109.5" customHeight="1">
      <c r="A1017" s="1322">
        <v>481</v>
      </c>
      <c r="B1017" s="1245" t="s">
        <v>2087</v>
      </c>
      <c r="C1017" s="1068">
        <f t="shared" si="594"/>
        <v>2889840.1</v>
      </c>
      <c r="D1017" s="1068">
        <f t="shared" si="595"/>
        <v>0</v>
      </c>
      <c r="E1017" s="1068">
        <v>0</v>
      </c>
      <c r="F1017" s="1068">
        <v>0</v>
      </c>
      <c r="G1017" s="1068">
        <v>0</v>
      </c>
      <c r="H1017" s="1068">
        <v>0</v>
      </c>
      <c r="I1017" s="1068">
        <v>0</v>
      </c>
      <c r="J1017" s="1068">
        <v>0</v>
      </c>
      <c r="K1017" s="1063">
        <v>0</v>
      </c>
      <c r="L1017" s="1068">
        <v>0</v>
      </c>
      <c r="M1017" s="1063">
        <v>1</v>
      </c>
      <c r="N1017" s="1068">
        <v>2679937.06</v>
      </c>
      <c r="O1017" s="1068">
        <v>0</v>
      </c>
      <c r="P1017" s="1068">
        <v>0</v>
      </c>
      <c r="Q1017" s="1068">
        <v>0</v>
      </c>
      <c r="R1017" s="1068">
        <v>0</v>
      </c>
      <c r="S1017" s="1068">
        <v>0</v>
      </c>
      <c r="T1017" s="1068">
        <v>0</v>
      </c>
      <c r="U1017" s="1056">
        <v>0</v>
      </c>
      <c r="V1017" s="1056">
        <v>0</v>
      </c>
      <c r="W1017" s="1068">
        <v>0</v>
      </c>
      <c r="X1017" s="1068">
        <v>0</v>
      </c>
      <c r="Y1017" s="1056">
        <v>0</v>
      </c>
      <c r="Z1017" s="1068">
        <v>209903.04</v>
      </c>
      <c r="AA1017" s="1068">
        <v>0</v>
      </c>
    </row>
    <row r="1018" spans="1:27" ht="65.25" customHeight="1">
      <c r="A1018" s="1322">
        <v>482</v>
      </c>
      <c r="B1018" s="1245" t="s">
        <v>517</v>
      </c>
      <c r="C1018" s="1068">
        <f t="shared" si="594"/>
        <v>2889840.1</v>
      </c>
      <c r="D1018" s="1068">
        <f t="shared" si="595"/>
        <v>0</v>
      </c>
      <c r="E1018" s="1068">
        <v>0</v>
      </c>
      <c r="F1018" s="1068">
        <v>0</v>
      </c>
      <c r="G1018" s="1068">
        <v>0</v>
      </c>
      <c r="H1018" s="1068">
        <v>0</v>
      </c>
      <c r="I1018" s="1068">
        <v>0</v>
      </c>
      <c r="J1018" s="1068">
        <v>0</v>
      </c>
      <c r="K1018" s="1063">
        <v>0</v>
      </c>
      <c r="L1018" s="1068">
        <v>0</v>
      </c>
      <c r="M1018" s="1063">
        <v>1</v>
      </c>
      <c r="N1018" s="1068">
        <v>2679937.06</v>
      </c>
      <c r="O1018" s="1068">
        <v>0</v>
      </c>
      <c r="P1018" s="1068">
        <v>0</v>
      </c>
      <c r="Q1018" s="1068">
        <v>0</v>
      </c>
      <c r="R1018" s="1068">
        <v>0</v>
      </c>
      <c r="S1018" s="1068">
        <v>0</v>
      </c>
      <c r="T1018" s="1068">
        <v>0</v>
      </c>
      <c r="U1018" s="1056">
        <v>0</v>
      </c>
      <c r="V1018" s="1056">
        <v>0</v>
      </c>
      <c r="W1018" s="1068">
        <v>0</v>
      </c>
      <c r="X1018" s="1068">
        <v>0</v>
      </c>
      <c r="Y1018" s="1056">
        <v>0</v>
      </c>
      <c r="Z1018" s="1068">
        <v>209903.04</v>
      </c>
      <c r="AA1018" s="1068">
        <v>0</v>
      </c>
    </row>
    <row r="1019" spans="1:27" ht="106.5" customHeight="1">
      <c r="A1019" s="1322">
        <v>483</v>
      </c>
      <c r="B1019" s="1245" t="s">
        <v>1229</v>
      </c>
      <c r="C1019" s="1068">
        <f t="shared" si="594"/>
        <v>4747568.4000000004</v>
      </c>
      <c r="D1019" s="1068">
        <f t="shared" si="595"/>
        <v>0</v>
      </c>
      <c r="E1019" s="1068">
        <v>0</v>
      </c>
      <c r="F1019" s="1068">
        <v>0</v>
      </c>
      <c r="G1019" s="1068">
        <v>0</v>
      </c>
      <c r="H1019" s="1068">
        <v>0</v>
      </c>
      <c r="I1019" s="1068">
        <v>0</v>
      </c>
      <c r="J1019" s="1068">
        <v>0</v>
      </c>
      <c r="K1019" s="1063">
        <v>0</v>
      </c>
      <c r="L1019" s="1068">
        <v>0</v>
      </c>
      <c r="M1019" s="1063">
        <v>0</v>
      </c>
      <c r="N1019" s="1068">
        <v>0</v>
      </c>
      <c r="O1019" s="1068">
        <v>924.6</v>
      </c>
      <c r="P1019" s="1068">
        <v>4402729.58</v>
      </c>
      <c r="Q1019" s="1068">
        <v>0</v>
      </c>
      <c r="R1019" s="1068">
        <v>0</v>
      </c>
      <c r="S1019" s="1068">
        <v>0</v>
      </c>
      <c r="T1019" s="1068">
        <v>0</v>
      </c>
      <c r="U1019" s="1056">
        <v>0</v>
      </c>
      <c r="V1019" s="1056">
        <v>0</v>
      </c>
      <c r="W1019" s="1068">
        <v>0</v>
      </c>
      <c r="X1019" s="1068">
        <v>0</v>
      </c>
      <c r="Y1019" s="1056">
        <v>0</v>
      </c>
      <c r="Z1019" s="1068">
        <v>344838.82</v>
      </c>
      <c r="AA1019" s="1068">
        <v>0</v>
      </c>
    </row>
    <row r="1020" spans="1:27" ht="83.25" customHeight="1">
      <c r="A1020" s="1322">
        <v>484</v>
      </c>
      <c r="B1020" s="1245" t="s">
        <v>1230</v>
      </c>
      <c r="C1020" s="1068">
        <f t="shared" si="594"/>
        <v>12282943.84</v>
      </c>
      <c r="D1020" s="1068">
        <f t="shared" si="595"/>
        <v>0</v>
      </c>
      <c r="E1020" s="1068">
        <v>0</v>
      </c>
      <c r="F1020" s="1068">
        <v>0</v>
      </c>
      <c r="G1020" s="1068">
        <v>0</v>
      </c>
      <c r="H1020" s="1068">
        <v>0</v>
      </c>
      <c r="I1020" s="1068">
        <v>0</v>
      </c>
      <c r="J1020" s="1068">
        <v>0</v>
      </c>
      <c r="K1020" s="1063">
        <v>0</v>
      </c>
      <c r="L1020" s="1068">
        <v>0</v>
      </c>
      <c r="M1020" s="1063">
        <v>0</v>
      </c>
      <c r="N1020" s="1068">
        <v>0</v>
      </c>
      <c r="O1020" s="1068">
        <v>3399</v>
      </c>
      <c r="P1020" s="1068">
        <v>11390774.32</v>
      </c>
      <c r="Q1020" s="1068">
        <v>0</v>
      </c>
      <c r="R1020" s="1068">
        <v>0</v>
      </c>
      <c r="S1020" s="1068">
        <v>0</v>
      </c>
      <c r="T1020" s="1068">
        <v>0</v>
      </c>
      <c r="U1020" s="1056">
        <v>0</v>
      </c>
      <c r="V1020" s="1056">
        <v>0</v>
      </c>
      <c r="W1020" s="1068">
        <v>0</v>
      </c>
      <c r="X1020" s="1068">
        <v>0</v>
      </c>
      <c r="Y1020" s="1056">
        <v>0</v>
      </c>
      <c r="Z1020" s="1068">
        <v>892169.52</v>
      </c>
      <c r="AA1020" s="1068">
        <v>0</v>
      </c>
    </row>
    <row r="1021" spans="1:27" ht="71.25" customHeight="1">
      <c r="A1021" s="1322">
        <v>485</v>
      </c>
      <c r="B1021" s="1245" t="s">
        <v>1231</v>
      </c>
      <c r="C1021" s="1068">
        <f t="shared" si="594"/>
        <v>2909851.99</v>
      </c>
      <c r="D1021" s="1068">
        <f t="shared" si="595"/>
        <v>0</v>
      </c>
      <c r="E1021" s="1068">
        <v>0</v>
      </c>
      <c r="F1021" s="1068">
        <v>0</v>
      </c>
      <c r="G1021" s="1068">
        <v>0</v>
      </c>
      <c r="H1021" s="1068">
        <v>0</v>
      </c>
      <c r="I1021" s="1068">
        <v>0</v>
      </c>
      <c r="J1021" s="1068">
        <v>0</v>
      </c>
      <c r="K1021" s="1063">
        <v>0</v>
      </c>
      <c r="L1021" s="1068">
        <v>0</v>
      </c>
      <c r="M1021" s="1063">
        <v>0</v>
      </c>
      <c r="N1021" s="1068">
        <v>0</v>
      </c>
      <c r="O1021" s="1068">
        <v>682.5</v>
      </c>
      <c r="P1021" s="1068">
        <v>2698495.39</v>
      </c>
      <c r="Q1021" s="1068">
        <v>0</v>
      </c>
      <c r="R1021" s="1068">
        <v>0</v>
      </c>
      <c r="S1021" s="1068">
        <v>0</v>
      </c>
      <c r="T1021" s="1068">
        <v>0</v>
      </c>
      <c r="U1021" s="1056">
        <v>0</v>
      </c>
      <c r="V1021" s="1056">
        <v>0</v>
      </c>
      <c r="W1021" s="1068">
        <v>0</v>
      </c>
      <c r="X1021" s="1068">
        <v>0</v>
      </c>
      <c r="Y1021" s="1056">
        <v>0</v>
      </c>
      <c r="Z1021" s="1068">
        <v>211356.6</v>
      </c>
      <c r="AA1021" s="1068">
        <v>0</v>
      </c>
    </row>
    <row r="1022" spans="1:27" ht="71.25" customHeight="1">
      <c r="A1022" s="1322"/>
      <c r="B1022" s="1062" t="s">
        <v>67</v>
      </c>
      <c r="C1022" s="1056">
        <f>C1023+C1027</f>
        <v>6477572.2299999995</v>
      </c>
      <c r="D1022" s="1056">
        <f t="shared" ref="D1022:AA1022" si="596">D1023+D1027</f>
        <v>946094.92999999993</v>
      </c>
      <c r="E1022" s="1056">
        <f t="shared" si="596"/>
        <v>946094.92999999993</v>
      </c>
      <c r="F1022" s="1056">
        <f t="shared" si="596"/>
        <v>0</v>
      </c>
      <c r="G1022" s="1056">
        <f t="shared" si="596"/>
        <v>0</v>
      </c>
      <c r="H1022" s="1056">
        <f t="shared" si="596"/>
        <v>0</v>
      </c>
      <c r="I1022" s="1056">
        <f t="shared" si="596"/>
        <v>0</v>
      </c>
      <c r="J1022" s="1056">
        <f t="shared" si="596"/>
        <v>0</v>
      </c>
      <c r="K1022" s="1056">
        <f t="shared" si="596"/>
        <v>0</v>
      </c>
      <c r="L1022" s="1056">
        <f t="shared" si="596"/>
        <v>0</v>
      </c>
      <c r="M1022" s="1056">
        <f t="shared" si="596"/>
        <v>0</v>
      </c>
      <c r="N1022" s="1056">
        <f t="shared" si="596"/>
        <v>0</v>
      </c>
      <c r="O1022" s="1056">
        <f t="shared" si="596"/>
        <v>1319.1999999999998</v>
      </c>
      <c r="P1022" s="1056">
        <f t="shared" si="596"/>
        <v>5060979.8100000005</v>
      </c>
      <c r="Q1022" s="1056">
        <f t="shared" si="596"/>
        <v>0</v>
      </c>
      <c r="R1022" s="1056">
        <f t="shared" si="596"/>
        <v>0</v>
      </c>
      <c r="S1022" s="1056">
        <f t="shared" si="596"/>
        <v>0</v>
      </c>
      <c r="T1022" s="1056">
        <f t="shared" si="596"/>
        <v>0</v>
      </c>
      <c r="U1022" s="1056">
        <f t="shared" si="596"/>
        <v>0</v>
      </c>
      <c r="V1022" s="1056">
        <f t="shared" si="596"/>
        <v>0</v>
      </c>
      <c r="W1022" s="1056">
        <f t="shared" si="596"/>
        <v>0</v>
      </c>
      <c r="X1022" s="1056">
        <f t="shared" si="596"/>
        <v>0</v>
      </c>
      <c r="Y1022" s="1056">
        <f t="shared" si="596"/>
        <v>0</v>
      </c>
      <c r="Z1022" s="1056">
        <f t="shared" si="596"/>
        <v>470497.49000000005</v>
      </c>
      <c r="AA1022" s="1056">
        <f t="shared" si="596"/>
        <v>0</v>
      </c>
    </row>
    <row r="1023" spans="1:27" ht="132.75" customHeight="1">
      <c r="A1023" s="1322"/>
      <c r="B1023" s="1062" t="s">
        <v>1081</v>
      </c>
      <c r="C1023" s="1056">
        <f>C1024+C1025+C1026</f>
        <v>5457375.4799999995</v>
      </c>
      <c r="D1023" s="1056">
        <f t="shared" ref="D1023:AA1023" si="597">D1024+D1025+D1026</f>
        <v>0</v>
      </c>
      <c r="E1023" s="1056">
        <f t="shared" si="597"/>
        <v>0</v>
      </c>
      <c r="F1023" s="1056">
        <f t="shared" si="597"/>
        <v>0</v>
      </c>
      <c r="G1023" s="1056">
        <f t="shared" si="597"/>
        <v>0</v>
      </c>
      <c r="H1023" s="1056">
        <f t="shared" si="597"/>
        <v>0</v>
      </c>
      <c r="I1023" s="1056">
        <f t="shared" si="597"/>
        <v>0</v>
      </c>
      <c r="J1023" s="1056">
        <f t="shared" si="597"/>
        <v>0</v>
      </c>
      <c r="K1023" s="1056">
        <f t="shared" si="597"/>
        <v>0</v>
      </c>
      <c r="L1023" s="1056">
        <f t="shared" si="597"/>
        <v>0</v>
      </c>
      <c r="M1023" s="1056">
        <f t="shared" si="597"/>
        <v>0</v>
      </c>
      <c r="N1023" s="1056">
        <f t="shared" si="597"/>
        <v>0</v>
      </c>
      <c r="O1023" s="1056">
        <f t="shared" si="597"/>
        <v>1319.1999999999998</v>
      </c>
      <c r="P1023" s="1056">
        <f t="shared" si="597"/>
        <v>5060979.8100000005</v>
      </c>
      <c r="Q1023" s="1056">
        <f t="shared" si="597"/>
        <v>0</v>
      </c>
      <c r="R1023" s="1056">
        <f t="shared" si="597"/>
        <v>0</v>
      </c>
      <c r="S1023" s="1056">
        <f t="shared" si="597"/>
        <v>0</v>
      </c>
      <c r="T1023" s="1056">
        <f t="shared" si="597"/>
        <v>0</v>
      </c>
      <c r="U1023" s="1056">
        <f t="shared" si="597"/>
        <v>0</v>
      </c>
      <c r="V1023" s="1056">
        <f t="shared" si="597"/>
        <v>0</v>
      </c>
      <c r="W1023" s="1056">
        <f t="shared" si="597"/>
        <v>0</v>
      </c>
      <c r="X1023" s="1056">
        <f t="shared" si="597"/>
        <v>0</v>
      </c>
      <c r="Y1023" s="1056">
        <f t="shared" si="597"/>
        <v>0</v>
      </c>
      <c r="Z1023" s="1056">
        <f t="shared" si="597"/>
        <v>396395.67000000004</v>
      </c>
      <c r="AA1023" s="1056">
        <f t="shared" si="597"/>
        <v>0</v>
      </c>
    </row>
    <row r="1024" spans="1:27" ht="121.5" customHeight="1">
      <c r="A1024" s="1322">
        <v>486</v>
      </c>
      <c r="B1024" s="1062" t="s">
        <v>1300</v>
      </c>
      <c r="C1024" s="1056">
        <f>P1024+Z1024</f>
        <v>2184627.34</v>
      </c>
      <c r="D1024" s="1056">
        <v>0</v>
      </c>
      <c r="E1024" s="1056">
        <v>0</v>
      </c>
      <c r="F1024" s="1056">
        <v>0</v>
      </c>
      <c r="G1024" s="1056">
        <v>0</v>
      </c>
      <c r="H1024" s="1056">
        <v>0</v>
      </c>
      <c r="I1024" s="1056">
        <v>0</v>
      </c>
      <c r="J1024" s="1056">
        <v>0</v>
      </c>
      <c r="K1024" s="1063">
        <v>0</v>
      </c>
      <c r="L1024" s="1056">
        <v>0</v>
      </c>
      <c r="M1024" s="1063">
        <v>0</v>
      </c>
      <c r="N1024" s="1056">
        <v>0</v>
      </c>
      <c r="O1024" s="1056">
        <v>512.4</v>
      </c>
      <c r="P1024" s="1056">
        <v>2025947.31</v>
      </c>
      <c r="Q1024" s="1056">
        <v>0</v>
      </c>
      <c r="R1024" s="1056">
        <v>0</v>
      </c>
      <c r="S1024" s="1056">
        <v>0</v>
      </c>
      <c r="T1024" s="1056">
        <v>0</v>
      </c>
      <c r="U1024" s="1056">
        <v>0</v>
      </c>
      <c r="V1024" s="1056">
        <v>0</v>
      </c>
      <c r="W1024" s="1056">
        <v>0</v>
      </c>
      <c r="X1024" s="1056">
        <v>0</v>
      </c>
      <c r="Y1024" s="1056">
        <v>0</v>
      </c>
      <c r="Z1024" s="1056">
        <v>158680.03</v>
      </c>
      <c r="AA1024" s="1056">
        <v>0</v>
      </c>
    </row>
    <row r="1025" spans="1:27" ht="112.5" customHeight="1">
      <c r="A1025" s="1322">
        <v>487</v>
      </c>
      <c r="B1025" s="1062" t="s">
        <v>1301</v>
      </c>
      <c r="C1025" s="1056">
        <f>P1025+Z1025</f>
        <v>1719903</v>
      </c>
      <c r="D1025" s="1056">
        <v>0</v>
      </c>
      <c r="E1025" s="1056">
        <v>0</v>
      </c>
      <c r="F1025" s="1056">
        <v>0</v>
      </c>
      <c r="G1025" s="1056">
        <v>0</v>
      </c>
      <c r="H1025" s="1056">
        <v>0</v>
      </c>
      <c r="I1025" s="1056">
        <v>0</v>
      </c>
      <c r="J1025" s="1056">
        <v>0</v>
      </c>
      <c r="K1025" s="1063">
        <v>0</v>
      </c>
      <c r="L1025" s="1056">
        <v>0</v>
      </c>
      <c r="M1025" s="1063">
        <v>0</v>
      </c>
      <c r="N1025" s="1056">
        <v>0</v>
      </c>
      <c r="O1025" s="1056">
        <v>403.4</v>
      </c>
      <c r="P1025" s="1056">
        <v>1594978</v>
      </c>
      <c r="Q1025" s="1056">
        <v>0</v>
      </c>
      <c r="R1025" s="1056">
        <v>0</v>
      </c>
      <c r="S1025" s="1056">
        <v>0</v>
      </c>
      <c r="T1025" s="1056">
        <v>0</v>
      </c>
      <c r="U1025" s="1056">
        <v>0</v>
      </c>
      <c r="V1025" s="1056">
        <v>0</v>
      </c>
      <c r="W1025" s="1056">
        <v>0</v>
      </c>
      <c r="X1025" s="1056">
        <v>0</v>
      </c>
      <c r="Y1025" s="1056">
        <v>0</v>
      </c>
      <c r="Z1025" s="1056">
        <v>124925</v>
      </c>
      <c r="AA1025" s="1056">
        <v>0</v>
      </c>
    </row>
    <row r="1026" spans="1:27" ht="94.5" customHeight="1">
      <c r="A1026" s="1322">
        <v>488</v>
      </c>
      <c r="B1026" s="1062" t="s">
        <v>1308</v>
      </c>
      <c r="C1026" s="1056">
        <f>P1026+Z1026</f>
        <v>1552845.14</v>
      </c>
      <c r="D1026" s="1056">
        <v>0</v>
      </c>
      <c r="E1026" s="1056">
        <v>0</v>
      </c>
      <c r="F1026" s="1056">
        <v>0</v>
      </c>
      <c r="G1026" s="1056">
        <v>0</v>
      </c>
      <c r="H1026" s="1056">
        <v>0</v>
      </c>
      <c r="I1026" s="1056">
        <v>0</v>
      </c>
      <c r="J1026" s="1056">
        <v>0</v>
      </c>
      <c r="K1026" s="1063">
        <v>0</v>
      </c>
      <c r="L1026" s="1056">
        <v>0</v>
      </c>
      <c r="M1026" s="1063">
        <v>0</v>
      </c>
      <c r="N1026" s="1056">
        <v>0</v>
      </c>
      <c r="O1026" s="1056">
        <v>403.4</v>
      </c>
      <c r="P1026" s="1056">
        <v>1440054.5</v>
      </c>
      <c r="Q1026" s="1056">
        <v>0</v>
      </c>
      <c r="R1026" s="1056">
        <v>0</v>
      </c>
      <c r="S1026" s="1056">
        <v>0</v>
      </c>
      <c r="T1026" s="1056">
        <v>0</v>
      </c>
      <c r="U1026" s="1056">
        <v>0</v>
      </c>
      <c r="V1026" s="1056">
        <v>0</v>
      </c>
      <c r="W1026" s="1056">
        <v>0</v>
      </c>
      <c r="X1026" s="1056">
        <v>0</v>
      </c>
      <c r="Y1026" s="1056">
        <v>0</v>
      </c>
      <c r="Z1026" s="1056">
        <v>112790.64</v>
      </c>
      <c r="AA1026" s="1056">
        <v>0</v>
      </c>
    </row>
    <row r="1027" spans="1:27" ht="100.5" customHeight="1">
      <c r="A1027" s="1322"/>
      <c r="B1027" s="1062" t="s">
        <v>1065</v>
      </c>
      <c r="C1027" s="1056">
        <f>C1028+C1029</f>
        <v>1020196.75</v>
      </c>
      <c r="D1027" s="1056">
        <f t="shared" ref="D1027:AA1027" si="598">D1028+D1029</f>
        <v>946094.92999999993</v>
      </c>
      <c r="E1027" s="1056">
        <f t="shared" si="598"/>
        <v>946094.92999999993</v>
      </c>
      <c r="F1027" s="1056">
        <f t="shared" si="598"/>
        <v>0</v>
      </c>
      <c r="G1027" s="1056">
        <f t="shared" si="598"/>
        <v>0</v>
      </c>
      <c r="H1027" s="1056">
        <f t="shared" si="598"/>
        <v>0</v>
      </c>
      <c r="I1027" s="1056">
        <f t="shared" si="598"/>
        <v>0</v>
      </c>
      <c r="J1027" s="1056">
        <f t="shared" si="598"/>
        <v>0</v>
      </c>
      <c r="K1027" s="1056">
        <f t="shared" si="598"/>
        <v>0</v>
      </c>
      <c r="L1027" s="1056">
        <f t="shared" si="598"/>
        <v>0</v>
      </c>
      <c r="M1027" s="1056">
        <f t="shared" si="598"/>
        <v>0</v>
      </c>
      <c r="N1027" s="1056">
        <f t="shared" si="598"/>
        <v>0</v>
      </c>
      <c r="O1027" s="1056">
        <f t="shared" si="598"/>
        <v>0</v>
      </c>
      <c r="P1027" s="1056">
        <f t="shared" si="598"/>
        <v>0</v>
      </c>
      <c r="Q1027" s="1056">
        <f t="shared" si="598"/>
        <v>0</v>
      </c>
      <c r="R1027" s="1056">
        <f t="shared" si="598"/>
        <v>0</v>
      </c>
      <c r="S1027" s="1056">
        <f t="shared" si="598"/>
        <v>0</v>
      </c>
      <c r="T1027" s="1056">
        <f t="shared" si="598"/>
        <v>0</v>
      </c>
      <c r="U1027" s="1056">
        <f t="shared" si="598"/>
        <v>0</v>
      </c>
      <c r="V1027" s="1056">
        <f t="shared" si="598"/>
        <v>0</v>
      </c>
      <c r="W1027" s="1056">
        <f t="shared" si="598"/>
        <v>0</v>
      </c>
      <c r="X1027" s="1056">
        <f t="shared" si="598"/>
        <v>0</v>
      </c>
      <c r="Y1027" s="1056">
        <f t="shared" si="598"/>
        <v>0</v>
      </c>
      <c r="Z1027" s="1056">
        <f t="shared" si="598"/>
        <v>74101.820000000007</v>
      </c>
      <c r="AA1027" s="1056">
        <f t="shared" si="598"/>
        <v>0</v>
      </c>
    </row>
    <row r="1028" spans="1:27" ht="80.25" customHeight="1">
      <c r="A1028" s="1322">
        <v>489</v>
      </c>
      <c r="B1028" s="1062" t="s">
        <v>1084</v>
      </c>
      <c r="C1028" s="1068">
        <f t="shared" ref="C1028:C1029" si="599">D1028+N1028+P1028+R1028+T1028+X1028+Z1028</f>
        <v>488724.88</v>
      </c>
      <c r="D1028" s="1068">
        <f t="shared" ref="D1028:D1029" si="600">SUM(E1028:J1028)</f>
        <v>453226.43</v>
      </c>
      <c r="E1028" s="1068">
        <v>453226.43</v>
      </c>
      <c r="F1028" s="1068">
        <v>0</v>
      </c>
      <c r="G1028" s="1068">
        <v>0</v>
      </c>
      <c r="H1028" s="1068">
        <v>0</v>
      </c>
      <c r="I1028" s="1068">
        <v>0</v>
      </c>
      <c r="J1028" s="1068">
        <v>0</v>
      </c>
      <c r="K1028" s="1063">
        <v>0</v>
      </c>
      <c r="L1028" s="1068">
        <v>0</v>
      </c>
      <c r="M1028" s="1063">
        <v>0</v>
      </c>
      <c r="N1028" s="1068">
        <v>0</v>
      </c>
      <c r="O1028" s="1068">
        <v>0</v>
      </c>
      <c r="P1028" s="1068">
        <v>0</v>
      </c>
      <c r="Q1028" s="1068">
        <v>0</v>
      </c>
      <c r="R1028" s="1068">
        <v>0</v>
      </c>
      <c r="S1028" s="1068">
        <v>0</v>
      </c>
      <c r="T1028" s="1068">
        <v>0</v>
      </c>
      <c r="U1028" s="1056">
        <v>0</v>
      </c>
      <c r="V1028" s="1056">
        <v>0</v>
      </c>
      <c r="W1028" s="1068">
        <v>0</v>
      </c>
      <c r="X1028" s="1068">
        <v>0</v>
      </c>
      <c r="Y1028" s="1056">
        <v>0</v>
      </c>
      <c r="Z1028" s="1068">
        <v>35498.449999999997</v>
      </c>
      <c r="AA1028" s="1068">
        <v>0</v>
      </c>
    </row>
    <row r="1029" spans="1:27" ht="89.25" customHeight="1">
      <c r="A1029" s="1322">
        <v>490</v>
      </c>
      <c r="B1029" s="1062" t="s">
        <v>1086</v>
      </c>
      <c r="C1029" s="1068">
        <f t="shared" si="599"/>
        <v>531471.87</v>
      </c>
      <c r="D1029" s="1068">
        <f t="shared" si="600"/>
        <v>492868.5</v>
      </c>
      <c r="E1029" s="1068">
        <v>492868.5</v>
      </c>
      <c r="F1029" s="1068">
        <v>0</v>
      </c>
      <c r="G1029" s="1068">
        <v>0</v>
      </c>
      <c r="H1029" s="1068">
        <v>0</v>
      </c>
      <c r="I1029" s="1068">
        <v>0</v>
      </c>
      <c r="J1029" s="1068">
        <v>0</v>
      </c>
      <c r="K1029" s="1063">
        <v>0</v>
      </c>
      <c r="L1029" s="1068">
        <v>0</v>
      </c>
      <c r="M1029" s="1063">
        <v>0</v>
      </c>
      <c r="N1029" s="1068">
        <v>0</v>
      </c>
      <c r="O1029" s="1068">
        <v>0</v>
      </c>
      <c r="P1029" s="1068">
        <v>0</v>
      </c>
      <c r="Q1029" s="1068">
        <v>0</v>
      </c>
      <c r="R1029" s="1068">
        <v>0</v>
      </c>
      <c r="S1029" s="1068">
        <v>0</v>
      </c>
      <c r="T1029" s="1068">
        <v>0</v>
      </c>
      <c r="U1029" s="1056">
        <v>0</v>
      </c>
      <c r="V1029" s="1056">
        <v>0</v>
      </c>
      <c r="W1029" s="1068">
        <v>0</v>
      </c>
      <c r="X1029" s="1068">
        <v>0</v>
      </c>
      <c r="Y1029" s="1056">
        <v>0</v>
      </c>
      <c r="Z1029" s="1068">
        <v>38603.370000000003</v>
      </c>
      <c r="AA1029" s="1068">
        <v>0</v>
      </c>
    </row>
    <row r="1030" spans="1:27">
      <c r="A1030" s="1448" t="s">
        <v>1193</v>
      </c>
      <c r="B1030" s="1448"/>
      <c r="C1030" s="1448"/>
      <c r="D1030" s="1448"/>
      <c r="E1030" s="1448"/>
      <c r="F1030" s="1448"/>
      <c r="G1030" s="1448"/>
      <c r="H1030" s="1448"/>
      <c r="I1030" s="1448"/>
      <c r="J1030" s="1448"/>
      <c r="K1030" s="1448"/>
      <c r="L1030" s="1448"/>
      <c r="M1030" s="1448"/>
      <c r="N1030" s="1448"/>
      <c r="O1030" s="1448"/>
      <c r="P1030" s="1448"/>
      <c r="Q1030" s="1448"/>
      <c r="R1030" s="1448"/>
      <c r="S1030" s="1448"/>
      <c r="T1030" s="1448"/>
      <c r="U1030" s="1448"/>
      <c r="V1030" s="1448"/>
      <c r="W1030" s="1448"/>
      <c r="X1030" s="1448"/>
      <c r="Y1030" s="1448"/>
      <c r="Z1030" s="1448"/>
      <c r="AA1030" s="1448"/>
    </row>
    <row r="1031" spans="1:27">
      <c r="A1031" s="1448" t="s">
        <v>1194</v>
      </c>
      <c r="B1031" s="1448"/>
      <c r="C1031" s="1448"/>
      <c r="D1031" s="1448"/>
      <c r="E1031" s="1448"/>
      <c r="F1031" s="1448"/>
      <c r="G1031" s="1448"/>
      <c r="H1031" s="1448"/>
      <c r="I1031" s="1448"/>
      <c r="J1031" s="1448"/>
      <c r="K1031" s="1448"/>
      <c r="L1031" s="1448"/>
      <c r="M1031" s="1448"/>
      <c r="N1031" s="1448"/>
      <c r="O1031" s="1448"/>
      <c r="P1031" s="1448"/>
      <c r="Q1031" s="1448"/>
      <c r="R1031" s="1448"/>
      <c r="S1031" s="1448"/>
      <c r="T1031" s="1448"/>
      <c r="U1031" s="1448"/>
      <c r="V1031" s="1448"/>
      <c r="W1031" s="1448"/>
      <c r="X1031" s="1448"/>
      <c r="Y1031" s="1448"/>
      <c r="Z1031" s="1448"/>
      <c r="AA1031" s="1448"/>
    </row>
    <row r="1032" spans="1:27">
      <c r="A1032" s="1448" t="s">
        <v>1195</v>
      </c>
      <c r="B1032" s="1448"/>
      <c r="C1032" s="1448"/>
      <c r="D1032" s="1448"/>
      <c r="E1032" s="1448"/>
      <c r="F1032" s="1448"/>
      <c r="G1032" s="1448"/>
      <c r="H1032" s="1448"/>
      <c r="I1032" s="1448"/>
      <c r="J1032" s="1448"/>
      <c r="K1032" s="1448"/>
      <c r="L1032" s="1448"/>
      <c r="M1032" s="1448"/>
      <c r="N1032" s="1448"/>
      <c r="O1032" s="1448"/>
      <c r="P1032" s="1448"/>
      <c r="Q1032" s="1448"/>
      <c r="R1032" s="1448"/>
      <c r="S1032" s="1448"/>
      <c r="T1032" s="1448"/>
      <c r="U1032" s="1448"/>
      <c r="V1032" s="1448"/>
      <c r="W1032" s="1448"/>
      <c r="X1032" s="1448"/>
      <c r="Y1032" s="1448"/>
      <c r="Z1032" s="1448"/>
      <c r="AA1032" s="1448"/>
    </row>
    <row r="1033" spans="1:27">
      <c r="A1033" s="1451" t="s">
        <v>1257</v>
      </c>
      <c r="B1033" s="1451"/>
      <c r="C1033" s="1451"/>
      <c r="D1033" s="1451"/>
      <c r="E1033" s="1451"/>
      <c r="F1033" s="1451"/>
      <c r="G1033" s="1451"/>
      <c r="H1033" s="1451"/>
      <c r="I1033" s="1451"/>
      <c r="J1033" s="1451"/>
      <c r="K1033" s="1451"/>
      <c r="L1033" s="1451"/>
      <c r="M1033" s="1451"/>
      <c r="N1033" s="1451"/>
      <c r="O1033" s="1451"/>
      <c r="P1033" s="1451"/>
      <c r="Q1033" s="1451"/>
      <c r="R1033" s="1451"/>
      <c r="S1033" s="1451"/>
      <c r="T1033" s="1451"/>
      <c r="U1033" s="1451"/>
      <c r="V1033" s="1451"/>
      <c r="W1033" s="1451"/>
      <c r="X1033" s="1451"/>
      <c r="Y1033" s="1451"/>
      <c r="Z1033" s="1451"/>
      <c r="AA1033" s="1451"/>
    </row>
    <row r="1034" spans="1:27">
      <c r="A1034" s="1452" t="s">
        <v>1330</v>
      </c>
      <c r="B1034" s="1452"/>
      <c r="C1034" s="1452"/>
      <c r="D1034" s="1452"/>
      <c r="E1034" s="1452"/>
      <c r="F1034" s="1452"/>
      <c r="G1034" s="1452"/>
      <c r="H1034" s="1452"/>
      <c r="I1034" s="1452"/>
      <c r="J1034" s="1452"/>
      <c r="K1034" s="1452"/>
      <c r="L1034" s="1452"/>
      <c r="M1034" s="1452"/>
      <c r="N1034" s="1452"/>
      <c r="O1034" s="1452"/>
      <c r="P1034" s="1452"/>
      <c r="Q1034" s="1452"/>
      <c r="R1034" s="1452"/>
      <c r="S1034" s="1452"/>
      <c r="T1034" s="1452"/>
      <c r="U1034" s="1452"/>
      <c r="V1034" s="1452"/>
      <c r="W1034" s="1452"/>
      <c r="X1034" s="1452"/>
      <c r="Y1034" s="1452"/>
      <c r="Z1034" s="1452"/>
      <c r="AA1034" s="1452"/>
    </row>
    <row r="1035" spans="1:27">
      <c r="A1035" s="1452"/>
      <c r="B1035" s="1452"/>
      <c r="C1035" s="1452"/>
      <c r="D1035" s="1452"/>
      <c r="E1035" s="1452"/>
      <c r="F1035" s="1452"/>
      <c r="G1035" s="1452"/>
      <c r="H1035" s="1452"/>
      <c r="I1035" s="1452"/>
      <c r="J1035" s="1452"/>
      <c r="K1035" s="1452"/>
      <c r="L1035" s="1452"/>
      <c r="M1035" s="1452"/>
      <c r="N1035" s="1452"/>
      <c r="O1035" s="1452"/>
      <c r="P1035" s="1452"/>
      <c r="Q1035" s="1452"/>
      <c r="R1035" s="1452"/>
      <c r="S1035" s="1452"/>
      <c r="T1035" s="1452"/>
      <c r="U1035" s="1452"/>
      <c r="V1035" s="1452"/>
      <c r="W1035" s="1452"/>
      <c r="X1035" s="1452"/>
      <c r="Y1035" s="1452"/>
      <c r="Z1035" s="1452"/>
      <c r="AA1035" s="1452"/>
    </row>
    <row r="1036" spans="1:27">
      <c r="A1036" s="1450"/>
      <c r="B1036" s="1450"/>
      <c r="C1036" s="1450"/>
      <c r="D1036" s="1450"/>
      <c r="E1036" s="1450"/>
      <c r="F1036" s="1450"/>
      <c r="G1036" s="1450"/>
      <c r="H1036" s="1450"/>
      <c r="I1036" s="1450"/>
      <c r="J1036" s="1450"/>
      <c r="K1036" s="1450"/>
      <c r="L1036" s="1450"/>
      <c r="M1036" s="1450"/>
      <c r="N1036" s="1450"/>
      <c r="O1036" s="1450"/>
      <c r="P1036" s="1450"/>
      <c r="Q1036" s="1450"/>
      <c r="R1036" s="1450"/>
      <c r="S1036" s="1450"/>
      <c r="T1036" s="1450"/>
      <c r="U1036" s="1450"/>
      <c r="V1036" s="1450"/>
      <c r="W1036" s="1450"/>
      <c r="X1036" s="1450"/>
      <c r="Y1036" s="1450"/>
      <c r="Z1036" s="1450"/>
      <c r="AA1036" s="1450"/>
    </row>
    <row r="1037" spans="1:27">
      <c r="A1037" s="1450"/>
      <c r="B1037" s="1450"/>
      <c r="C1037" s="1450"/>
      <c r="D1037" s="1450"/>
      <c r="E1037" s="1450"/>
      <c r="F1037" s="1450"/>
      <c r="G1037" s="1450"/>
      <c r="H1037" s="1450"/>
      <c r="I1037" s="1450"/>
      <c r="J1037" s="1450"/>
      <c r="K1037" s="1450"/>
      <c r="L1037" s="1450"/>
      <c r="M1037" s="1450"/>
      <c r="N1037" s="1450"/>
      <c r="O1037" s="1450"/>
      <c r="P1037" s="1450"/>
      <c r="Q1037" s="1450"/>
      <c r="R1037" s="1450"/>
      <c r="S1037" s="1450"/>
      <c r="T1037" s="1450"/>
      <c r="U1037" s="1450"/>
      <c r="V1037" s="1450"/>
      <c r="W1037" s="1450"/>
      <c r="X1037" s="1450"/>
      <c r="Y1037" s="1450"/>
      <c r="Z1037" s="1450"/>
      <c r="AA1037" s="1450"/>
    </row>
    <row r="1038" spans="1:27">
      <c r="A1038" s="1450"/>
      <c r="B1038" s="1450"/>
      <c r="C1038" s="1450"/>
      <c r="D1038" s="1450"/>
      <c r="E1038" s="1450"/>
      <c r="F1038" s="1450"/>
      <c r="G1038" s="1450"/>
      <c r="H1038" s="1450"/>
      <c r="I1038" s="1450"/>
      <c r="J1038" s="1450"/>
      <c r="K1038" s="1450"/>
      <c r="L1038" s="1450"/>
      <c r="M1038" s="1450"/>
      <c r="N1038" s="1450"/>
      <c r="O1038" s="1450"/>
      <c r="P1038" s="1450"/>
      <c r="Q1038" s="1450"/>
      <c r="R1038" s="1450"/>
      <c r="S1038" s="1450"/>
      <c r="T1038" s="1450"/>
      <c r="U1038" s="1450"/>
      <c r="V1038" s="1450"/>
      <c r="W1038" s="1450"/>
      <c r="X1038" s="1450"/>
      <c r="Y1038" s="1450"/>
      <c r="Z1038" s="1450"/>
      <c r="AA1038" s="1450"/>
    </row>
  </sheetData>
  <autoFilter ref="A7:AA1034" xr:uid="{00000000-0009-0000-0000-000005000000}"/>
  <sortState xmlns:xlrd2="http://schemas.microsoft.com/office/spreadsheetml/2017/richdata2" ref="B1754:AK1760">
    <sortCondition ref="B851:B857"/>
  </sortState>
  <dataConsolidate/>
  <customSheetViews>
    <customSheetView guid="{DC88C499-913F-4D15-846E-E5B9D5E047D7}" scale="70" showPageBreaks="1" fitToPage="1" printArea="1" showAutoFilter="1" view="pageBreakPreview">
      <pane ySplit="7" topLeftCell="A723" activePane="bottomLeft" state="frozen"/>
      <selection pane="bottomLeft" activeCell="F734" sqref="F734"/>
      <rowBreaks count="2" manualBreakCount="2">
        <brk id="1499" max="40" man="1"/>
        <brk id="1599" max="40" man="1"/>
      </rowBreaks>
      <pageMargins left="0.39370078740157483" right="0.19685039370078741" top="1.1811023622047245" bottom="0.59055118110236227" header="0.51181102362204722" footer="0.31496062992125984"/>
      <printOptions horizontalCentered="1"/>
      <pageSetup paperSize="9" scale="22" firstPageNumber="50" fitToHeight="0" orientation="landscape" useFirstPageNumber="1" r:id="rId1"/>
      <headerFooter>
        <oddHeader>&amp;C&amp;"Times New Roman,обычный"&amp;18&amp;P</oddHeader>
      </headerFooter>
      <autoFilter ref="A7:AV1601" xr:uid="{00000000-0000-0000-0000-000000000000}"/>
    </customSheetView>
    <customSheetView guid="{A6187BD3-0BA4-497C-8924-4FA3D77530F0}" scale="85" showPageBreaks="1" fitToPage="1" printArea="1" showAutoFilter="1" hiddenColumns="1" view="pageBreakPreview">
      <pane ySplit="7" topLeftCell="A347" activePane="bottomLeft" state="frozen"/>
      <selection pane="bottomLeft" activeCell="C348" sqref="C348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2"/>
      <headerFooter>
        <oddHeader>&amp;C&amp;"Times New Roman,обычный"&amp;18&amp;P</oddHeader>
      </headerFooter>
      <autoFilter ref="A7:AV1601" xr:uid="{00000000-0000-0000-0000-000000000000}"/>
    </customSheetView>
    <customSheetView guid="{7A75CCE7-0E84-47E6-A162-5AC0354F2967}" scale="85" showPageBreaks="1" fitToPage="1" printArea="1" showAutoFilter="1" hiddenColumns="1" view="pageBreakPreview">
      <pane ySplit="7" topLeftCell="A696" activePane="bottomLeft" state="frozen"/>
      <selection pane="bottomLeft" activeCell="F701" sqref="F70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3"/>
      <headerFooter>
        <oddHeader>&amp;C&amp;"Times New Roman,обычный"&amp;18&amp;P</oddHeader>
      </headerFooter>
      <autoFilter ref="A7:AV1601" xr:uid="{00000000-0000-0000-0000-000000000000}"/>
    </customSheetView>
    <customSheetView guid="{144E5A37-1CF2-41F0-BEF8-CB5D4D392E2A}" scale="55" showPageBreaks="1" fitToPage="1" printArea="1" showAutoFilter="1" hiddenColumns="1" view="pageBreakPreview">
      <pane ySplit="7" topLeftCell="A1566" activePane="bottomLeft" state="frozen"/>
      <selection pane="bottomLeft" activeCell="B1381" sqref="B138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4"/>
      <headerFooter>
        <oddHeader>&amp;C&amp;"Times New Roman,обычный"&amp;18&amp;P</oddHeader>
      </headerFooter>
      <autoFilter ref="A7:AV1601" xr:uid="{00000000-0000-0000-0000-000000000000}"/>
    </customSheetView>
    <customSheetView guid="{A28C0ADC-4E0C-4A0A-ACB1-DA409183476D}" scale="80" showPageBreaks="1" fitToPage="1" printArea="1" showAutoFilter="1" hiddenColumns="1" view="pageBreakPreview">
      <pane ySplit="7" topLeftCell="A957" activePane="bottomLeft" state="frozen"/>
      <selection pane="bottomLeft" activeCell="L973" sqref="L973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5"/>
      <headerFooter>
        <oddHeader>&amp;C&amp;"Times New Roman,обычный"&amp;18&amp;P</oddHeader>
      </headerFooter>
      <autoFilter ref="A7:AV1601" xr:uid="{00000000-0000-0000-0000-000000000000}"/>
    </customSheetView>
    <customSheetView guid="{B1841E62-04AF-4786-8B2B-B1F42C88E6D1}" scale="63" showPageBreaks="1" fitToPage="1" printArea="1" showAutoFilter="1" hiddenColumns="1" view="pageBreakPreview">
      <pane ySplit="7" topLeftCell="A741" activePane="bottomLeft" state="frozen"/>
      <selection pane="bottomLeft" activeCell="AC747" sqref="AC747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6"/>
      <headerFooter>
        <oddHeader>&amp;C&amp;"Times New Roman,обычный"&amp;18&amp;P</oddHeader>
      </headerFooter>
      <autoFilter ref="A7:AV1667" xr:uid="{00000000-0000-0000-0000-000000000000}"/>
    </customSheetView>
    <customSheetView guid="{570403C4-1D93-4175-B4D8-BD47D46CE99C}" scale="85" showPageBreaks="1" fitToPage="1" printArea="1" showAutoFilter="1" hiddenColumns="1" view="pageBreakPreview">
      <pane ySplit="7" topLeftCell="A409" activePane="bottomLeft" state="frozen"/>
      <selection pane="bottomLeft" activeCell="B415" sqref="B415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7"/>
      <headerFooter>
        <oddHeader>&amp;C&amp;"Times New Roman,обычный"&amp;18&amp;P</oddHeader>
      </headerFooter>
      <autoFilter ref="A7:AV1601" xr:uid="{00000000-0000-0000-0000-000000000000}"/>
    </customSheetView>
    <customSheetView guid="{4C44C113-DA02-468D-99C5-83FA6693F42F}" scale="55" showPageBreaks="1" fitToPage="1" printArea="1" showAutoFilter="1" view="pageBreakPreview">
      <pane ySplit="7" topLeftCell="A8" activePane="bottomLeft" state="frozen"/>
      <selection pane="bottomLeft" activeCell="E23" sqref="E23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8"/>
      <headerFooter>
        <oddHeader>&amp;C&amp;"Times New Roman,обычный"&amp;18&amp;P</oddHeader>
      </headerFooter>
      <autoFilter ref="A7:AQ1601" xr:uid="{00000000-0000-0000-0000-000000000000}"/>
    </customSheetView>
    <customSheetView guid="{DFE5B545-478C-4B86-847C-1FEE882C6F69}" scale="55" showPageBreaks="1" fitToPage="1" printArea="1" showAutoFilter="1" view="pageBreakPreview" topLeftCell="G1">
      <pane ySplit="7" topLeftCell="A41" activePane="bottomLeft" state="frozen"/>
      <selection pane="bottomLeft" activeCell="A55" sqref="A55:XFD55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9"/>
      <headerFooter>
        <oddHeader>&amp;C&amp;"Times New Roman,обычный"&amp;18&amp;P</oddHeader>
      </headerFooter>
      <autoFilter ref="A7:AQ1601" xr:uid="{00000000-0000-0000-0000-000000000000}"/>
    </customSheetView>
    <customSheetView guid="{971AA6D5-B469-4A54-816C-1252CCB6D265}" scale="55" showPageBreaks="1" fitToPage="1" printArea="1" showAutoFilter="1" view="pageBreakPreview">
      <pane ySplit="7" topLeftCell="A583" activePane="bottomLeft" state="frozen"/>
      <selection pane="bottomLeft" activeCell="A589" sqref="A589:X589"/>
      <pageMargins left="0.39370078740157483" right="0.31" top="0.74803149606299213" bottom="0.43307086614173229" header="0.51181102362204722" footer="0.31496062992125984"/>
      <printOptions horizontalCentered="1"/>
      <pageSetup paperSize="9" scale="32" firstPageNumber="59" fitToHeight="0" orientation="landscape" useFirstPageNumber="1" r:id="rId10"/>
      <headerFooter>
        <oddHeader>&amp;C&amp;"Times New Roman,обычный"&amp;18&amp;P</oddHeader>
      </headerFooter>
      <autoFilter ref="A7:AE1458" xr:uid="{00000000-0000-0000-0000-000000000000}"/>
    </customSheetView>
  </customSheetViews>
  <mergeCells count="37">
    <mergeCell ref="Z3:Z5"/>
    <mergeCell ref="J4:J5"/>
    <mergeCell ref="A8:AA8"/>
    <mergeCell ref="A200:AA200"/>
    <mergeCell ref="H4:H5"/>
    <mergeCell ref="G4:G5"/>
    <mergeCell ref="F4:F5"/>
    <mergeCell ref="E4:E5"/>
    <mergeCell ref="S3:V3"/>
    <mergeCell ref="S5:T5"/>
    <mergeCell ref="U5:V5"/>
    <mergeCell ref="A331:AA331"/>
    <mergeCell ref="A1:X1"/>
    <mergeCell ref="A2:A6"/>
    <mergeCell ref="B2:B6"/>
    <mergeCell ref="C2:C5"/>
    <mergeCell ref="D3:J3"/>
    <mergeCell ref="M3:N5"/>
    <mergeCell ref="O3:P5"/>
    <mergeCell ref="Q3:R5"/>
    <mergeCell ref="W3:X5"/>
    <mergeCell ref="K3:L5"/>
    <mergeCell ref="D2:AA2"/>
    <mergeCell ref="AA3:AA5"/>
    <mergeCell ref="Y3:Y5"/>
    <mergeCell ref="I4:I5"/>
    <mergeCell ref="D4:D5"/>
    <mergeCell ref="A1030:AA1030"/>
    <mergeCell ref="A1031:AA1031"/>
    <mergeCell ref="A476:AA476"/>
    <mergeCell ref="A1037:AA1037"/>
    <mergeCell ref="A1038:AA1038"/>
    <mergeCell ref="A1032:AA1032"/>
    <mergeCell ref="A1033:AA1033"/>
    <mergeCell ref="A1034:AA1034"/>
    <mergeCell ref="A1035:AA1035"/>
    <mergeCell ref="A1036:AA1036"/>
  </mergeCells>
  <printOptions horizontalCentered="1"/>
  <pageMargins left="0.19685039370078741" right="0.19685039370078741" top="1.1811023622047245" bottom="0.23622047244094491" header="0.70866141732283472" footer="0.31496062992125984"/>
  <pageSetup paperSize="9" scale="13" firstPageNumber="39" fitToHeight="0" orientation="landscape" useFirstPageNumber="1" r:id="rId11"/>
  <headerFooter>
    <oddHeader>&amp;C&amp;"Times New Roman,обычный"&amp;25&amp;P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07"/>
  <sheetViews>
    <sheetView view="pageBreakPreview" topLeftCell="A4" zoomScale="110" zoomScaleNormal="72" zoomScaleSheetLayoutView="110" workbookViewId="0">
      <selection sqref="A1:F1"/>
    </sheetView>
  </sheetViews>
  <sheetFormatPr defaultColWidth="8.85546875" defaultRowHeight="15"/>
  <cols>
    <col min="1" max="1" width="5.7109375" style="1051" customWidth="1"/>
    <col min="2" max="2" width="60.5703125" style="11" customWidth="1"/>
    <col min="3" max="3" width="19.7109375" style="1052" customWidth="1"/>
    <col min="4" max="4" width="25.85546875" style="1053" customWidth="1"/>
    <col min="5" max="5" width="24" style="1089" customWidth="1"/>
    <col min="6" max="6" width="29.5703125" style="11" customWidth="1"/>
    <col min="7" max="7" width="8.85546875" style="11"/>
    <col min="8" max="8" width="13.42578125" style="11" bestFit="1" customWidth="1"/>
    <col min="9" max="16384" width="8.85546875" style="11"/>
  </cols>
  <sheetData>
    <row r="1" spans="1:14" ht="39" customHeight="1">
      <c r="A1" s="1457" t="s">
        <v>124</v>
      </c>
      <c r="B1" s="1457"/>
      <c r="C1" s="1457"/>
      <c r="D1" s="1457"/>
      <c r="E1" s="1457"/>
      <c r="F1" s="1457"/>
    </row>
    <row r="2" spans="1:14" ht="62.25" customHeight="1">
      <c r="A2" s="1458" t="s">
        <v>1043</v>
      </c>
      <c r="B2" s="1458" t="s">
        <v>1059</v>
      </c>
      <c r="C2" s="1459" t="s">
        <v>460</v>
      </c>
      <c r="D2" s="1460" t="s">
        <v>441</v>
      </c>
      <c r="E2" s="1461" t="s">
        <v>1047</v>
      </c>
      <c r="F2" s="1458" t="s">
        <v>7</v>
      </c>
    </row>
    <row r="3" spans="1:14" ht="1.1499999999999999" customHeight="1">
      <c r="A3" s="1458"/>
      <c r="B3" s="1458"/>
      <c r="C3" s="1459"/>
      <c r="D3" s="1460"/>
      <c r="E3" s="1461"/>
      <c r="F3" s="1458"/>
    </row>
    <row r="4" spans="1:14">
      <c r="A4" s="1458"/>
      <c r="B4" s="1458"/>
      <c r="C4" s="1124" t="s">
        <v>21</v>
      </c>
      <c r="D4" s="1041" t="s">
        <v>16</v>
      </c>
      <c r="E4" s="1046" t="s">
        <v>23</v>
      </c>
      <c r="F4" s="1097" t="s">
        <v>17</v>
      </c>
    </row>
    <row r="5" spans="1:14" ht="12.75" customHeight="1">
      <c r="A5" s="1125">
        <v>1</v>
      </c>
      <c r="B5" s="1125">
        <v>2</v>
      </c>
      <c r="C5" s="1042">
        <v>3</v>
      </c>
      <c r="D5" s="1043">
        <v>4</v>
      </c>
      <c r="E5" s="1088">
        <v>5</v>
      </c>
      <c r="F5" s="1125">
        <v>6</v>
      </c>
    </row>
    <row r="6" spans="1:14" ht="15" customHeight="1">
      <c r="A6" s="1462" t="s">
        <v>205</v>
      </c>
      <c r="B6" s="1462"/>
      <c r="C6" s="1462"/>
      <c r="D6" s="1462"/>
      <c r="E6" s="1462"/>
      <c r="F6" s="1462"/>
      <c r="N6" s="11" t="s">
        <v>1105</v>
      </c>
    </row>
    <row r="7" spans="1:14" ht="15" customHeight="1">
      <c r="A7" s="1097"/>
      <c r="B7" s="1045" t="s">
        <v>205</v>
      </c>
      <c r="C7" s="4">
        <f>C9+C59+C95+C145</f>
        <v>1649107.9299999997</v>
      </c>
      <c r="D7" s="1041">
        <f>D9+D59+D95+D145</f>
        <v>57365</v>
      </c>
      <c r="E7" s="1046">
        <f>E9+E59+E95+E145</f>
        <v>823</v>
      </c>
      <c r="F7" s="1047">
        <f>F9+F59+F95+F145</f>
        <v>3748694209.9083986</v>
      </c>
    </row>
    <row r="8" spans="1:14" s="1044" customFormat="1" ht="16.899999999999999" customHeight="1">
      <c r="A8" s="1456" t="s">
        <v>1343</v>
      </c>
      <c r="B8" s="1456"/>
      <c r="C8" s="1456"/>
      <c r="D8" s="1456"/>
      <c r="E8" s="1456"/>
      <c r="F8" s="1456"/>
    </row>
    <row r="9" spans="1:14" s="1044" customFormat="1" ht="16.899999999999999" customHeight="1">
      <c r="A9" s="1097"/>
      <c r="B9" s="1045" t="s">
        <v>42</v>
      </c>
      <c r="C9" s="4">
        <f>C10+C11+C12+C13+C15+C16+C18+C19+C21+C22+C24+C32+C34+C36+C37+C42+C43+C45+C46+C47+C48+C49+C51+C52+C53+C54+C55+C57+C14+C23+C35+C50</f>
        <v>269245.16000000003</v>
      </c>
      <c r="D9" s="4">
        <f t="shared" ref="D9:F9" si="0">D10+D11+D12+D13+D15+D16+D18+D19+D21+D22+D24+D32+D34+D36+D37+D42+D43+D45+D46+D47+D48+D49+D51+D52+D53+D54+D55+D57+D14+D23+D35+D50</f>
        <v>9345</v>
      </c>
      <c r="E9" s="4">
        <f t="shared" si="0"/>
        <v>142</v>
      </c>
      <c r="F9" s="1047">
        <f t="shared" si="0"/>
        <v>705543562.04000008</v>
      </c>
    </row>
    <row r="10" spans="1:14" s="1044" customFormat="1" ht="16.899999999999999" customHeight="1">
      <c r="A10" s="1097">
        <v>1</v>
      </c>
      <c r="B10" s="1045" t="s">
        <v>1036</v>
      </c>
      <c r="C10" s="4">
        <f>'2-38'!H17</f>
        <v>33629.400000000009</v>
      </c>
      <c r="D10" s="1046">
        <f>'2-38'!K17</f>
        <v>1724</v>
      </c>
      <c r="E10" s="1046">
        <v>10</v>
      </c>
      <c r="F10" s="1047">
        <f>'2-38'!L17</f>
        <v>158081640.28999999</v>
      </c>
    </row>
    <row r="11" spans="1:14" s="1044" customFormat="1" ht="16.899999999999999" customHeight="1">
      <c r="A11" s="1097">
        <v>2</v>
      </c>
      <c r="B11" s="1045" t="s">
        <v>1093</v>
      </c>
      <c r="C11" s="4">
        <f>'2-38'!H28</f>
        <v>14598.1</v>
      </c>
      <c r="D11" s="1046">
        <f>'2-38'!K28</f>
        <v>530</v>
      </c>
      <c r="E11" s="1046">
        <v>9</v>
      </c>
      <c r="F11" s="1047">
        <f>'2-38'!L28</f>
        <v>28532348.180000003</v>
      </c>
    </row>
    <row r="12" spans="1:14" s="1044" customFormat="1" ht="16.899999999999999" customHeight="1">
      <c r="A12" s="1097">
        <v>3</v>
      </c>
      <c r="B12" s="1045" t="s">
        <v>1024</v>
      </c>
      <c r="C12" s="4">
        <f>'2-38'!H38</f>
        <v>1124.0999999999999</v>
      </c>
      <c r="D12" s="1046">
        <f>'2-38'!K38</f>
        <v>43</v>
      </c>
      <c r="E12" s="1046">
        <v>1</v>
      </c>
      <c r="F12" s="1047">
        <f>'2-38'!L38</f>
        <v>10176539.5</v>
      </c>
      <c r="H12" s="1099"/>
    </row>
    <row r="13" spans="1:14" s="1044" customFormat="1" ht="16.899999999999999" customHeight="1">
      <c r="A13" s="1097">
        <v>4</v>
      </c>
      <c r="B13" s="1045" t="s">
        <v>1055</v>
      </c>
      <c r="C13" s="4">
        <f>'2-38'!H40</f>
        <v>7962.7</v>
      </c>
      <c r="D13" s="1046">
        <f>'2-38'!K40</f>
        <v>211</v>
      </c>
      <c r="E13" s="1046">
        <v>3</v>
      </c>
      <c r="F13" s="1047">
        <f>'2-38'!L40</f>
        <v>14556403.25</v>
      </c>
    </row>
    <row r="14" spans="1:14" s="1044" customFormat="1" ht="16.899999999999999" customHeight="1">
      <c r="A14" s="1097">
        <v>5</v>
      </c>
      <c r="B14" s="1045" t="s">
        <v>1054</v>
      </c>
      <c r="C14" s="4">
        <f>'2-38'!H44</f>
        <v>2178</v>
      </c>
      <c r="D14" s="1046">
        <f>'2-38'!K44</f>
        <v>49</v>
      </c>
      <c r="E14" s="1046">
        <v>1</v>
      </c>
      <c r="F14" s="1047">
        <f>'2-38'!L44</f>
        <v>1588224.31</v>
      </c>
    </row>
    <row r="15" spans="1:14" s="1044" customFormat="1" ht="16.899999999999999" customHeight="1">
      <c r="A15" s="1097">
        <v>6</v>
      </c>
      <c r="B15" s="1045" t="s">
        <v>1094</v>
      </c>
      <c r="C15" s="4">
        <f>'2-38'!H46</f>
        <v>1094.8</v>
      </c>
      <c r="D15" s="1046">
        <f>'2-38'!K46</f>
        <v>41</v>
      </c>
      <c r="E15" s="1046">
        <v>1</v>
      </c>
      <c r="F15" s="1047">
        <f>'2-38'!L46</f>
        <v>10749726.210000001</v>
      </c>
    </row>
    <row r="16" spans="1:14" s="1044" customFormat="1" ht="16.899999999999999" customHeight="1">
      <c r="A16" s="1097"/>
      <c r="B16" s="1045" t="s">
        <v>41</v>
      </c>
      <c r="C16" s="4">
        <f>C17</f>
        <v>7455.0999999999995</v>
      </c>
      <c r="D16" s="1046">
        <f t="shared" ref="D16:F16" si="1">D17</f>
        <v>221</v>
      </c>
      <c r="E16" s="1046">
        <f t="shared" si="1"/>
        <v>4</v>
      </c>
      <c r="F16" s="1047">
        <f t="shared" si="1"/>
        <v>17931462.420000002</v>
      </c>
    </row>
    <row r="17" spans="1:6" s="1044" customFormat="1" ht="16.899999999999999" customHeight="1">
      <c r="A17" s="1097">
        <v>7</v>
      </c>
      <c r="B17" s="1045" t="s">
        <v>1025</v>
      </c>
      <c r="C17" s="4">
        <f>'2-38'!H49</f>
        <v>7455.0999999999995</v>
      </c>
      <c r="D17" s="1046">
        <f>'2-38'!K49</f>
        <v>221</v>
      </c>
      <c r="E17" s="1046">
        <v>4</v>
      </c>
      <c r="F17" s="1047">
        <f>'2-38'!L49</f>
        <v>17931462.420000002</v>
      </c>
    </row>
    <row r="18" spans="1:6" s="1044" customFormat="1" ht="16.899999999999999" customHeight="1">
      <c r="A18" s="1097">
        <v>8</v>
      </c>
      <c r="B18" s="1045" t="s">
        <v>1237</v>
      </c>
      <c r="C18" s="4">
        <f>'2-38'!H54</f>
        <v>1581.5</v>
      </c>
      <c r="D18" s="1046">
        <f>'2-38'!K54</f>
        <v>34</v>
      </c>
      <c r="E18" s="1046">
        <v>2</v>
      </c>
      <c r="F18" s="1047">
        <f>'2-38'!L54</f>
        <v>971203.51</v>
      </c>
    </row>
    <row r="19" spans="1:6" s="1044" customFormat="1" ht="16.899999999999999" customHeight="1">
      <c r="A19" s="1097"/>
      <c r="B19" s="1045" t="s">
        <v>43</v>
      </c>
      <c r="C19" s="4">
        <f>C20</f>
        <v>2672.5999999999995</v>
      </c>
      <c r="D19" s="1041">
        <f>D20</f>
        <v>101</v>
      </c>
      <c r="E19" s="1046">
        <f>E20</f>
        <v>4</v>
      </c>
      <c r="F19" s="1047">
        <f>F20</f>
        <v>11562294.280000001</v>
      </c>
    </row>
    <row r="20" spans="1:6" s="1044" customFormat="1" ht="16.899999999999999" customHeight="1">
      <c r="A20" s="1097">
        <v>9</v>
      </c>
      <c r="B20" s="1048" t="s">
        <v>1040</v>
      </c>
      <c r="C20" s="4">
        <f>'2-38'!H58</f>
        <v>2672.5999999999995</v>
      </c>
      <c r="D20" s="1046">
        <f>'2-38'!K58</f>
        <v>101</v>
      </c>
      <c r="E20" s="1046">
        <v>4</v>
      </c>
      <c r="F20" s="1047">
        <f>'2-38'!L58</f>
        <v>11562294.280000001</v>
      </c>
    </row>
    <row r="21" spans="1:6" s="1044" customFormat="1" ht="16.899999999999999" customHeight="1">
      <c r="A21" s="1097">
        <v>10</v>
      </c>
      <c r="B21" s="1049" t="s">
        <v>1092</v>
      </c>
      <c r="C21" s="4">
        <f>'2-38'!H63</f>
        <v>2514.6</v>
      </c>
      <c r="D21" s="1046">
        <f>'2-38'!K63</f>
        <v>53</v>
      </c>
      <c r="E21" s="1046">
        <v>3</v>
      </c>
      <c r="F21" s="1047">
        <f>'2-38'!L63</f>
        <v>8902371.5099999998</v>
      </c>
    </row>
    <row r="22" spans="1:6" s="1044" customFormat="1" ht="16.899999999999999" customHeight="1">
      <c r="A22" s="1097">
        <v>11</v>
      </c>
      <c r="B22" s="1049" t="s">
        <v>1098</v>
      </c>
      <c r="C22" s="4">
        <f>'2-38'!H67</f>
        <v>1530.1</v>
      </c>
      <c r="D22" s="1046">
        <f>'2-38'!K67</f>
        <v>38</v>
      </c>
      <c r="E22" s="1046">
        <v>1</v>
      </c>
      <c r="F22" s="1047">
        <f>'2-38'!L67</f>
        <v>5323904.26</v>
      </c>
    </row>
    <row r="23" spans="1:6" s="1044" customFormat="1" ht="16.899999999999999" customHeight="1">
      <c r="A23" s="1097">
        <v>12</v>
      </c>
      <c r="B23" s="1049" t="s">
        <v>1238</v>
      </c>
      <c r="C23" s="4">
        <f>'2-38'!H69</f>
        <v>370.2</v>
      </c>
      <c r="D23" s="1046">
        <f>'2-38'!K69</f>
        <v>21</v>
      </c>
      <c r="E23" s="1046">
        <v>1</v>
      </c>
      <c r="F23" s="1047">
        <f>'2-38'!L69</f>
        <v>2387361.16</v>
      </c>
    </row>
    <row r="24" spans="1:6" s="1044" customFormat="1" ht="16.899999999999999" customHeight="1">
      <c r="A24" s="1097"/>
      <c r="B24" s="1045" t="s">
        <v>49</v>
      </c>
      <c r="C24" s="4">
        <f>C25+C26+C27+C28+C30+C31+C29</f>
        <v>15299.750000000002</v>
      </c>
      <c r="D24" s="1041">
        <f>D25+D26+D27+D28+D30+D31+D29</f>
        <v>678</v>
      </c>
      <c r="E24" s="1041">
        <f>E25+E26+E27+E28+E30+E31+E29</f>
        <v>10</v>
      </c>
      <c r="F24" s="1047">
        <f>F25+F26+F27+F28+F30+F31+F29</f>
        <v>33600535.259999998</v>
      </c>
    </row>
    <row r="25" spans="1:6" s="1044" customFormat="1" ht="16.899999999999999" customHeight="1">
      <c r="A25" s="1097">
        <v>13</v>
      </c>
      <c r="B25" s="1048" t="s">
        <v>1091</v>
      </c>
      <c r="C25" s="4">
        <f>'2-38'!H72</f>
        <v>939.1</v>
      </c>
      <c r="D25" s="1046">
        <f>'2-38'!K72</f>
        <v>42</v>
      </c>
      <c r="E25" s="1046">
        <v>1</v>
      </c>
      <c r="F25" s="1047">
        <f>'2-38'!L72</f>
        <v>9443095.2100000009</v>
      </c>
    </row>
    <row r="26" spans="1:6" s="1044" customFormat="1" ht="16.899999999999999" customHeight="1">
      <c r="A26" s="1097">
        <v>14</v>
      </c>
      <c r="B26" s="1048" t="s">
        <v>1044</v>
      </c>
      <c r="C26" s="4">
        <f>'2-38'!H74</f>
        <v>1640.3000000000002</v>
      </c>
      <c r="D26" s="1046">
        <f>'2-38'!K74</f>
        <v>83</v>
      </c>
      <c r="E26" s="1046">
        <v>3</v>
      </c>
      <c r="F26" s="1047">
        <f>'2-38'!L74</f>
        <v>4792659.7200000007</v>
      </c>
    </row>
    <row r="27" spans="1:6" s="1044" customFormat="1" ht="16.899999999999999" customHeight="1">
      <c r="A27" s="1097">
        <v>15</v>
      </c>
      <c r="B27" s="1048" t="s">
        <v>1088</v>
      </c>
      <c r="C27" s="4">
        <f>'2-38'!H78</f>
        <v>3259.55</v>
      </c>
      <c r="D27" s="1046">
        <f>'2-38'!K78</f>
        <v>132</v>
      </c>
      <c r="E27" s="1046">
        <v>1</v>
      </c>
      <c r="F27" s="1047">
        <f>'2-38'!L78</f>
        <v>4284863.0999999996</v>
      </c>
    </row>
    <row r="28" spans="1:6" s="1044" customFormat="1" ht="16.899999999999999" customHeight="1">
      <c r="A28" s="1097">
        <v>16</v>
      </c>
      <c r="B28" s="1048" t="s">
        <v>1027</v>
      </c>
      <c r="C28" s="4">
        <f>'2-38'!H80</f>
        <v>512</v>
      </c>
      <c r="D28" s="1046">
        <v>35</v>
      </c>
      <c r="E28" s="1046">
        <v>1</v>
      </c>
      <c r="F28" s="1047">
        <f>'2-38'!L80</f>
        <v>1831138.08</v>
      </c>
    </row>
    <row r="29" spans="1:6" s="1044" customFormat="1" ht="16.899999999999999" customHeight="1">
      <c r="A29" s="1097">
        <v>17</v>
      </c>
      <c r="B29" s="1048" t="s">
        <v>1068</v>
      </c>
      <c r="C29" s="4">
        <f>'2-38'!H82</f>
        <v>437.1</v>
      </c>
      <c r="D29" s="1046">
        <f>'2-38'!K82</f>
        <v>31</v>
      </c>
      <c r="E29" s="1046">
        <v>1</v>
      </c>
      <c r="F29" s="1047">
        <f>'2-38'!L82</f>
        <v>457350.84</v>
      </c>
    </row>
    <row r="30" spans="1:6" s="1044" customFormat="1" ht="16.899999999999999" customHeight="1">
      <c r="A30" s="1097">
        <v>18</v>
      </c>
      <c r="B30" s="1048" t="s">
        <v>1113</v>
      </c>
      <c r="C30" s="4">
        <f>'2-38'!H84</f>
        <v>2509.6</v>
      </c>
      <c r="D30" s="1046">
        <f>'2-38'!K84</f>
        <v>100</v>
      </c>
      <c r="E30" s="1046">
        <v>1</v>
      </c>
      <c r="F30" s="1047">
        <f>'2-38'!L84</f>
        <v>4670729.01</v>
      </c>
    </row>
    <row r="31" spans="1:6" s="1044" customFormat="1" ht="16.899999999999999" customHeight="1">
      <c r="A31" s="1097">
        <v>19</v>
      </c>
      <c r="B31" s="1048" t="s">
        <v>1045</v>
      </c>
      <c r="C31" s="4">
        <f>'2-38'!H86</f>
        <v>6002.1</v>
      </c>
      <c r="D31" s="1046">
        <f>'2-38'!K86</f>
        <v>255</v>
      </c>
      <c r="E31" s="1046">
        <v>2</v>
      </c>
      <c r="F31" s="1047">
        <f>'2-38'!L86</f>
        <v>8120699.2999999998</v>
      </c>
    </row>
    <row r="32" spans="1:6" s="1044" customFormat="1" ht="16.899999999999999" customHeight="1">
      <c r="A32" s="1097"/>
      <c r="B32" s="1049" t="s">
        <v>50</v>
      </c>
      <c r="C32" s="4">
        <f>C33</f>
        <v>3779.4100000000003</v>
      </c>
      <c r="D32" s="1046">
        <f t="shared" ref="D32" si="2">D33</f>
        <v>152</v>
      </c>
      <c r="E32" s="1046">
        <f>E33</f>
        <v>6</v>
      </c>
      <c r="F32" s="1047">
        <f>F33</f>
        <v>30135392.18</v>
      </c>
    </row>
    <row r="33" spans="1:6" s="1044" customFormat="1" ht="16.899999999999999" customHeight="1">
      <c r="A33" s="1097">
        <v>20</v>
      </c>
      <c r="B33" s="1048" t="s">
        <v>1028</v>
      </c>
      <c r="C33" s="4">
        <f>'2-38'!H90</f>
        <v>3779.4100000000003</v>
      </c>
      <c r="D33" s="1046">
        <f>'2-38'!K90</f>
        <v>152</v>
      </c>
      <c r="E33" s="1046">
        <v>6</v>
      </c>
      <c r="F33" s="1047">
        <f>'2-38'!L90</f>
        <v>30135392.18</v>
      </c>
    </row>
    <row r="34" spans="1:6" s="1044" customFormat="1" ht="16.899999999999999" customHeight="1">
      <c r="A34" s="1097">
        <v>21</v>
      </c>
      <c r="B34" s="1049" t="s">
        <v>1067</v>
      </c>
      <c r="C34" s="4">
        <f>'2-38'!H97</f>
        <v>2548.1999999999998</v>
      </c>
      <c r="D34" s="1046">
        <f>'2-38'!K97</f>
        <v>117</v>
      </c>
      <c r="E34" s="1046">
        <v>7</v>
      </c>
      <c r="F34" s="1047">
        <f>'2-38'!L97</f>
        <v>8582395</v>
      </c>
    </row>
    <row r="35" spans="1:6" s="1044" customFormat="1" ht="16.899999999999999" customHeight="1">
      <c r="A35" s="1097">
        <v>22</v>
      </c>
      <c r="B35" s="1049" t="s">
        <v>1707</v>
      </c>
      <c r="C35" s="4">
        <f>'2-38'!H105</f>
        <v>976.5</v>
      </c>
      <c r="D35" s="1046">
        <f>'2-38'!K105</f>
        <v>38</v>
      </c>
      <c r="E35" s="1046">
        <v>1</v>
      </c>
      <c r="F35" s="1047">
        <f>'2-38'!L105</f>
        <v>1021741.25</v>
      </c>
    </row>
    <row r="36" spans="1:6" s="1044" customFormat="1" ht="16.899999999999999" customHeight="1">
      <c r="A36" s="1097">
        <v>23</v>
      </c>
      <c r="B36" s="1049" t="s">
        <v>1243</v>
      </c>
      <c r="C36" s="4">
        <f>'2-38'!H107</f>
        <v>12672.9</v>
      </c>
      <c r="D36" s="1041">
        <f>'2-38'!K107</f>
        <v>221</v>
      </c>
      <c r="E36" s="1041">
        <v>6</v>
      </c>
      <c r="F36" s="1047">
        <f>'2-38'!L107</f>
        <v>42147210.329999998</v>
      </c>
    </row>
    <row r="37" spans="1:6" s="1044" customFormat="1" ht="16.899999999999999" customHeight="1">
      <c r="A37" s="1097"/>
      <c r="B37" s="1049" t="s">
        <v>53</v>
      </c>
      <c r="C37" s="4">
        <f>SUM(C38:C41)</f>
        <v>50855.6</v>
      </c>
      <c r="D37" s="1046">
        <f>SUM(D38:D41)</f>
        <v>1776</v>
      </c>
      <c r="E37" s="1046">
        <f>SUM(E38:E41)</f>
        <v>12</v>
      </c>
      <c r="F37" s="1047">
        <f>SUM(F38:F41)</f>
        <v>111467955.21000002</v>
      </c>
    </row>
    <row r="38" spans="1:6" s="1044" customFormat="1" ht="16.899999999999999" customHeight="1">
      <c r="A38" s="1097">
        <v>24</v>
      </c>
      <c r="B38" s="1048" t="s">
        <v>1029</v>
      </c>
      <c r="C38" s="4">
        <f>'2-38'!H115</f>
        <v>42010.6</v>
      </c>
      <c r="D38" s="1046">
        <f>'2-38'!K115</f>
        <v>1469</v>
      </c>
      <c r="E38" s="1046">
        <v>8</v>
      </c>
      <c r="F38" s="1047">
        <f>'2-38'!L115</f>
        <v>83901772.950000018</v>
      </c>
    </row>
    <row r="39" spans="1:6" s="1044" customFormat="1" ht="16.899999999999999" customHeight="1">
      <c r="A39" s="1097">
        <v>25</v>
      </c>
      <c r="B39" s="1048" t="s">
        <v>1033</v>
      </c>
      <c r="C39" s="4">
        <f>'2-38'!H126</f>
        <v>1364.8</v>
      </c>
      <c r="D39" s="1046">
        <f>'2-38'!K126</f>
        <v>59</v>
      </c>
      <c r="E39" s="1046">
        <v>2</v>
      </c>
      <c r="F39" s="1047">
        <f>'2-38'!L126</f>
        <v>7809913.9499999993</v>
      </c>
    </row>
    <row r="40" spans="1:6" s="1044" customFormat="1" ht="16.899999999999999" customHeight="1">
      <c r="A40" s="1097">
        <v>26</v>
      </c>
      <c r="B40" s="1048" t="s">
        <v>1037</v>
      </c>
      <c r="C40" s="4">
        <f>'2-38'!H124</f>
        <v>2517.1</v>
      </c>
      <c r="D40" s="1046">
        <f>'2-38'!K124</f>
        <v>103</v>
      </c>
      <c r="E40" s="1046">
        <v>1</v>
      </c>
      <c r="F40" s="1047">
        <f>'2-38'!L124</f>
        <v>10268220.029999999</v>
      </c>
    </row>
    <row r="41" spans="1:6" s="1044" customFormat="1" ht="16.899999999999999" customHeight="1">
      <c r="A41" s="1097">
        <v>27</v>
      </c>
      <c r="B41" s="1048" t="s">
        <v>1039</v>
      </c>
      <c r="C41" s="4">
        <f>'2-38'!H129</f>
        <v>4963.1000000000004</v>
      </c>
      <c r="D41" s="1046">
        <f>'2-38'!K129</f>
        <v>145</v>
      </c>
      <c r="E41" s="1046">
        <v>1</v>
      </c>
      <c r="F41" s="1047">
        <f>'2-38'!L129</f>
        <v>9488048.2799999993</v>
      </c>
    </row>
    <row r="42" spans="1:6" s="1044" customFormat="1" ht="16.899999999999999" customHeight="1">
      <c r="A42" s="1097">
        <v>28</v>
      </c>
      <c r="B42" s="1049" t="s">
        <v>1099</v>
      </c>
      <c r="C42" s="4">
        <f>'2-38'!H131</f>
        <v>380</v>
      </c>
      <c r="D42" s="1046">
        <f>'2-38'!K131</f>
        <v>15</v>
      </c>
      <c r="E42" s="1046">
        <v>1</v>
      </c>
      <c r="F42" s="1047">
        <f>'2-38'!L131</f>
        <v>3460390.15</v>
      </c>
    </row>
    <row r="43" spans="1:6" s="1044" customFormat="1" ht="16.899999999999999" customHeight="1">
      <c r="A43" s="1097"/>
      <c r="B43" s="1048" t="s">
        <v>55</v>
      </c>
      <c r="C43" s="4">
        <f>C44</f>
        <v>833.5</v>
      </c>
      <c r="D43" s="1046">
        <f t="shared" ref="D43:F43" si="3">D44</f>
        <v>18</v>
      </c>
      <c r="E43" s="1046">
        <f t="shared" si="3"/>
        <v>1</v>
      </c>
      <c r="F43" s="1047">
        <f t="shared" si="3"/>
        <v>3386423.36</v>
      </c>
    </row>
    <row r="44" spans="1:6" s="1044" customFormat="1" ht="16.899999999999999" customHeight="1">
      <c r="A44" s="1097">
        <v>29</v>
      </c>
      <c r="B44" s="1048" t="s">
        <v>1034</v>
      </c>
      <c r="C44" s="4">
        <f>'2-38'!H134</f>
        <v>833.5</v>
      </c>
      <c r="D44" s="1046">
        <f>'2-38'!K134</f>
        <v>18</v>
      </c>
      <c r="E44" s="1046">
        <v>1</v>
      </c>
      <c r="F44" s="1047">
        <f>'2-38'!L134</f>
        <v>3386423.36</v>
      </c>
    </row>
    <row r="45" spans="1:6" s="1044" customFormat="1" ht="15.75" customHeight="1">
      <c r="A45" s="1097">
        <v>30</v>
      </c>
      <c r="B45" s="1049" t="s">
        <v>1119</v>
      </c>
      <c r="C45" s="4">
        <f>'2-38'!H136</f>
        <v>5752.6</v>
      </c>
      <c r="D45" s="1046">
        <f>'2-38'!K136</f>
        <v>174</v>
      </c>
      <c r="E45" s="1046">
        <v>3</v>
      </c>
      <c r="F45" s="1047">
        <f>'2-38'!L136</f>
        <v>19646255</v>
      </c>
    </row>
    <row r="46" spans="1:6" s="1044" customFormat="1" ht="16.899999999999999" customHeight="1">
      <c r="A46" s="1097">
        <v>31</v>
      </c>
      <c r="B46" s="1049" t="s">
        <v>1066</v>
      </c>
      <c r="C46" s="4">
        <f>'2-38'!H140</f>
        <v>1575.79</v>
      </c>
      <c r="D46" s="1046">
        <f>'2-38'!K140</f>
        <v>57</v>
      </c>
      <c r="E46" s="1046">
        <v>2</v>
      </c>
      <c r="F46" s="1047">
        <f>'2-38'!L140</f>
        <v>10897874.880000001</v>
      </c>
    </row>
    <row r="47" spans="1:6" s="1044" customFormat="1" ht="16.899999999999999" customHeight="1">
      <c r="A47" s="1097">
        <v>32</v>
      </c>
      <c r="B47" s="1049" t="s">
        <v>1101</v>
      </c>
      <c r="C47" s="4">
        <f>'2-38'!H189</f>
        <v>21449.000000000004</v>
      </c>
      <c r="D47" s="1046">
        <f>'2-38'!K189</f>
        <v>606</v>
      </c>
      <c r="E47" s="1046">
        <v>21</v>
      </c>
      <c r="F47" s="1047">
        <f>'2-38'!L189</f>
        <v>4141657</v>
      </c>
    </row>
    <row r="48" spans="1:6" s="1044" customFormat="1" ht="16.899999999999999" customHeight="1">
      <c r="A48" s="1097">
        <v>33</v>
      </c>
      <c r="B48" s="1049" t="s">
        <v>1050</v>
      </c>
      <c r="C48" s="4">
        <f>'2-38'!H143</f>
        <v>28307.899999999998</v>
      </c>
      <c r="D48" s="1046">
        <f>'2-38'!K143</f>
        <v>880</v>
      </c>
      <c r="E48" s="1046">
        <v>9</v>
      </c>
      <c r="F48" s="1047">
        <f>'2-38'!L143</f>
        <v>58020979.920000002</v>
      </c>
    </row>
    <row r="49" spans="1:6" s="1044" customFormat="1" ht="16.899999999999999" customHeight="1">
      <c r="A49" s="1097">
        <v>34</v>
      </c>
      <c r="B49" s="1049" t="s">
        <v>1255</v>
      </c>
      <c r="C49" s="4">
        <f>'2-38'!H153</f>
        <v>28212.5</v>
      </c>
      <c r="D49" s="1041">
        <f>'2-38'!K153</f>
        <v>851</v>
      </c>
      <c r="E49" s="1041">
        <v>12</v>
      </c>
      <c r="F49" s="1047">
        <f>'2-38'!L153</f>
        <v>59203369.720000006</v>
      </c>
    </row>
    <row r="50" spans="1:6" s="1044" customFormat="1" ht="16.899999999999999" customHeight="1">
      <c r="A50" s="1097">
        <v>35</v>
      </c>
      <c r="B50" s="1049" t="s">
        <v>2005</v>
      </c>
      <c r="C50" s="4">
        <f>'2-38'!H166</f>
        <v>953.1</v>
      </c>
      <c r="D50" s="1041">
        <f>'2-38'!K166</f>
        <v>36</v>
      </c>
      <c r="E50" s="1041">
        <v>1</v>
      </c>
      <c r="F50" s="1047">
        <f>'2-38'!L166</f>
        <v>1018891.44</v>
      </c>
    </row>
    <row r="51" spans="1:6" s="1044" customFormat="1" ht="16.899999999999999" customHeight="1">
      <c r="A51" s="1097">
        <v>36</v>
      </c>
      <c r="B51" s="1049" t="s">
        <v>1100</v>
      </c>
      <c r="C51" s="4">
        <f>'2-38'!H168</f>
        <v>867.6</v>
      </c>
      <c r="D51" s="1046">
        <f>'2-38'!K168</f>
        <v>30</v>
      </c>
      <c r="E51" s="1046">
        <v>2</v>
      </c>
      <c r="F51" s="1047">
        <f>'2-38'!L168</f>
        <v>5002509.37</v>
      </c>
    </row>
    <row r="52" spans="1:6" s="1044" customFormat="1" ht="16.899999999999999" customHeight="1">
      <c r="A52" s="1097">
        <v>37</v>
      </c>
      <c r="B52" s="1048" t="s">
        <v>1239</v>
      </c>
      <c r="C52" s="4">
        <f>'2-38'!H171</f>
        <v>790.2</v>
      </c>
      <c r="D52" s="1046">
        <f>'2-38'!K171</f>
        <v>22</v>
      </c>
      <c r="E52" s="1046">
        <v>1</v>
      </c>
      <c r="F52" s="1047">
        <f>'2-38'!L171</f>
        <v>3927134.26</v>
      </c>
    </row>
    <row r="53" spans="1:6" s="1044" customFormat="1" ht="16.899999999999999" customHeight="1">
      <c r="A53" s="1097">
        <v>38</v>
      </c>
      <c r="B53" s="1048" t="s">
        <v>1117</v>
      </c>
      <c r="C53" s="4">
        <f>'2-38'!H173</f>
        <v>4877.2</v>
      </c>
      <c r="D53" s="1046">
        <f>'2-38'!K173</f>
        <v>133</v>
      </c>
      <c r="E53" s="1046">
        <v>1</v>
      </c>
      <c r="F53" s="1047">
        <f>'2-38'!L173</f>
        <v>9677432.0500000007</v>
      </c>
    </row>
    <row r="54" spans="1:6" s="1044" customFormat="1" ht="16.899999999999999" customHeight="1">
      <c r="A54" s="1097">
        <v>39</v>
      </c>
      <c r="B54" s="1048" t="s">
        <v>1256</v>
      </c>
      <c r="C54" s="4">
        <f>'2-38'!H175</f>
        <v>2280.1999999999998</v>
      </c>
      <c r="D54" s="1041">
        <f>'2-38'!K175</f>
        <v>161</v>
      </c>
      <c r="E54" s="1046">
        <v>2</v>
      </c>
      <c r="F54" s="1047">
        <f>'2-38'!L175</f>
        <v>6654419.5700000003</v>
      </c>
    </row>
    <row r="55" spans="1:6" s="1044" customFormat="1" ht="16.899999999999999" customHeight="1">
      <c r="A55" s="1097"/>
      <c r="B55" s="1049" t="s">
        <v>66</v>
      </c>
      <c r="C55" s="4">
        <f>C56</f>
        <v>599.79999999999995</v>
      </c>
      <c r="D55" s="1046">
        <f t="shared" ref="D55:F55" si="4">D56</f>
        <v>9</v>
      </c>
      <c r="E55" s="1046">
        <f t="shared" si="4"/>
        <v>1</v>
      </c>
      <c r="F55" s="1047">
        <f t="shared" si="4"/>
        <v>8284127.5899999999</v>
      </c>
    </row>
    <row r="56" spans="1:6" s="1044" customFormat="1" ht="16.899999999999999" customHeight="1">
      <c r="A56" s="1097">
        <v>40</v>
      </c>
      <c r="B56" s="1048" t="s">
        <v>1035</v>
      </c>
      <c r="C56" s="4">
        <f>'2-38'!H179</f>
        <v>599.79999999999995</v>
      </c>
      <c r="D56" s="1046">
        <f>'2-38'!K179</f>
        <v>9</v>
      </c>
      <c r="E56" s="1046">
        <v>1</v>
      </c>
      <c r="F56" s="1047">
        <f>'2-38'!L179</f>
        <v>8284127.5899999999</v>
      </c>
    </row>
    <row r="57" spans="1:6" s="1044" customFormat="1" ht="16.899999999999999" customHeight="1">
      <c r="A57" s="1097">
        <v>41</v>
      </c>
      <c r="B57" s="1048" t="s">
        <v>1053</v>
      </c>
      <c r="C57" s="4">
        <f>'2-38'!H181</f>
        <v>9522.2099999999991</v>
      </c>
      <c r="D57" s="1046">
        <f>'2-38'!K181</f>
        <v>305</v>
      </c>
      <c r="E57" s="1046">
        <v>3</v>
      </c>
      <c r="F57" s="1047">
        <f>'2-38'!L181</f>
        <v>14503389.620000001</v>
      </c>
    </row>
    <row r="58" spans="1:6" s="1044" customFormat="1" ht="12.75" customHeight="1">
      <c r="A58" s="1456" t="s">
        <v>1344</v>
      </c>
      <c r="B58" s="1456"/>
      <c r="C58" s="1456"/>
      <c r="D58" s="1456"/>
      <c r="E58" s="1456"/>
      <c r="F58" s="1456"/>
    </row>
    <row r="59" spans="1:6" s="1044" customFormat="1" ht="14.25" customHeight="1">
      <c r="A59" s="1097"/>
      <c r="B59" s="1048" t="s">
        <v>42</v>
      </c>
      <c r="C59" s="4">
        <f>C60+C61+C62+C63+C64+C66+C67+C69+C70+C72+C73+C74+C77+C79+C80+C81+C85+C87+C89+C90+C91+C92+C93+C88+C65+C86</f>
        <v>176060.66999999998</v>
      </c>
      <c r="D59" s="4">
        <f t="shared" ref="D59:F59" si="5">D60+D61+D62+D63+D64+D66+D67+D69+D70+D72+D73+D74+D77+D79+D80+D81+D85+D87+D89+D90+D91+D92+D93+D88+D65+D86</f>
        <v>6732</v>
      </c>
      <c r="E59" s="4">
        <f t="shared" si="5"/>
        <v>95</v>
      </c>
      <c r="F59" s="1047">
        <f t="shared" si="5"/>
        <v>626456376.27999985</v>
      </c>
    </row>
    <row r="60" spans="1:6" s="1044" customFormat="1" ht="16.899999999999999" customHeight="1">
      <c r="A60" s="1097">
        <v>1</v>
      </c>
      <c r="B60" s="1045" t="s">
        <v>1036</v>
      </c>
      <c r="C60" s="4">
        <f>'2-38'!H214</f>
        <v>36018.900000000009</v>
      </c>
      <c r="D60" s="1046">
        <f>'2-38'!K214</f>
        <v>1631</v>
      </c>
      <c r="E60" s="1046">
        <v>21</v>
      </c>
      <c r="F60" s="1047">
        <f>'2-38'!L214</f>
        <v>223177973.08999994</v>
      </c>
    </row>
    <row r="61" spans="1:6" s="1044" customFormat="1" ht="16.899999999999999" customHeight="1">
      <c r="A61" s="1097">
        <v>2</v>
      </c>
      <c r="B61" s="1045" t="s">
        <v>1093</v>
      </c>
      <c r="C61" s="4">
        <f>'2-38'!H236</f>
        <v>6018.2000000000007</v>
      </c>
      <c r="D61" s="1046">
        <f>'2-38'!K236</f>
        <v>228</v>
      </c>
      <c r="E61" s="1046">
        <v>8</v>
      </c>
      <c r="F61" s="1047">
        <f>'2-38'!L236</f>
        <v>40919487.259999998</v>
      </c>
    </row>
    <row r="62" spans="1:6" s="1044" customFormat="1" ht="16.899999999999999" customHeight="1">
      <c r="A62" s="1097">
        <v>3</v>
      </c>
      <c r="B62" s="1045" t="s">
        <v>1244</v>
      </c>
      <c r="C62" s="4">
        <f>'2-38'!H245</f>
        <v>16862.599999999999</v>
      </c>
      <c r="D62" s="1046">
        <f>'2-38'!K245</f>
        <v>676</v>
      </c>
      <c r="E62" s="1046">
        <v>7</v>
      </c>
      <c r="F62" s="1047">
        <f>'2-38'!L245</f>
        <v>53142252.979999997</v>
      </c>
    </row>
    <row r="63" spans="1:6" s="1044" customFormat="1" ht="16.899999999999999" customHeight="1">
      <c r="A63" s="1097">
        <v>4</v>
      </c>
      <c r="B63" s="1048" t="s">
        <v>1024</v>
      </c>
      <c r="C63" s="4">
        <f>'2-38'!H253</f>
        <v>2731.7000000000003</v>
      </c>
      <c r="D63" s="1046">
        <f>'2-38'!K253</f>
        <v>78</v>
      </c>
      <c r="E63" s="1046">
        <v>2</v>
      </c>
      <c r="F63" s="1047">
        <f>'39-66'!C241</f>
        <v>16524105.949999999</v>
      </c>
    </row>
    <row r="64" spans="1:6" s="1044" customFormat="1" ht="16.899999999999999" customHeight="1">
      <c r="A64" s="1097">
        <v>5</v>
      </c>
      <c r="B64" s="1045" t="s">
        <v>1055</v>
      </c>
      <c r="C64" s="4">
        <f>'2-38'!H256</f>
        <v>2842.7</v>
      </c>
      <c r="D64" s="1046">
        <f>'2-38'!K256</f>
        <v>126</v>
      </c>
      <c r="E64" s="1046">
        <v>2</v>
      </c>
      <c r="F64" s="1047">
        <f>'2-38'!L256</f>
        <v>10868333.24</v>
      </c>
    </row>
    <row r="65" spans="1:6" s="1044" customFormat="1" ht="16.899999999999999" customHeight="1">
      <c r="A65" s="1097">
        <v>6</v>
      </c>
      <c r="B65" s="1045" t="s">
        <v>1054</v>
      </c>
      <c r="C65" s="4">
        <f>'2-38'!H259</f>
        <v>5399.4</v>
      </c>
      <c r="D65" s="1046">
        <f>'2-38'!K259</f>
        <v>162</v>
      </c>
      <c r="E65" s="1046">
        <v>2</v>
      </c>
      <c r="F65" s="1047">
        <f>'2-38'!L259</f>
        <v>4437569.01</v>
      </c>
    </row>
    <row r="66" spans="1:6" s="1044" customFormat="1" ht="16.899999999999999" customHeight="1">
      <c r="A66" s="1097">
        <v>7</v>
      </c>
      <c r="B66" s="1045" t="s">
        <v>1094</v>
      </c>
      <c r="C66" s="4">
        <f>'2-38'!H262</f>
        <v>948.9</v>
      </c>
      <c r="D66" s="1046">
        <f>'2-38'!K262</f>
        <v>26</v>
      </c>
      <c r="E66" s="1046">
        <v>1</v>
      </c>
      <c r="F66" s="1047">
        <f>'2-38'!L262</f>
        <v>6667741.7199999997</v>
      </c>
    </row>
    <row r="67" spans="1:6" s="1044" customFormat="1" ht="16.899999999999999" customHeight="1">
      <c r="A67" s="1097"/>
      <c r="B67" s="1045" t="s">
        <v>41</v>
      </c>
      <c r="C67" s="4">
        <f>C68</f>
        <v>5495.3</v>
      </c>
      <c r="D67" s="1046">
        <f t="shared" ref="D67:F67" si="6">D68</f>
        <v>227</v>
      </c>
      <c r="E67" s="1046">
        <f t="shared" si="6"/>
        <v>3</v>
      </c>
      <c r="F67" s="1047">
        <f t="shared" si="6"/>
        <v>18720983.870000001</v>
      </c>
    </row>
    <row r="68" spans="1:6" s="1044" customFormat="1" ht="16.899999999999999" customHeight="1">
      <c r="A68" s="1097">
        <v>8</v>
      </c>
      <c r="B68" s="1045" t="s">
        <v>1025</v>
      </c>
      <c r="C68" s="4">
        <f>'2-38'!H265</f>
        <v>5495.3</v>
      </c>
      <c r="D68" s="1046">
        <f>'2-38'!K265</f>
        <v>227</v>
      </c>
      <c r="E68" s="1046">
        <v>3</v>
      </c>
      <c r="F68" s="1047">
        <f>'2-38'!L265</f>
        <v>18720983.870000001</v>
      </c>
    </row>
    <row r="69" spans="1:6" s="1044" customFormat="1" ht="18.75" customHeight="1">
      <c r="A69" s="1097">
        <v>9</v>
      </c>
      <c r="B69" s="1045" t="s">
        <v>1237</v>
      </c>
      <c r="C69" s="4">
        <f>'2-38'!H269</f>
        <v>873.09999999999991</v>
      </c>
      <c r="D69" s="1046">
        <f>'2-38'!K269</f>
        <v>31</v>
      </c>
      <c r="E69" s="1046">
        <v>2</v>
      </c>
      <c r="F69" s="1047">
        <f>'2-38'!L269</f>
        <v>815494.4</v>
      </c>
    </row>
    <row r="70" spans="1:6" s="1044" customFormat="1" ht="16.899999999999999" customHeight="1">
      <c r="A70" s="1097"/>
      <c r="B70" s="1045" t="s">
        <v>43</v>
      </c>
      <c r="C70" s="4">
        <f>C71</f>
        <v>1313.4</v>
      </c>
      <c r="D70" s="1046">
        <f t="shared" ref="D70:F70" si="7">D71</f>
        <v>32</v>
      </c>
      <c r="E70" s="1046">
        <f t="shared" si="7"/>
        <v>1</v>
      </c>
      <c r="F70" s="1047">
        <f t="shared" si="7"/>
        <v>16322864.310000001</v>
      </c>
    </row>
    <row r="71" spans="1:6" s="1044" customFormat="1" ht="16.899999999999999" customHeight="1">
      <c r="A71" s="1097">
        <v>10</v>
      </c>
      <c r="B71" s="1048" t="s">
        <v>1040</v>
      </c>
      <c r="C71" s="4">
        <f>'2-38'!H273</f>
        <v>1313.4</v>
      </c>
      <c r="D71" s="1046">
        <f>'2-38'!K273</f>
        <v>32</v>
      </c>
      <c r="E71" s="1046">
        <v>1</v>
      </c>
      <c r="F71" s="1047">
        <f>'2-38'!L273</f>
        <v>16322864.310000001</v>
      </c>
    </row>
    <row r="72" spans="1:6" s="1044" customFormat="1" ht="16.899999999999999" customHeight="1">
      <c r="A72" s="1097">
        <v>11</v>
      </c>
      <c r="B72" s="1049" t="s">
        <v>1312</v>
      </c>
      <c r="C72" s="4">
        <f>'2-38'!H275</f>
        <v>2003.4</v>
      </c>
      <c r="D72" s="1046">
        <f>'2-38'!K275</f>
        <v>52</v>
      </c>
      <c r="E72" s="1046">
        <v>1</v>
      </c>
      <c r="F72" s="1047">
        <f>'2-38'!L275</f>
        <v>4370826.05</v>
      </c>
    </row>
    <row r="73" spans="1:6" s="1044" customFormat="1" ht="16.899999999999999" customHeight="1">
      <c r="A73" s="1097">
        <v>12</v>
      </c>
      <c r="B73" s="1049" t="s">
        <v>1098</v>
      </c>
      <c r="C73" s="4">
        <f>'2-38'!H277</f>
        <v>1587.9</v>
      </c>
      <c r="D73" s="1046">
        <f>'2-38'!K277</f>
        <v>41</v>
      </c>
      <c r="E73" s="1046">
        <v>1</v>
      </c>
      <c r="F73" s="1047">
        <f>'2-38'!L277</f>
        <v>4158100.78</v>
      </c>
    </row>
    <row r="74" spans="1:6" s="1044" customFormat="1" ht="16.899999999999999" customHeight="1">
      <c r="A74" s="1097"/>
      <c r="B74" s="1049" t="s">
        <v>49</v>
      </c>
      <c r="C74" s="4">
        <f>C75+C76</f>
        <v>1344.5</v>
      </c>
      <c r="D74" s="4">
        <f t="shared" ref="D74:F74" si="8">D75+D76</f>
        <v>51</v>
      </c>
      <c r="E74" s="4">
        <f t="shared" si="8"/>
        <v>2</v>
      </c>
      <c r="F74" s="1047">
        <f t="shared" si="8"/>
        <v>5038527.6099999994</v>
      </c>
    </row>
    <row r="75" spans="1:6" s="1044" customFormat="1" ht="16.899999999999999" customHeight="1">
      <c r="A75" s="1097">
        <v>13</v>
      </c>
      <c r="B75" s="1048" t="s">
        <v>1056</v>
      </c>
      <c r="C75" s="4">
        <f>'2-38'!H280</f>
        <v>545.20000000000005</v>
      </c>
      <c r="D75" s="1046">
        <f>'2-38'!K280</f>
        <v>21</v>
      </c>
      <c r="E75" s="1046">
        <v>1</v>
      </c>
      <c r="F75" s="1047">
        <f>'2-38'!L280</f>
        <v>2119864.58</v>
      </c>
    </row>
    <row r="76" spans="1:6" s="1044" customFormat="1" ht="16.899999999999999" customHeight="1">
      <c r="A76" s="1097">
        <v>14</v>
      </c>
      <c r="B76" s="1048" t="s">
        <v>1087</v>
      </c>
      <c r="C76" s="4">
        <f>'2-38'!H283</f>
        <v>799.3</v>
      </c>
      <c r="D76" s="1046">
        <f>'2-38'!K282</f>
        <v>30</v>
      </c>
      <c r="E76" s="1046">
        <v>1</v>
      </c>
      <c r="F76" s="1047">
        <f>'2-38'!L283</f>
        <v>2918663.03</v>
      </c>
    </row>
    <row r="77" spans="1:6" s="1044" customFormat="1" ht="16.899999999999999" customHeight="1">
      <c r="A77" s="1097"/>
      <c r="B77" s="1049" t="s">
        <v>50</v>
      </c>
      <c r="C77" s="4">
        <f>C78</f>
        <v>4743.07</v>
      </c>
      <c r="D77" s="1046">
        <f>D78</f>
        <v>177</v>
      </c>
      <c r="E77" s="1046">
        <f>E78</f>
        <v>4</v>
      </c>
      <c r="F77" s="1047">
        <f>F78</f>
        <v>11257596.639999999</v>
      </c>
    </row>
    <row r="78" spans="1:6" s="1044" customFormat="1" ht="16.899999999999999" customHeight="1">
      <c r="A78" s="1097">
        <v>15</v>
      </c>
      <c r="B78" s="1048" t="s">
        <v>1028</v>
      </c>
      <c r="C78" s="4">
        <f>'2-38'!H285</f>
        <v>4743.07</v>
      </c>
      <c r="D78" s="1046">
        <f>'2-38'!K285</f>
        <v>177</v>
      </c>
      <c r="E78" s="1046">
        <v>4</v>
      </c>
      <c r="F78" s="1047">
        <f>'39-66'!C273</f>
        <v>11257596.639999999</v>
      </c>
    </row>
    <row r="79" spans="1:6" s="1044" customFormat="1" ht="16.5" customHeight="1">
      <c r="A79" s="1097">
        <v>16</v>
      </c>
      <c r="B79" s="1049" t="s">
        <v>1067</v>
      </c>
      <c r="C79" s="4">
        <f>'2-38'!H290</f>
        <v>5619.9</v>
      </c>
      <c r="D79" s="1046">
        <f>'2-38'!K290</f>
        <v>315</v>
      </c>
      <c r="E79" s="1046">
        <v>5</v>
      </c>
      <c r="F79" s="1047">
        <f>'2-38'!L290</f>
        <v>19728615.199999999</v>
      </c>
    </row>
    <row r="80" spans="1:6" s="1044" customFormat="1" ht="16.899999999999999" customHeight="1">
      <c r="A80" s="1097">
        <v>17</v>
      </c>
      <c r="B80" s="1049" t="s">
        <v>1254</v>
      </c>
      <c r="C80" s="4">
        <f>'2-38'!H296</f>
        <v>1609</v>
      </c>
      <c r="D80" s="1041">
        <f>'2-38'!K296</f>
        <v>75</v>
      </c>
      <c r="E80" s="1041">
        <v>3</v>
      </c>
      <c r="F80" s="1047">
        <f>'2-38'!L296</f>
        <v>17639844.420000002</v>
      </c>
    </row>
    <row r="81" spans="1:6" s="1044" customFormat="1" ht="15.75" customHeight="1">
      <c r="A81" s="1097"/>
      <c r="B81" s="1049" t="s">
        <v>53</v>
      </c>
      <c r="C81" s="4">
        <f>C82+C83+C84</f>
        <v>30570.999999999996</v>
      </c>
      <c r="D81" s="4">
        <f t="shared" ref="D81:F81" si="9">D82+D83+D84</f>
        <v>991</v>
      </c>
      <c r="E81" s="4">
        <f t="shared" si="9"/>
        <v>7</v>
      </c>
      <c r="F81" s="1047">
        <f t="shared" si="9"/>
        <v>68185265.25</v>
      </c>
    </row>
    <row r="82" spans="1:6" s="1044" customFormat="1" ht="15.75" customHeight="1">
      <c r="A82" s="1097">
        <v>18</v>
      </c>
      <c r="B82" s="1048" t="s">
        <v>1029</v>
      </c>
      <c r="C82" s="4">
        <f>'2-38'!H301</f>
        <v>28340.399999999998</v>
      </c>
      <c r="D82" s="1046">
        <f>'2-38'!K301</f>
        <v>918</v>
      </c>
      <c r="E82" s="1046">
        <v>5</v>
      </c>
      <c r="F82" s="1047">
        <f>'2-38'!L301</f>
        <v>54908170.200000003</v>
      </c>
    </row>
    <row r="83" spans="1:6" s="1044" customFormat="1" ht="16.899999999999999" customHeight="1">
      <c r="A83" s="1097">
        <v>19</v>
      </c>
      <c r="B83" s="1048" t="s">
        <v>1037</v>
      </c>
      <c r="C83" s="4">
        <f>'2-38'!H307</f>
        <v>607.79999999999995</v>
      </c>
      <c r="D83" s="1046">
        <f>'2-38'!K307</f>
        <v>21</v>
      </c>
      <c r="E83" s="1046">
        <v>1</v>
      </c>
      <c r="F83" s="1047">
        <f>'2-38'!L307</f>
        <v>5414896.5300000003</v>
      </c>
    </row>
    <row r="84" spans="1:6" s="1044" customFormat="1" ht="16.899999999999999" customHeight="1">
      <c r="A84" s="1097">
        <v>20</v>
      </c>
      <c r="B84" s="1048" t="s">
        <v>1038</v>
      </c>
      <c r="C84" s="4">
        <f>'2-38'!H309</f>
        <v>1622.8</v>
      </c>
      <c r="D84" s="1046">
        <f>'2-38'!K309</f>
        <v>52</v>
      </c>
      <c r="E84" s="1046">
        <v>1</v>
      </c>
      <c r="F84" s="1047">
        <f>'2-38'!L309</f>
        <v>7862198.5199999996</v>
      </c>
    </row>
    <row r="85" spans="1:6" s="1044" customFormat="1" ht="16.899999999999999" customHeight="1">
      <c r="A85" s="1097">
        <v>21</v>
      </c>
      <c r="B85" s="1049" t="s">
        <v>1121</v>
      </c>
      <c r="C85" s="4">
        <f>'2-38'!H311</f>
        <v>9867</v>
      </c>
      <c r="D85" s="1046">
        <f>'2-38'!K311</f>
        <v>352</v>
      </c>
      <c r="E85" s="1046">
        <v>5</v>
      </c>
      <c r="F85" s="1047">
        <f>'2-38'!L311</f>
        <v>20358302.16</v>
      </c>
    </row>
    <row r="86" spans="1:6" s="1044" customFormat="1" ht="16.899999999999999" customHeight="1">
      <c r="A86" s="1097">
        <v>22</v>
      </c>
      <c r="B86" s="1048" t="s">
        <v>1120</v>
      </c>
      <c r="C86" s="4">
        <f>'2-38'!H317</f>
        <v>820.1</v>
      </c>
      <c r="D86" s="1046">
        <f>'2-38'!K317</f>
        <v>32</v>
      </c>
      <c r="E86" s="1046">
        <v>1</v>
      </c>
      <c r="F86" s="1047">
        <f>'2-38'!L317</f>
        <v>3062646.46</v>
      </c>
    </row>
    <row r="87" spans="1:6" s="1044" customFormat="1" ht="16.899999999999999" customHeight="1">
      <c r="A87" s="1097">
        <v>23</v>
      </c>
      <c r="B87" s="1049" t="s">
        <v>1066</v>
      </c>
      <c r="C87" s="4">
        <f>'2-38'!H319</f>
        <v>789</v>
      </c>
      <c r="D87" s="1046">
        <f>'2-38'!K319</f>
        <v>16</v>
      </c>
      <c r="E87" s="1046">
        <v>1</v>
      </c>
      <c r="F87" s="1047">
        <f>'2-38'!L319</f>
        <v>4385584.43</v>
      </c>
    </row>
    <row r="88" spans="1:6" s="1044" customFormat="1" ht="16.899999999999999" customHeight="1">
      <c r="A88" s="1097">
        <v>24</v>
      </c>
      <c r="B88" s="1049" t="s">
        <v>1115</v>
      </c>
      <c r="C88" s="4">
        <f>'2-38'!H346</f>
        <v>1233.1999999999998</v>
      </c>
      <c r="D88" s="1046">
        <f>'2-38'!K346</f>
        <v>39</v>
      </c>
      <c r="E88" s="1046">
        <v>2</v>
      </c>
      <c r="F88" s="1047">
        <f>'2-38'!L346</f>
        <v>832000</v>
      </c>
    </row>
    <row r="89" spans="1:6" s="1044" customFormat="1" ht="16.899999999999999" customHeight="1">
      <c r="A89" s="1097">
        <v>25</v>
      </c>
      <c r="B89" s="1049" t="s">
        <v>1050</v>
      </c>
      <c r="C89" s="4">
        <f>'2-38'!H321</f>
        <v>15645.9</v>
      </c>
      <c r="D89" s="1046">
        <f>'2-38'!K321</f>
        <v>500</v>
      </c>
      <c r="E89" s="1046">
        <v>4</v>
      </c>
      <c r="F89" s="1047">
        <f>'2-38'!L321</f>
        <v>32177893.100000001</v>
      </c>
    </row>
    <row r="90" spans="1:6" s="1044" customFormat="1" ht="16.899999999999999" customHeight="1">
      <c r="A90" s="1097">
        <v>26</v>
      </c>
      <c r="B90" s="1049" t="s">
        <v>1100</v>
      </c>
      <c r="C90" s="4">
        <f>'2-38'!H326</f>
        <v>647.6</v>
      </c>
      <c r="D90" s="1046">
        <f>'2-38'!K326</f>
        <v>19</v>
      </c>
      <c r="E90" s="1046">
        <v>1</v>
      </c>
      <c r="F90" s="1047">
        <f>'2-38'!L326</f>
        <v>4982764.66</v>
      </c>
    </row>
    <row r="91" spans="1:6" s="1044" customFormat="1" ht="16.899999999999999" customHeight="1">
      <c r="A91" s="1097">
        <v>27</v>
      </c>
      <c r="B91" s="1048" t="s">
        <v>1117</v>
      </c>
      <c r="C91" s="4">
        <f>'2-38'!H332</f>
        <v>841</v>
      </c>
      <c r="D91" s="1046">
        <f>'2-38'!K332</f>
        <v>32</v>
      </c>
      <c r="E91" s="1046">
        <v>1</v>
      </c>
      <c r="F91" s="1047">
        <f>'2-38'!L332</f>
        <v>2967810.41</v>
      </c>
    </row>
    <row r="92" spans="1:6" s="1044" customFormat="1" ht="16.899999999999999" customHeight="1">
      <c r="A92" s="1097">
        <v>28</v>
      </c>
      <c r="B92" s="1048" t="s">
        <v>1256</v>
      </c>
      <c r="C92" s="4">
        <f>'2-38'!H328</f>
        <v>2623.4</v>
      </c>
      <c r="D92" s="1041">
        <f>'2-38'!K328</f>
        <v>119</v>
      </c>
      <c r="E92" s="1046">
        <v>3</v>
      </c>
      <c r="F92" s="1047">
        <f>'2-38'!L328</f>
        <v>9225287.8499999996</v>
      </c>
    </row>
    <row r="93" spans="1:6" s="1044" customFormat="1" ht="16.899999999999999" customHeight="1">
      <c r="A93" s="1097">
        <v>29</v>
      </c>
      <c r="B93" s="1048" t="s">
        <v>1053</v>
      </c>
      <c r="C93" s="4">
        <f>'2-38'!H334</f>
        <v>17610.5</v>
      </c>
      <c r="D93" s="1046">
        <f>'2-38'!K334</f>
        <v>704</v>
      </c>
      <c r="E93" s="1046">
        <v>5</v>
      </c>
      <c r="F93" s="1047">
        <f>'2-38'!L334</f>
        <v>26488505.43</v>
      </c>
    </row>
    <row r="94" spans="1:6" s="1044" customFormat="1" ht="16.899999999999999" customHeight="1">
      <c r="A94" s="1456" t="s">
        <v>1345</v>
      </c>
      <c r="B94" s="1456"/>
      <c r="C94" s="1456"/>
      <c r="D94" s="1456"/>
      <c r="E94" s="1456"/>
      <c r="F94" s="1456"/>
    </row>
    <row r="95" spans="1:6" s="1044" customFormat="1" ht="16.899999999999999" customHeight="1">
      <c r="A95" s="1097"/>
      <c r="B95" s="1048" t="s">
        <v>42</v>
      </c>
      <c r="C95" s="4">
        <f>C96+C97+C99+C100+C102+C103+C105+C106+C108+C109+C110+C111+C118+C120+C122+C128+C129+C131+C132+C134+C135+C137+C138+C139+C140+C141+C133+C101+C98+C121+C136</f>
        <v>206384.37999999998</v>
      </c>
      <c r="D95" s="4">
        <f t="shared" ref="D95:F95" si="10">D96+D97+D99+D100+D102+D103+D105+D106+D108+D109+D110+D111+D118+D120+D122+D128+D129+D131+D132+D134+D135+D137+D138+D139+D140+D141+D133+D101+D98+D121+D136</f>
        <v>7420</v>
      </c>
      <c r="E95" s="4">
        <f t="shared" si="10"/>
        <v>96</v>
      </c>
      <c r="F95" s="1047">
        <f t="shared" si="10"/>
        <v>672511329.8900001</v>
      </c>
    </row>
    <row r="96" spans="1:6" s="1044" customFormat="1" ht="16.899999999999999" customHeight="1">
      <c r="A96" s="1097">
        <v>1</v>
      </c>
      <c r="B96" s="1048" t="s">
        <v>1036</v>
      </c>
      <c r="C96" s="4">
        <f>'2-38'!H352</f>
        <v>45039.200000000004</v>
      </c>
      <c r="D96" s="1046">
        <f>'2-38'!K352</f>
        <v>1801</v>
      </c>
      <c r="E96" s="1046">
        <v>17</v>
      </c>
      <c r="F96" s="1047">
        <f>'2-38'!L352</f>
        <v>166554860.20000002</v>
      </c>
    </row>
    <row r="97" spans="1:6" s="1044" customFormat="1" ht="16.899999999999999" customHeight="1">
      <c r="A97" s="1097">
        <v>2</v>
      </c>
      <c r="B97" s="1045" t="s">
        <v>1093</v>
      </c>
      <c r="C97" s="4">
        <f>'2-38'!H370</f>
        <v>5412.6</v>
      </c>
      <c r="D97" s="1046">
        <f>'2-38'!K370</f>
        <v>182</v>
      </c>
      <c r="E97" s="1046">
        <v>5</v>
      </c>
      <c r="F97" s="1047">
        <f>'2-38'!L370</f>
        <v>38996940.149999999</v>
      </c>
    </row>
    <row r="98" spans="1:6" s="1044" customFormat="1" ht="16.899999999999999" customHeight="1">
      <c r="A98" s="1097">
        <v>3</v>
      </c>
      <c r="B98" s="1048" t="s">
        <v>1244</v>
      </c>
      <c r="C98" s="4">
        <f>'2-38'!H376</f>
        <v>21754.300000000003</v>
      </c>
      <c r="D98" s="1046">
        <f>'2-38'!K376</f>
        <v>703</v>
      </c>
      <c r="E98" s="1046">
        <v>6</v>
      </c>
      <c r="F98" s="1047">
        <f>'2-38'!L376</f>
        <v>50076551.32</v>
      </c>
    </row>
    <row r="99" spans="1:6" s="1044" customFormat="1" ht="16.899999999999999" customHeight="1">
      <c r="A99" s="1097">
        <v>4</v>
      </c>
      <c r="B99" s="1048" t="s">
        <v>1024</v>
      </c>
      <c r="C99" s="4">
        <f>'2-38'!H383</f>
        <v>2279.2000000000003</v>
      </c>
      <c r="D99" s="1046">
        <f>'2-38'!K383</f>
        <v>69</v>
      </c>
      <c r="E99" s="1046">
        <v>4</v>
      </c>
      <c r="F99" s="1047">
        <f>'2-38'!L383</f>
        <v>17209242.719999999</v>
      </c>
    </row>
    <row r="100" spans="1:6" s="1044" customFormat="1" ht="16.899999999999999" customHeight="1">
      <c r="A100" s="1097">
        <v>5</v>
      </c>
      <c r="B100" s="1045" t="s">
        <v>1055</v>
      </c>
      <c r="C100" s="4">
        <f>'2-38'!H388</f>
        <v>4596.5</v>
      </c>
      <c r="D100" s="1046">
        <f>'2-38'!K388</f>
        <v>209</v>
      </c>
      <c r="E100" s="1046">
        <v>1</v>
      </c>
      <c r="F100" s="1047">
        <f>'2-38'!L388</f>
        <v>14152964.67</v>
      </c>
    </row>
    <row r="101" spans="1:6" s="1044" customFormat="1" ht="16.899999999999999" customHeight="1">
      <c r="A101" s="1097">
        <v>6</v>
      </c>
      <c r="B101" s="1045" t="s">
        <v>1054</v>
      </c>
      <c r="C101" s="4">
        <f>'2-38'!H390</f>
        <v>2653.2</v>
      </c>
      <c r="D101" s="1046">
        <f>'2-38'!K390</f>
        <v>70</v>
      </c>
      <c r="E101" s="1046">
        <v>1</v>
      </c>
      <c r="F101" s="1047">
        <f>'2-38'!L390</f>
        <v>2284818.39</v>
      </c>
    </row>
    <row r="102" spans="1:6" s="1044" customFormat="1" ht="16.899999999999999" customHeight="1">
      <c r="A102" s="1123">
        <v>7</v>
      </c>
      <c r="B102" s="1045" t="s">
        <v>1094</v>
      </c>
      <c r="C102" s="4">
        <f>'2-38'!H392</f>
        <v>1699.2</v>
      </c>
      <c r="D102" s="1046">
        <f>'2-38'!K392</f>
        <v>48</v>
      </c>
      <c r="E102" s="1046">
        <v>2</v>
      </c>
      <c r="F102" s="1047">
        <f>'2-38'!L392</f>
        <v>13399978.800000001</v>
      </c>
    </row>
    <row r="103" spans="1:6" s="1044" customFormat="1" ht="16.899999999999999" customHeight="1">
      <c r="A103" s="1097"/>
      <c r="B103" s="1045" t="s">
        <v>41</v>
      </c>
      <c r="C103" s="4">
        <f>C104</f>
        <v>4390.3999999999996</v>
      </c>
      <c r="D103" s="4">
        <f t="shared" ref="D103:F103" si="11">D104</f>
        <v>147</v>
      </c>
      <c r="E103" s="4">
        <f t="shared" si="11"/>
        <v>2</v>
      </c>
      <c r="F103" s="1047">
        <f t="shared" si="11"/>
        <v>26339961.170000002</v>
      </c>
    </row>
    <row r="104" spans="1:6" s="1044" customFormat="1" ht="16.899999999999999" customHeight="1">
      <c r="A104" s="1097">
        <v>8</v>
      </c>
      <c r="B104" s="1045" t="s">
        <v>1025</v>
      </c>
      <c r="C104" s="4">
        <f>'2-38'!H396</f>
        <v>4390.3999999999996</v>
      </c>
      <c r="D104" s="1046">
        <f>'2-38'!K396</f>
        <v>147</v>
      </c>
      <c r="E104" s="1046">
        <v>2</v>
      </c>
      <c r="F104" s="1047">
        <f>'2-38'!L396</f>
        <v>26339961.170000002</v>
      </c>
    </row>
    <row r="105" spans="1:6" s="1044" customFormat="1" ht="16.899999999999999" customHeight="1">
      <c r="A105" s="1097">
        <v>9</v>
      </c>
      <c r="B105" s="1045" t="s">
        <v>1237</v>
      </c>
      <c r="C105" s="4">
        <f>'2-38'!H399</f>
        <v>1844.3</v>
      </c>
      <c r="D105" s="1046">
        <f>'2-38'!K399</f>
        <v>42</v>
      </c>
      <c r="E105" s="1046">
        <v>1</v>
      </c>
      <c r="F105" s="1047">
        <f>'2-38'!L399</f>
        <v>1469580.17</v>
      </c>
    </row>
    <row r="106" spans="1:6" s="1044" customFormat="1" ht="16.899999999999999" customHeight="1">
      <c r="A106" s="1049"/>
      <c r="B106" s="1049" t="s">
        <v>43</v>
      </c>
      <c r="C106" s="4">
        <f>C107</f>
        <v>7976.6</v>
      </c>
      <c r="D106" s="1046">
        <f t="shared" ref="D106:F106" si="12">D107</f>
        <v>242</v>
      </c>
      <c r="E106" s="1046">
        <f t="shared" si="12"/>
        <v>3</v>
      </c>
      <c r="F106" s="1047">
        <f t="shared" si="12"/>
        <v>23904968.270000003</v>
      </c>
    </row>
    <row r="107" spans="1:6" s="1044" customFormat="1" ht="16.899999999999999" customHeight="1">
      <c r="A107" s="1097">
        <v>10</v>
      </c>
      <c r="B107" s="1048" t="s">
        <v>1040</v>
      </c>
      <c r="C107" s="4">
        <f>'2-38'!H402</f>
        <v>7976.6</v>
      </c>
      <c r="D107" s="1046">
        <f>'2-38'!K402</f>
        <v>242</v>
      </c>
      <c r="E107" s="1046">
        <v>3</v>
      </c>
      <c r="F107" s="1047">
        <f>'2-38'!L402</f>
        <v>23904968.270000003</v>
      </c>
    </row>
    <row r="108" spans="1:6" s="1044" customFormat="1" ht="16.899999999999999" customHeight="1">
      <c r="A108" s="1097">
        <v>11</v>
      </c>
      <c r="B108" s="1049" t="s">
        <v>1092</v>
      </c>
      <c r="C108" s="4">
        <f>'2-38'!H406</f>
        <v>537.4</v>
      </c>
      <c r="D108" s="1046">
        <f>'2-38'!K406</f>
        <v>12</v>
      </c>
      <c r="E108" s="1046">
        <v>1</v>
      </c>
      <c r="F108" s="1047">
        <f>'2-38'!L406</f>
        <v>4844707.25</v>
      </c>
    </row>
    <row r="109" spans="1:6" s="1044" customFormat="1" ht="16.899999999999999" customHeight="1">
      <c r="A109" s="1097">
        <v>12</v>
      </c>
      <c r="B109" s="1049" t="s">
        <v>1312</v>
      </c>
      <c r="C109" s="4">
        <f>'2-38'!H408</f>
        <v>491.9</v>
      </c>
      <c r="D109" s="1046">
        <f>'2-38'!K408</f>
        <v>11</v>
      </c>
      <c r="E109" s="1046">
        <v>1</v>
      </c>
      <c r="F109" s="1047">
        <f>'2-38'!L408</f>
        <v>4007164.7</v>
      </c>
    </row>
    <row r="110" spans="1:6" s="1044" customFormat="1" ht="16.899999999999999" customHeight="1">
      <c r="A110" s="1097">
        <v>13</v>
      </c>
      <c r="B110" s="1049" t="s">
        <v>1098</v>
      </c>
      <c r="C110" s="4">
        <f>'2-38'!H410</f>
        <v>571.79999999999995</v>
      </c>
      <c r="D110" s="1046">
        <f>'2-38'!K410</f>
        <v>14</v>
      </c>
      <c r="E110" s="1046">
        <v>1</v>
      </c>
      <c r="F110" s="1047">
        <f>'2-38'!L410</f>
        <v>4714311.41</v>
      </c>
    </row>
    <row r="111" spans="1:6" s="1044" customFormat="1" ht="16.899999999999999" customHeight="1">
      <c r="A111" s="1097"/>
      <c r="B111" s="1049" t="s">
        <v>49</v>
      </c>
      <c r="C111" s="4">
        <f>C113+C114+C116+C115+C112+C117</f>
        <v>7271.7000000000007</v>
      </c>
      <c r="D111" s="4">
        <f t="shared" ref="D111:F111" si="13">D113+D114+D116+D115+D112+D117</f>
        <v>382</v>
      </c>
      <c r="E111" s="4">
        <f t="shared" si="13"/>
        <v>5</v>
      </c>
      <c r="F111" s="1047">
        <f t="shared" si="13"/>
        <v>26975825.91</v>
      </c>
    </row>
    <row r="112" spans="1:6" s="1044" customFormat="1" ht="16.899999999999999" customHeight="1">
      <c r="A112" s="1097">
        <v>14</v>
      </c>
      <c r="B112" s="1048" t="s">
        <v>1091</v>
      </c>
      <c r="C112" s="4">
        <f>'2-38'!H413</f>
        <v>1603.4</v>
      </c>
      <c r="D112" s="1041">
        <f>'2-38'!K413</f>
        <v>89</v>
      </c>
      <c r="E112" s="1041">
        <v>1</v>
      </c>
      <c r="F112" s="1047">
        <f>'2-38'!L413</f>
        <v>5499014.8499999996</v>
      </c>
    </row>
    <row r="113" spans="1:6" s="1044" customFormat="1" ht="16.899999999999999" customHeight="1">
      <c r="A113" s="1097">
        <v>15</v>
      </c>
      <c r="B113" s="1048" t="s">
        <v>1042</v>
      </c>
      <c r="C113" s="4">
        <f>'2-38'!H415</f>
        <v>853</v>
      </c>
      <c r="D113" s="1046">
        <f>'2-38'!K415</f>
        <v>36</v>
      </c>
      <c r="E113" s="1046">
        <v>1</v>
      </c>
      <c r="F113" s="1047">
        <f>'2-38'!L415</f>
        <v>7059401.2699999996</v>
      </c>
    </row>
    <row r="114" spans="1:6" s="1044" customFormat="1" ht="16.899999999999999" customHeight="1">
      <c r="A114" s="1097">
        <v>16</v>
      </c>
      <c r="B114" s="1048" t="s">
        <v>1056</v>
      </c>
      <c r="C114" s="4">
        <f>'2-38'!H417</f>
        <v>545</v>
      </c>
      <c r="D114" s="1046">
        <f>'2-38'!K417</f>
        <v>36</v>
      </c>
      <c r="E114" s="1046">
        <v>1</v>
      </c>
      <c r="F114" s="1047">
        <f>'2-38'!L417</f>
        <v>2206919.2400000002</v>
      </c>
    </row>
    <row r="115" spans="1:6" s="1044" customFormat="1" ht="16.899999999999999" customHeight="1">
      <c r="A115" s="1097">
        <v>17</v>
      </c>
      <c r="B115" s="1048" t="s">
        <v>1087</v>
      </c>
      <c r="C115" s="4"/>
      <c r="D115" s="1046"/>
      <c r="E115" s="1046"/>
      <c r="F115" s="1047"/>
    </row>
    <row r="116" spans="1:6" s="1044" customFormat="1" ht="16.899999999999999" customHeight="1">
      <c r="A116" s="1097">
        <v>18</v>
      </c>
      <c r="B116" s="1048" t="s">
        <v>1068</v>
      </c>
      <c r="C116" s="4">
        <f>'2-38'!H419</f>
        <v>3407.8</v>
      </c>
      <c r="D116" s="1046">
        <f>'2-38'!K419</f>
        <v>167</v>
      </c>
      <c r="E116" s="1046">
        <v>1</v>
      </c>
      <c r="F116" s="1047">
        <f>'2-38'!L419</f>
        <v>6046377.9299999997</v>
      </c>
    </row>
    <row r="117" spans="1:6" s="1044" customFormat="1" ht="16.899999999999999" customHeight="1">
      <c r="A117" s="1097">
        <v>19</v>
      </c>
      <c r="B117" s="1048" t="s">
        <v>2004</v>
      </c>
      <c r="C117" s="4">
        <f>'2-38'!H421</f>
        <v>862.5</v>
      </c>
      <c r="D117" s="1046">
        <f>'2-38'!K421</f>
        <v>54</v>
      </c>
      <c r="E117" s="1046">
        <v>1</v>
      </c>
      <c r="F117" s="1047">
        <f>'2-38'!L421</f>
        <v>6164112.6200000001</v>
      </c>
    </row>
    <row r="118" spans="1:6" s="1044" customFormat="1" ht="16.899999999999999" customHeight="1">
      <c r="A118" s="1097"/>
      <c r="B118" s="1049" t="s">
        <v>50</v>
      </c>
      <c r="C118" s="4">
        <f>C119</f>
        <v>8139.4</v>
      </c>
      <c r="D118" s="1046">
        <f t="shared" ref="D118:F118" si="14">D119</f>
        <v>260</v>
      </c>
      <c r="E118" s="1046">
        <f t="shared" si="14"/>
        <v>2</v>
      </c>
      <c r="F118" s="1047">
        <f t="shared" si="14"/>
        <v>12776900.84</v>
      </c>
    </row>
    <row r="119" spans="1:6" s="1044" customFormat="1" ht="16.899999999999999" customHeight="1">
      <c r="A119" s="1097">
        <v>20</v>
      </c>
      <c r="B119" s="1048" t="s">
        <v>1028</v>
      </c>
      <c r="C119" s="4">
        <f>'2-38'!H424</f>
        <v>8139.4</v>
      </c>
      <c r="D119" s="1046">
        <f>'2-38'!K424</f>
        <v>260</v>
      </c>
      <c r="E119" s="1046">
        <v>2</v>
      </c>
      <c r="F119" s="1047">
        <f>'2-38'!L424</f>
        <v>12776900.84</v>
      </c>
    </row>
    <row r="120" spans="1:6" s="1044" customFormat="1" ht="16.899999999999999" customHeight="1">
      <c r="A120" s="1097">
        <v>21</v>
      </c>
      <c r="B120" s="1049" t="s">
        <v>1067</v>
      </c>
      <c r="C120" s="4">
        <f>'2-38'!H427</f>
        <v>6196.5999999999995</v>
      </c>
      <c r="D120" s="1046">
        <f>'2-38'!K427</f>
        <v>149</v>
      </c>
      <c r="E120" s="1046">
        <v>4</v>
      </c>
      <c r="F120" s="1047">
        <f>'2-38'!L427</f>
        <v>20209721.780000001</v>
      </c>
    </row>
    <row r="121" spans="1:6" s="1044" customFormat="1" ht="16.899999999999999" customHeight="1">
      <c r="A121" s="1097">
        <v>22</v>
      </c>
      <c r="B121" s="1049" t="s">
        <v>1243</v>
      </c>
      <c r="C121" s="4">
        <f>'2-38'!H432</f>
        <v>3598.6</v>
      </c>
      <c r="D121" s="1046">
        <f>'2-38'!K432</f>
        <v>73</v>
      </c>
      <c r="E121" s="1046">
        <v>4</v>
      </c>
      <c r="F121" s="1047">
        <f>'2-38'!L432</f>
        <v>20850496.600000001</v>
      </c>
    </row>
    <row r="122" spans="1:6" s="1044" customFormat="1" ht="16.899999999999999" customHeight="1">
      <c r="A122" s="1097"/>
      <c r="B122" s="1049" t="s">
        <v>53</v>
      </c>
      <c r="C122" s="4">
        <f>C123+C126+C127+C125+C124</f>
        <v>29070.399999999994</v>
      </c>
      <c r="D122" s="4">
        <f t="shared" ref="D122:F122" si="15">D123+D126+D127+D125+D124</f>
        <v>1123</v>
      </c>
      <c r="E122" s="4">
        <f t="shared" si="15"/>
        <v>10</v>
      </c>
      <c r="F122" s="1047">
        <f t="shared" si="15"/>
        <v>72935585.960000008</v>
      </c>
    </row>
    <row r="123" spans="1:6" s="1044" customFormat="1" ht="16.899999999999999" customHeight="1">
      <c r="A123" s="1097">
        <v>23</v>
      </c>
      <c r="B123" s="1048" t="s">
        <v>1029</v>
      </c>
      <c r="C123" s="4">
        <f>'2-38'!H438</f>
        <v>26835.699999999997</v>
      </c>
      <c r="D123" s="1046">
        <f>'2-38'!K438</f>
        <v>983</v>
      </c>
      <c r="E123" s="1046">
        <v>6</v>
      </c>
      <c r="F123" s="1047">
        <f>'2-38'!L438</f>
        <v>58289329.660000004</v>
      </c>
    </row>
    <row r="124" spans="1:6" s="1044" customFormat="1" ht="16.899999999999999" customHeight="1">
      <c r="A124" s="1097">
        <v>24</v>
      </c>
      <c r="B124" s="1048" t="s">
        <v>1033</v>
      </c>
      <c r="C124" s="4">
        <f>'2-38'!H445</f>
        <v>717</v>
      </c>
      <c r="D124" s="1046">
        <f>'2-38'!K445</f>
        <v>74</v>
      </c>
      <c r="E124" s="1046">
        <v>1</v>
      </c>
      <c r="F124" s="1047">
        <f>'2-38'!L445</f>
        <v>4434126.26</v>
      </c>
    </row>
    <row r="125" spans="1:6" s="1044" customFormat="1" ht="16.899999999999999" customHeight="1">
      <c r="A125" s="1097">
        <v>25</v>
      </c>
      <c r="B125" s="1048" t="s">
        <v>1037</v>
      </c>
      <c r="C125" s="4">
        <f>'2-38'!H447</f>
        <v>573.79999999999995</v>
      </c>
      <c r="D125" s="1046">
        <f>'2-38'!K447</f>
        <v>16</v>
      </c>
      <c r="E125" s="1046">
        <v>1</v>
      </c>
      <c r="F125" s="1047">
        <f>'2-38'!L447</f>
        <v>5536808.29</v>
      </c>
    </row>
    <row r="126" spans="1:6" s="1044" customFormat="1" ht="16.899999999999999" customHeight="1">
      <c r="A126" s="1097">
        <v>26</v>
      </c>
      <c r="B126" s="1048" t="s">
        <v>1039</v>
      </c>
      <c r="C126" s="4">
        <f>'2-38'!H449</f>
        <v>418.8</v>
      </c>
      <c r="D126" s="1046">
        <f>'2-38'!K449</f>
        <v>16</v>
      </c>
      <c r="E126" s="1046">
        <v>1</v>
      </c>
      <c r="F126" s="1047">
        <f>'2-38'!L449</f>
        <v>1309575.52</v>
      </c>
    </row>
    <row r="127" spans="1:6" s="1044" customFormat="1" ht="16.899999999999999" customHeight="1">
      <c r="A127" s="1097">
        <v>27</v>
      </c>
      <c r="B127" s="1048" t="s">
        <v>1096</v>
      </c>
      <c r="C127" s="4">
        <f>'2-38'!H451</f>
        <v>525.1</v>
      </c>
      <c r="D127" s="1046">
        <f>'2-38'!K451</f>
        <v>34</v>
      </c>
      <c r="E127" s="1046">
        <v>1</v>
      </c>
      <c r="F127" s="1047">
        <f>'2-38'!L451</f>
        <v>3365746.23</v>
      </c>
    </row>
    <row r="128" spans="1:6" s="1044" customFormat="1" ht="16.899999999999999" customHeight="1">
      <c r="A128" s="1097">
        <v>28</v>
      </c>
      <c r="B128" s="1049" t="s">
        <v>1099</v>
      </c>
      <c r="C128" s="4">
        <f>'2-38'!H453</f>
        <v>1910.1</v>
      </c>
      <c r="D128" s="1046">
        <f>'2-38'!K453</f>
        <v>68</v>
      </c>
      <c r="E128" s="1046">
        <v>1</v>
      </c>
      <c r="F128" s="1047">
        <f>'2-38'!L453</f>
        <v>12301343.630000001</v>
      </c>
    </row>
    <row r="129" spans="1:6" s="1044" customFormat="1" ht="16.899999999999999" customHeight="1">
      <c r="A129" s="1097"/>
      <c r="B129" s="1049" t="s">
        <v>55</v>
      </c>
      <c r="C129" s="4">
        <f>C130</f>
        <v>4475.1000000000004</v>
      </c>
      <c r="D129" s="1046">
        <f t="shared" ref="D129:F129" si="16">D130</f>
        <v>148</v>
      </c>
      <c r="E129" s="1046">
        <f t="shared" si="16"/>
        <v>1</v>
      </c>
      <c r="F129" s="1047">
        <f t="shared" si="16"/>
        <v>11676241.529999999</v>
      </c>
    </row>
    <row r="130" spans="1:6" s="1044" customFormat="1" ht="16.899999999999999" customHeight="1">
      <c r="A130" s="1097">
        <v>29</v>
      </c>
      <c r="B130" s="1048" t="s">
        <v>1034</v>
      </c>
      <c r="C130" s="4">
        <f>'2-38'!H456</f>
        <v>4475.1000000000004</v>
      </c>
      <c r="D130" s="1046">
        <f>'2-38'!K456</f>
        <v>148</v>
      </c>
      <c r="E130" s="1046">
        <v>1</v>
      </c>
      <c r="F130" s="1047">
        <f>'2-38'!L456</f>
        <v>11676241.529999999</v>
      </c>
    </row>
    <row r="131" spans="1:6" s="1044" customFormat="1" ht="16.899999999999999" customHeight="1">
      <c r="A131" s="1097">
        <v>30</v>
      </c>
      <c r="B131" s="1049" t="s">
        <v>1119</v>
      </c>
      <c r="C131" s="4">
        <f>'2-38'!H458</f>
        <v>5761.6</v>
      </c>
      <c r="D131" s="1046">
        <f>'2-38'!K458</f>
        <v>254</v>
      </c>
      <c r="E131" s="1046">
        <v>3</v>
      </c>
      <c r="F131" s="1047">
        <f>'2-38'!L458</f>
        <v>19861037.490000002</v>
      </c>
    </row>
    <row r="132" spans="1:6" s="1044" customFormat="1" ht="16.899999999999999" customHeight="1">
      <c r="A132" s="1097">
        <v>31</v>
      </c>
      <c r="B132" s="1049" t="s">
        <v>1066</v>
      </c>
      <c r="C132" s="4">
        <f>'2-38'!H462</f>
        <v>1342.4</v>
      </c>
      <c r="D132" s="1046">
        <f>'2-38'!K462</f>
        <v>39</v>
      </c>
      <c r="E132" s="1046">
        <v>2</v>
      </c>
      <c r="F132" s="1047">
        <f>'2-38'!L462</f>
        <v>9279219.4399999995</v>
      </c>
    </row>
    <row r="133" spans="1:6" s="1044" customFormat="1" ht="16.899999999999999" customHeight="1">
      <c r="A133" s="1097">
        <v>32</v>
      </c>
      <c r="B133" s="1049" t="s">
        <v>1115</v>
      </c>
      <c r="C133" s="4">
        <f>'2-38'!H497</f>
        <v>825.5</v>
      </c>
      <c r="D133" s="1046">
        <f>'2-38'!K497</f>
        <v>23</v>
      </c>
      <c r="E133" s="1046">
        <v>1</v>
      </c>
      <c r="F133" s="1047">
        <f>'2-38'!L497</f>
        <v>700000</v>
      </c>
    </row>
    <row r="134" spans="1:6" s="1044" customFormat="1" ht="16.899999999999999" customHeight="1">
      <c r="A134" s="1097">
        <v>33</v>
      </c>
      <c r="B134" s="1049" t="s">
        <v>1050</v>
      </c>
      <c r="C134" s="4">
        <f>'2-38'!H465</f>
        <v>13807.21</v>
      </c>
      <c r="D134" s="1046">
        <f>'2-38'!K465</f>
        <v>451</v>
      </c>
      <c r="E134" s="1046">
        <v>5</v>
      </c>
      <c r="F134" s="1047">
        <f>'2-38'!L465</f>
        <v>29816233.869999997</v>
      </c>
    </row>
    <row r="135" spans="1:6" s="1044" customFormat="1" ht="16.899999999999999" customHeight="1">
      <c r="A135" s="1097">
        <v>34</v>
      </c>
      <c r="B135" s="1048" t="s">
        <v>1118</v>
      </c>
      <c r="C135" s="4">
        <f>'2-38'!H471</f>
        <v>1523.1</v>
      </c>
      <c r="D135" s="1046">
        <f>'2-38'!K471</f>
        <v>47</v>
      </c>
      <c r="E135" s="1046">
        <v>1</v>
      </c>
      <c r="F135" s="1047">
        <f>'2-38'!L471</f>
        <v>6789799.4800000004</v>
      </c>
    </row>
    <row r="136" spans="1:6" s="1044" customFormat="1" ht="16.899999999999999" customHeight="1">
      <c r="A136" s="1097">
        <v>34</v>
      </c>
      <c r="B136" s="1048" t="s">
        <v>2005</v>
      </c>
      <c r="C136" s="4">
        <v>626</v>
      </c>
      <c r="D136" s="1046">
        <v>18</v>
      </c>
      <c r="E136" s="1046">
        <v>1</v>
      </c>
      <c r="F136" s="1047">
        <v>5436503.79</v>
      </c>
    </row>
    <row r="137" spans="1:6" s="1044" customFormat="1" ht="16.5" customHeight="1">
      <c r="A137" s="1097">
        <v>36</v>
      </c>
      <c r="B137" s="1049" t="s">
        <v>1100</v>
      </c>
      <c r="C137" s="4">
        <f>'2-38'!H475</f>
        <v>575.4</v>
      </c>
      <c r="D137" s="1046">
        <f>'2-38'!K475</f>
        <v>22</v>
      </c>
      <c r="E137" s="1046">
        <v>1</v>
      </c>
      <c r="F137" s="1047">
        <f>'2-38'!L475</f>
        <v>4511094.49</v>
      </c>
    </row>
    <row r="138" spans="1:6" s="1044" customFormat="1" ht="16.899999999999999" customHeight="1">
      <c r="A138" s="1097">
        <v>37</v>
      </c>
      <c r="B138" s="1048" t="s">
        <v>1117</v>
      </c>
      <c r="C138" s="4">
        <f>'2-38'!H477</f>
        <v>1365.8000000000002</v>
      </c>
      <c r="D138" s="1046">
        <f>'2-38'!K477</f>
        <v>51</v>
      </c>
      <c r="E138" s="1046">
        <v>2</v>
      </c>
      <c r="F138" s="1047">
        <f>'2-38'!L477</f>
        <v>5751075.0700000003</v>
      </c>
    </row>
    <row r="139" spans="1:6" s="1044" customFormat="1" ht="16.899999999999999" customHeight="1">
      <c r="A139" s="1097">
        <v>38</v>
      </c>
      <c r="B139" s="1048" t="s">
        <v>1256</v>
      </c>
      <c r="C139" s="4">
        <f>'2-38'!H480</f>
        <v>4269.6000000000004</v>
      </c>
      <c r="D139" s="1041">
        <f>'2-38'!K480</f>
        <v>173</v>
      </c>
      <c r="E139" s="1046">
        <v>1</v>
      </c>
      <c r="F139" s="1047">
        <f>'2-38'!L480</f>
        <v>7602256</v>
      </c>
    </row>
    <row r="140" spans="1:6" s="1044" customFormat="1" ht="16.899999999999999" customHeight="1">
      <c r="A140" s="1097">
        <v>39</v>
      </c>
      <c r="B140" s="1048" t="s">
        <v>1053</v>
      </c>
      <c r="C140" s="4">
        <f>'2-38'!H482</f>
        <v>12860.269999999999</v>
      </c>
      <c r="D140" s="1046">
        <f>'2-38'!K482</f>
        <v>498</v>
      </c>
      <c r="E140" s="1046">
        <v>5</v>
      </c>
      <c r="F140" s="1047">
        <f>'2-38'!L482</f>
        <v>26406023.920000002</v>
      </c>
    </row>
    <row r="141" spans="1:6" s="1044" customFormat="1" ht="16.899999999999999" customHeight="1">
      <c r="A141" s="1097"/>
      <c r="B141" s="1040" t="s">
        <v>67</v>
      </c>
      <c r="C141" s="4">
        <f>C142+C143</f>
        <v>3519</v>
      </c>
      <c r="D141" s="1041">
        <f t="shared" ref="D141:F141" si="17">D142+D143</f>
        <v>91</v>
      </c>
      <c r="E141" s="1041">
        <f t="shared" si="17"/>
        <v>2</v>
      </c>
      <c r="F141" s="1047">
        <f t="shared" si="17"/>
        <v>10675920.870000001</v>
      </c>
    </row>
    <row r="142" spans="1:6" s="1044" customFormat="1" ht="16.899999999999999" customHeight="1">
      <c r="A142" s="1323">
        <v>40</v>
      </c>
      <c r="B142" s="1048" t="s">
        <v>1083</v>
      </c>
      <c r="C142" s="4">
        <f>'2-38'!H489</f>
        <v>1928.4</v>
      </c>
      <c r="D142" s="1046">
        <f>'2-38'!K489</f>
        <v>50</v>
      </c>
      <c r="E142" s="1046">
        <v>1</v>
      </c>
      <c r="F142" s="1047">
        <f>'2-38'!L489</f>
        <v>7121619.3600000003</v>
      </c>
    </row>
    <row r="143" spans="1:6" s="1044" customFormat="1" ht="16.899999999999999" customHeight="1">
      <c r="A143" s="1323">
        <v>41</v>
      </c>
      <c r="B143" s="1048" t="s">
        <v>1350</v>
      </c>
      <c r="C143" s="4">
        <f>'2-38'!H491</f>
        <v>1590.6</v>
      </c>
      <c r="D143" s="1046">
        <f>'2-38'!K491</f>
        <v>41</v>
      </c>
      <c r="E143" s="1046">
        <v>1</v>
      </c>
      <c r="F143" s="1047">
        <f>'2-38'!L491</f>
        <v>3554301.51</v>
      </c>
    </row>
    <row r="144" spans="1:6" s="1044" customFormat="1" ht="26.45" customHeight="1">
      <c r="A144" s="1456" t="s">
        <v>1341</v>
      </c>
      <c r="B144" s="1456"/>
      <c r="C144" s="1456"/>
      <c r="D144" s="1456"/>
      <c r="E144" s="1456"/>
      <c r="F144" s="1456"/>
    </row>
    <row r="145" spans="1:6" s="1044" customFormat="1" ht="16.899999999999999" customHeight="1">
      <c r="A145" s="1323"/>
      <c r="B145" s="1045" t="s">
        <v>42</v>
      </c>
      <c r="C145" s="1050">
        <f>C146+C147+C148+C149+C150+C151+C152+C153+C156+C157+C160+C161+C162+C163+C164+C171+C173+C174+C175+C185+C186+C188+C189+C190+C191+C192+C193+C194+C195+C196+C197+C198+C199+C201+C203+C204</f>
        <v>997417.71999999962</v>
      </c>
      <c r="D145" s="1050">
        <f t="shared" ref="D145:F145" si="18">D146+D147+D148+D149+D150+D151+D152+D153+D156+D157+D160+D161+D162+D163+D164+D171+D173+D174+D175+D185+D186+D188+D189+D190+D191+D192+D193+D194+D195+D196+D197+D198+D199+D201+D203+D204</f>
        <v>33868</v>
      </c>
      <c r="E145" s="1050">
        <f t="shared" si="18"/>
        <v>490</v>
      </c>
      <c r="F145" s="1326">
        <f t="shared" si="18"/>
        <v>1744182941.6983984</v>
      </c>
    </row>
    <row r="146" spans="1:6" s="1044" customFormat="1" ht="16.899999999999999" customHeight="1">
      <c r="A146" s="1323">
        <v>1</v>
      </c>
      <c r="B146" s="1045" t="s">
        <v>1036</v>
      </c>
      <c r="C146" s="4">
        <f>'2-38'!H503</f>
        <v>479462.33999999973</v>
      </c>
      <c r="D146" s="1046">
        <f>'2-38'!K503</f>
        <v>16784</v>
      </c>
      <c r="E146" s="1046">
        <v>161</v>
      </c>
      <c r="F146" s="1047">
        <f>'2-38'!L503</f>
        <v>839276985.68805385</v>
      </c>
    </row>
    <row r="147" spans="1:6" s="1044" customFormat="1" ht="16.899999999999999" customHeight="1">
      <c r="A147" s="1323">
        <v>2</v>
      </c>
      <c r="B147" s="1045" t="s">
        <v>1093</v>
      </c>
      <c r="C147" s="4">
        <f>'2-38'!H665</f>
        <v>44602.110000000015</v>
      </c>
      <c r="D147" s="1046">
        <f>'2-38'!K665</f>
        <v>1637</v>
      </c>
      <c r="E147" s="1046">
        <v>42</v>
      </c>
      <c r="F147" s="1047">
        <f>'2-38'!L665</f>
        <v>65026596.580000013</v>
      </c>
    </row>
    <row r="148" spans="1:6" s="1044" customFormat="1" ht="16.899999999999999" customHeight="1">
      <c r="A148" s="1323">
        <v>3</v>
      </c>
      <c r="B148" s="1045" t="s">
        <v>1244</v>
      </c>
      <c r="C148" s="4">
        <f>'2-38'!H708</f>
        <v>40938.6</v>
      </c>
      <c r="D148" s="1046">
        <f>'2-38'!K708</f>
        <v>1308</v>
      </c>
      <c r="E148" s="1046">
        <v>17</v>
      </c>
      <c r="F148" s="1047">
        <f>'2-38'!L708</f>
        <v>84597615.260344625</v>
      </c>
    </row>
    <row r="149" spans="1:6" s="1044" customFormat="1" ht="16.899999999999999" customHeight="1">
      <c r="A149" s="1323">
        <v>4</v>
      </c>
      <c r="B149" s="1048" t="s">
        <v>1024</v>
      </c>
      <c r="C149" s="4">
        <f>'2-38'!H726</f>
        <v>11617.199999999999</v>
      </c>
      <c r="D149" s="1046">
        <f>'2-38'!K726</f>
        <v>405</v>
      </c>
      <c r="E149" s="1046">
        <v>10</v>
      </c>
      <c r="F149" s="1047">
        <f>'2-38'!L726</f>
        <v>15081754.460000001</v>
      </c>
    </row>
    <row r="150" spans="1:6" s="1044" customFormat="1" ht="16.899999999999999" customHeight="1">
      <c r="A150" s="1323">
        <v>5</v>
      </c>
      <c r="B150" s="1045" t="s">
        <v>1055</v>
      </c>
      <c r="C150" s="4">
        <f>'2-38'!H737</f>
        <v>64512.160000000003</v>
      </c>
      <c r="D150" s="1046">
        <f>'2-38'!K737</f>
        <v>1987</v>
      </c>
      <c r="E150" s="1046">
        <v>14</v>
      </c>
      <c r="F150" s="1047">
        <f>'2-38'!L737</f>
        <v>60140240.480000004</v>
      </c>
    </row>
    <row r="151" spans="1:6" s="1044" customFormat="1" ht="16.899999999999999" customHeight="1">
      <c r="A151" s="1323">
        <v>6</v>
      </c>
      <c r="B151" s="1045" t="s">
        <v>1054</v>
      </c>
      <c r="C151" s="4">
        <f>'2-38'!H752</f>
        <v>2739.4</v>
      </c>
      <c r="D151" s="1046">
        <f>'2-38'!K752</f>
        <v>79</v>
      </c>
      <c r="E151" s="1046">
        <v>1</v>
      </c>
      <c r="F151" s="1047">
        <f>'2-38'!L752</f>
        <v>11459859.27</v>
      </c>
    </row>
    <row r="152" spans="1:6" s="1044" customFormat="1" ht="16.899999999999999" customHeight="1">
      <c r="A152" s="1323">
        <v>7</v>
      </c>
      <c r="B152" s="1045" t="s">
        <v>1094</v>
      </c>
      <c r="C152" s="4">
        <f>'2-38'!H754</f>
        <v>4777.5</v>
      </c>
      <c r="D152" s="1046">
        <f>'2-38'!K754</f>
        <v>143</v>
      </c>
      <c r="E152" s="1046">
        <v>8</v>
      </c>
      <c r="F152" s="1047">
        <f>'2-38'!L754</f>
        <v>17454098.979999997</v>
      </c>
    </row>
    <row r="153" spans="1:6" s="1044" customFormat="1" ht="16.899999999999999" customHeight="1">
      <c r="A153" s="1323"/>
      <c r="B153" s="1045" t="s">
        <v>41</v>
      </c>
      <c r="C153" s="4">
        <f>C154+C155</f>
        <v>14097.569999999998</v>
      </c>
      <c r="D153" s="4">
        <f t="shared" ref="D153:F153" si="19">D154+D155</f>
        <v>519</v>
      </c>
      <c r="E153" s="4">
        <f t="shared" si="19"/>
        <v>11</v>
      </c>
      <c r="F153" s="1047">
        <f t="shared" si="19"/>
        <v>39849754.019999996</v>
      </c>
    </row>
    <row r="154" spans="1:6" s="1044" customFormat="1" ht="16.899999999999999" customHeight="1">
      <c r="A154" s="1323">
        <v>8</v>
      </c>
      <c r="B154" s="1045" t="s">
        <v>1025</v>
      </c>
      <c r="C154" s="4">
        <f>'2-38'!H764</f>
        <v>13033.669999999998</v>
      </c>
      <c r="D154" s="1046">
        <f>'2-38'!K764</f>
        <v>470</v>
      </c>
      <c r="E154" s="1046">
        <v>10</v>
      </c>
      <c r="F154" s="1047">
        <f>'2-38'!L764</f>
        <v>37157047.019999996</v>
      </c>
    </row>
    <row r="155" spans="1:6" s="1044" customFormat="1" ht="16.899999999999999" customHeight="1">
      <c r="A155" s="1323">
        <v>9</v>
      </c>
      <c r="B155" s="1045" t="s">
        <v>2049</v>
      </c>
      <c r="C155" s="4">
        <f>'2-38'!H775</f>
        <v>1063.9000000000001</v>
      </c>
      <c r="D155" s="1046">
        <f>'2-38'!K775</f>
        <v>49</v>
      </c>
      <c r="E155" s="1046">
        <v>1</v>
      </c>
      <c r="F155" s="1047">
        <f>'2-38'!L775</f>
        <v>2692707</v>
      </c>
    </row>
    <row r="156" spans="1:6" s="1044" customFormat="1" ht="16.899999999999999" customHeight="1">
      <c r="A156" s="1323">
        <v>10</v>
      </c>
      <c r="B156" s="1045" t="s">
        <v>1237</v>
      </c>
      <c r="C156" s="4">
        <f>'2-38'!H777</f>
        <v>5046.7</v>
      </c>
      <c r="D156" s="1046">
        <f>'2-38'!K777</f>
        <v>172</v>
      </c>
      <c r="E156" s="1046">
        <v>10</v>
      </c>
      <c r="F156" s="1047">
        <f>'2-38'!L777</f>
        <v>5829116.3200000003</v>
      </c>
    </row>
    <row r="157" spans="1:6" s="1044" customFormat="1" ht="16.899999999999999" customHeight="1">
      <c r="A157" s="1323"/>
      <c r="B157" s="1049" t="s">
        <v>43</v>
      </c>
      <c r="C157" s="4">
        <f>C158+C159</f>
        <v>42295.69</v>
      </c>
      <c r="D157" s="4">
        <f t="shared" ref="D157:F157" si="20">D158+D159</f>
        <v>1367</v>
      </c>
      <c r="E157" s="4">
        <f t="shared" si="20"/>
        <v>22</v>
      </c>
      <c r="F157" s="1047">
        <f t="shared" si="20"/>
        <v>57184535.030000001</v>
      </c>
    </row>
    <row r="158" spans="1:6" s="1044" customFormat="1" ht="16.899999999999999" customHeight="1">
      <c r="A158" s="1323">
        <v>11</v>
      </c>
      <c r="B158" s="1048" t="s">
        <v>1040</v>
      </c>
      <c r="C158" s="4">
        <f>'2-38'!H789</f>
        <v>36403.39</v>
      </c>
      <c r="D158" s="1046">
        <f>'2-38'!K789</f>
        <v>1168</v>
      </c>
      <c r="E158" s="1046">
        <v>20</v>
      </c>
      <c r="F158" s="1047">
        <f>'2-38'!L789</f>
        <v>54667477.030000001</v>
      </c>
    </row>
    <row r="159" spans="1:6" s="1044" customFormat="1" ht="16.899999999999999" customHeight="1">
      <c r="A159" s="1323">
        <v>12</v>
      </c>
      <c r="B159" s="1048" t="s">
        <v>2010</v>
      </c>
      <c r="C159" s="4">
        <f>'2-38'!H810</f>
        <v>5892.3</v>
      </c>
      <c r="D159" s="1046">
        <f>'2-38'!K810</f>
        <v>199</v>
      </c>
      <c r="E159" s="1046">
        <v>2</v>
      </c>
      <c r="F159" s="1047">
        <f>'2-38'!L810</f>
        <v>2517058</v>
      </c>
    </row>
    <row r="160" spans="1:6" s="1044" customFormat="1" ht="16.899999999999999" customHeight="1">
      <c r="A160" s="1323">
        <v>13</v>
      </c>
      <c r="B160" s="1049" t="s">
        <v>1092</v>
      </c>
      <c r="C160" s="4">
        <f>'2-38'!H813</f>
        <v>3476.9</v>
      </c>
      <c r="D160" s="1046">
        <f>'2-38'!K813</f>
        <v>73</v>
      </c>
      <c r="E160" s="1046">
        <v>3</v>
      </c>
      <c r="F160" s="1047">
        <f>'2-38'!L813</f>
        <v>8098594.3300000001</v>
      </c>
    </row>
    <row r="161" spans="1:6" s="1044" customFormat="1" ht="16.899999999999999" customHeight="1">
      <c r="A161" s="1323">
        <v>14</v>
      </c>
      <c r="B161" s="1049" t="s">
        <v>1312</v>
      </c>
      <c r="C161" s="4">
        <f>'2-38'!H817</f>
        <v>3672.1</v>
      </c>
      <c r="D161" s="1046">
        <f>'2-38'!K817</f>
        <v>94</v>
      </c>
      <c r="E161" s="1046">
        <v>3</v>
      </c>
      <c r="F161" s="1047">
        <f>'2-38'!L817</f>
        <v>7060927.2999999998</v>
      </c>
    </row>
    <row r="162" spans="1:6" s="1044" customFormat="1" ht="16.899999999999999" customHeight="1">
      <c r="A162" s="1323">
        <v>15</v>
      </c>
      <c r="B162" s="1049" t="s">
        <v>1098</v>
      </c>
      <c r="C162" s="4">
        <f>'2-38'!H821</f>
        <v>6304.6</v>
      </c>
      <c r="D162" s="1046">
        <f>'2-38'!K821</f>
        <v>217</v>
      </c>
      <c r="E162" s="1046">
        <v>6</v>
      </c>
      <c r="F162" s="1047">
        <f>'2-38'!L821</f>
        <v>16602700.220000001</v>
      </c>
    </row>
    <row r="163" spans="1:6" s="1044" customFormat="1" ht="16.899999999999999" customHeight="1">
      <c r="A163" s="1323">
        <v>16</v>
      </c>
      <c r="B163" s="1049" t="s">
        <v>1238</v>
      </c>
      <c r="C163" s="4">
        <f>'2-38'!H828</f>
        <v>4612.3</v>
      </c>
      <c r="D163" s="1046">
        <f>'2-38'!K828</f>
        <v>158</v>
      </c>
      <c r="E163" s="1046">
        <v>3</v>
      </c>
      <c r="F163" s="1047">
        <f>'2-38'!L828</f>
        <v>5798049.5999999996</v>
      </c>
    </row>
    <row r="164" spans="1:6" s="1044" customFormat="1" ht="16.899999999999999" customHeight="1">
      <c r="A164" s="1323"/>
      <c r="B164" s="1049" t="s">
        <v>49</v>
      </c>
      <c r="C164" s="4">
        <f>C165+C166+C168+C169+C170+C167</f>
        <v>13726.5</v>
      </c>
      <c r="D164" s="4">
        <f t="shared" ref="D164:F164" si="21">D165+D166+D168+D169+D170+D167</f>
        <v>556</v>
      </c>
      <c r="E164" s="4">
        <f t="shared" si="21"/>
        <v>10</v>
      </c>
      <c r="F164" s="1047">
        <f t="shared" si="21"/>
        <v>27352279.659999996</v>
      </c>
    </row>
    <row r="165" spans="1:6" s="1044" customFormat="1" ht="16.899999999999999" customHeight="1">
      <c r="A165" s="1323">
        <v>17</v>
      </c>
      <c r="B165" s="1048" t="s">
        <v>1056</v>
      </c>
      <c r="C165" s="4">
        <f>'2-38'!H833</f>
        <v>1483.1</v>
      </c>
      <c r="D165" s="1046">
        <f>'2-38'!K833</f>
        <v>64</v>
      </c>
      <c r="E165" s="1046">
        <v>1</v>
      </c>
      <c r="F165" s="1047">
        <f>'2-38'!L833</f>
        <v>2674133</v>
      </c>
    </row>
    <row r="166" spans="1:6" s="1044" customFormat="1" ht="16.899999999999999" customHeight="1">
      <c r="A166" s="1323">
        <v>18</v>
      </c>
      <c r="B166" s="1048" t="s">
        <v>1087</v>
      </c>
      <c r="C166" s="4">
        <f>'2-38'!H835</f>
        <v>8302.5</v>
      </c>
      <c r="D166" s="1046">
        <f>'2-38'!K835</f>
        <v>328</v>
      </c>
      <c r="E166" s="1046">
        <v>3</v>
      </c>
      <c r="F166" s="1047">
        <f>'2-38'!L835</f>
        <v>11161450</v>
      </c>
    </row>
    <row r="167" spans="1:6" s="1044" customFormat="1" ht="16.899999999999999" customHeight="1">
      <c r="A167" s="1323">
        <v>19</v>
      </c>
      <c r="B167" s="1048" t="s">
        <v>2051</v>
      </c>
      <c r="C167" s="4">
        <f>'2-38'!H839</f>
        <v>844.8</v>
      </c>
      <c r="D167" s="1046">
        <f>'2-38'!K839</f>
        <v>30</v>
      </c>
      <c r="E167" s="1046">
        <v>1</v>
      </c>
      <c r="F167" s="1047">
        <f>'2-38'!L839</f>
        <v>1808834</v>
      </c>
    </row>
    <row r="168" spans="1:6" s="1044" customFormat="1" ht="16.899999999999999" customHeight="1">
      <c r="A168" s="1323">
        <v>20</v>
      </c>
      <c r="B168" s="1048" t="s">
        <v>1042</v>
      </c>
      <c r="C168" s="4">
        <f>'2-38'!H841</f>
        <v>2332.1</v>
      </c>
      <c r="D168" s="1046">
        <f>'2-38'!K841</f>
        <v>95</v>
      </c>
      <c r="E168" s="1046">
        <v>3</v>
      </c>
      <c r="F168" s="1047">
        <f>'2-38'!L841</f>
        <v>7623339.5099999998</v>
      </c>
    </row>
    <row r="169" spans="1:6" s="1044" customFormat="1" ht="16.899999999999999" customHeight="1">
      <c r="A169" s="1323">
        <v>21</v>
      </c>
      <c r="B169" s="1048" t="s">
        <v>2004</v>
      </c>
      <c r="C169" s="4">
        <f>'2-38'!H845</f>
        <v>400.9</v>
      </c>
      <c r="D169" s="1046">
        <f>'2-38'!K845</f>
        <v>24</v>
      </c>
      <c r="E169" s="1046">
        <v>1</v>
      </c>
      <c r="F169" s="1047">
        <f>'2-38'!L845</f>
        <v>2757759.15</v>
      </c>
    </row>
    <row r="170" spans="1:6" s="1044" customFormat="1" ht="16.899999999999999" customHeight="1">
      <c r="A170" s="1323">
        <v>22</v>
      </c>
      <c r="B170" s="1048" t="s">
        <v>2016</v>
      </c>
      <c r="C170" s="4">
        <f>'2-38'!H847</f>
        <v>363.1</v>
      </c>
      <c r="D170" s="1046">
        <f>'2-38'!K847</f>
        <v>15</v>
      </c>
      <c r="E170" s="1046">
        <v>1</v>
      </c>
      <c r="F170" s="1047">
        <f>'2-38'!L847</f>
        <v>1326764</v>
      </c>
    </row>
    <row r="171" spans="1:6" s="1044" customFormat="1" ht="16.899999999999999" customHeight="1">
      <c r="A171" s="1323"/>
      <c r="B171" s="1049" t="s">
        <v>50</v>
      </c>
      <c r="C171" s="4">
        <f>C172</f>
        <v>1063.5999999999999</v>
      </c>
      <c r="D171" s="1046">
        <f t="shared" ref="D171:F171" si="22">D172</f>
        <v>41</v>
      </c>
      <c r="E171" s="1046">
        <v>2</v>
      </c>
      <c r="F171" s="1047">
        <f t="shared" si="22"/>
        <v>4066007.92</v>
      </c>
    </row>
    <row r="172" spans="1:6" s="1044" customFormat="1" ht="16.899999999999999" customHeight="1">
      <c r="A172" s="1323">
        <v>23</v>
      </c>
      <c r="B172" s="1048" t="s">
        <v>1028</v>
      </c>
      <c r="C172" s="4">
        <f>'2-38'!H850</f>
        <v>1063.5999999999999</v>
      </c>
      <c r="D172" s="1046">
        <f>'2-38'!K850</f>
        <v>41</v>
      </c>
      <c r="E172" s="1046">
        <v>2</v>
      </c>
      <c r="F172" s="1047">
        <f>'2-38'!L850</f>
        <v>4066007.92</v>
      </c>
    </row>
    <row r="173" spans="1:6" s="1044" customFormat="1" ht="16.899999999999999" customHeight="1">
      <c r="A173" s="1323">
        <v>24</v>
      </c>
      <c r="B173" s="1049" t="s">
        <v>1067</v>
      </c>
      <c r="C173" s="4">
        <f>'2-38'!H853</f>
        <v>35080.299999999996</v>
      </c>
      <c r="D173" s="1046">
        <f>'2-38'!K853</f>
        <v>1173</v>
      </c>
      <c r="E173" s="1046">
        <v>27</v>
      </c>
      <c r="F173" s="1047">
        <f>'2-38'!L853</f>
        <v>52403248.219999991</v>
      </c>
    </row>
    <row r="174" spans="1:6" s="1044" customFormat="1" ht="16.899999999999999" customHeight="1">
      <c r="A174" s="1323">
        <v>25</v>
      </c>
      <c r="B174" s="1049" t="s">
        <v>1254</v>
      </c>
      <c r="C174" s="4">
        <f>'2-38'!H881</f>
        <v>6389.5</v>
      </c>
      <c r="D174" s="1041">
        <f>'2-38'!K881</f>
        <v>213</v>
      </c>
      <c r="E174" s="1041">
        <v>6</v>
      </c>
      <c r="F174" s="1047">
        <f>'2-38'!L881</f>
        <v>15617979.109999999</v>
      </c>
    </row>
    <row r="175" spans="1:6" s="1044" customFormat="1" ht="16.899999999999999" customHeight="1">
      <c r="A175" s="1323"/>
      <c r="B175" s="1049" t="s">
        <v>53</v>
      </c>
      <c r="C175" s="4">
        <f>C176+C177+C178+C179+C180+C181+C182+C183+C184</f>
        <v>78926.3</v>
      </c>
      <c r="D175" s="4">
        <f t="shared" ref="D175:F175" si="23">D176+D177+D178+D179+D180+D181+D182+D183+D184</f>
        <v>2881</v>
      </c>
      <c r="E175" s="4">
        <f t="shared" si="23"/>
        <v>31</v>
      </c>
      <c r="F175" s="1047">
        <f t="shared" si="23"/>
        <v>131439315.75000001</v>
      </c>
    </row>
    <row r="176" spans="1:6" s="1044" customFormat="1" ht="16.899999999999999" customHeight="1">
      <c r="A176" s="1323">
        <v>26</v>
      </c>
      <c r="B176" s="1048" t="s">
        <v>1029</v>
      </c>
      <c r="C176" s="4">
        <f>'2-38'!H889</f>
        <v>59418.400000000001</v>
      </c>
      <c r="D176" s="1046">
        <f>'2-38'!K889</f>
        <v>2070</v>
      </c>
      <c r="E176" s="1046">
        <v>12</v>
      </c>
      <c r="F176" s="1047">
        <f>'2-38'!L889</f>
        <v>95852292.800000012</v>
      </c>
    </row>
    <row r="177" spans="1:6" s="1044" customFormat="1" ht="16.899999999999999" customHeight="1">
      <c r="A177" s="1323">
        <v>27</v>
      </c>
      <c r="B177" s="1048" t="s">
        <v>1096</v>
      </c>
      <c r="C177" s="4">
        <f>'2-38'!H902</f>
        <v>525.4</v>
      </c>
      <c r="D177" s="1046">
        <f>'2-38'!K902</f>
        <v>24</v>
      </c>
      <c r="E177" s="1046">
        <v>1</v>
      </c>
      <c r="F177" s="1047">
        <f>'2-38'!L902</f>
        <v>1992274</v>
      </c>
    </row>
    <row r="178" spans="1:6" s="1044" customFormat="1" ht="16.899999999999999" customHeight="1">
      <c r="A178" s="1323">
        <v>28</v>
      </c>
      <c r="B178" s="1048" t="s">
        <v>1037</v>
      </c>
      <c r="C178" s="4">
        <f>'2-38'!H904</f>
        <v>2543.3999999999996</v>
      </c>
      <c r="D178" s="1046">
        <f>'2-38'!K904</f>
        <v>87</v>
      </c>
      <c r="E178" s="1046">
        <v>3</v>
      </c>
      <c r="F178" s="1047">
        <f>'2-38'!L904</f>
        <v>6487484</v>
      </c>
    </row>
    <row r="179" spans="1:6" s="1044" customFormat="1" ht="16.899999999999999" customHeight="1">
      <c r="A179" s="1323">
        <v>29</v>
      </c>
      <c r="B179" s="1048" t="s">
        <v>1038</v>
      </c>
      <c r="C179" s="4">
        <f>'2-38'!H908</f>
        <v>1179.0999999999999</v>
      </c>
      <c r="D179" s="1046">
        <f>'2-38'!K908</f>
        <v>42</v>
      </c>
      <c r="E179" s="1046">
        <v>2</v>
      </c>
      <c r="F179" s="1047">
        <f>'2-38'!L908</f>
        <v>3195064</v>
      </c>
    </row>
    <row r="180" spans="1:6" s="1044" customFormat="1" ht="16.899999999999999" customHeight="1">
      <c r="A180" s="1323">
        <v>30</v>
      </c>
      <c r="B180" s="1048" t="s">
        <v>2017</v>
      </c>
      <c r="C180" s="4">
        <f>'2-38'!H911</f>
        <v>5460.2000000000007</v>
      </c>
      <c r="D180" s="1046">
        <f>'2-38'!K911</f>
        <v>268</v>
      </c>
      <c r="E180" s="1046">
        <v>7</v>
      </c>
      <c r="F180" s="1047">
        <f>'2-38'!L911</f>
        <v>9482659.9500000011</v>
      </c>
    </row>
    <row r="181" spans="1:6" s="1044" customFormat="1" ht="16.899999999999999" customHeight="1">
      <c r="A181" s="1323">
        <v>31</v>
      </c>
      <c r="B181" s="1048" t="s">
        <v>2028</v>
      </c>
      <c r="C181" s="4">
        <f>'2-38'!H919</f>
        <v>5924.3</v>
      </c>
      <c r="D181" s="1046">
        <f>'2-38'!K919</f>
        <v>217</v>
      </c>
      <c r="E181" s="1046">
        <v>1</v>
      </c>
      <c r="F181" s="1047">
        <f>'2-38'!L919</f>
        <v>4707741</v>
      </c>
    </row>
    <row r="182" spans="1:6" s="1044" customFormat="1" ht="16.899999999999999" customHeight="1">
      <c r="A182" s="1323">
        <v>32</v>
      </c>
      <c r="B182" s="1048" t="s">
        <v>2031</v>
      </c>
      <c r="C182" s="4">
        <f>'2-38'!H921</f>
        <v>2698</v>
      </c>
      <c r="D182" s="1046">
        <f>'2-38'!K921</f>
        <v>132</v>
      </c>
      <c r="E182" s="1046">
        <v>3</v>
      </c>
      <c r="F182" s="1047">
        <f>'2-38'!L921</f>
        <v>7101699</v>
      </c>
    </row>
    <row r="183" spans="1:6" s="1044" customFormat="1" ht="16.899999999999999" customHeight="1">
      <c r="A183" s="1323">
        <v>33</v>
      </c>
      <c r="B183" s="1048" t="s">
        <v>1039</v>
      </c>
      <c r="C183" s="4">
        <f>'2-38'!H925</f>
        <v>432.6</v>
      </c>
      <c r="D183" s="1046">
        <f>'2-38'!K925</f>
        <v>9</v>
      </c>
      <c r="E183" s="1046">
        <v>1</v>
      </c>
      <c r="F183" s="1047">
        <f>'2-38'!L925</f>
        <v>255847</v>
      </c>
    </row>
    <row r="184" spans="1:6" s="1044" customFormat="1" ht="16.899999999999999" customHeight="1">
      <c r="A184" s="1323">
        <v>34</v>
      </c>
      <c r="B184" s="1048" t="s">
        <v>2055</v>
      </c>
      <c r="C184" s="4">
        <f>'2-38'!H927</f>
        <v>744.9</v>
      </c>
      <c r="D184" s="1046">
        <f>'2-38'!K927</f>
        <v>32</v>
      </c>
      <c r="E184" s="1046">
        <v>1</v>
      </c>
      <c r="F184" s="1047">
        <f>'2-38'!L927</f>
        <v>2364254</v>
      </c>
    </row>
    <row r="185" spans="1:6" s="1044" customFormat="1" ht="16.899999999999999" customHeight="1">
      <c r="A185" s="1323">
        <v>35</v>
      </c>
      <c r="B185" s="1049" t="s">
        <v>1099</v>
      </c>
      <c r="C185" s="4">
        <f>'2-38'!H929</f>
        <v>2797.7000000000003</v>
      </c>
      <c r="D185" s="1046">
        <f>'2-38'!K929</f>
        <v>110</v>
      </c>
      <c r="E185" s="1046">
        <v>6</v>
      </c>
      <c r="F185" s="1047">
        <f>'2-38'!L929</f>
        <v>13173642.190000001</v>
      </c>
    </row>
    <row r="186" spans="1:6" s="1044" customFormat="1" ht="16.899999999999999" customHeight="1">
      <c r="A186" s="1323"/>
      <c r="B186" s="1049" t="s">
        <v>55</v>
      </c>
      <c r="C186" s="4">
        <f>C187</f>
        <v>4801.7</v>
      </c>
      <c r="D186" s="1046">
        <f t="shared" ref="D186:F186" si="24">D187</f>
        <v>164</v>
      </c>
      <c r="E186" s="1046">
        <f t="shared" si="24"/>
        <v>8</v>
      </c>
      <c r="F186" s="1047">
        <f t="shared" si="24"/>
        <v>16464553.729999999</v>
      </c>
    </row>
    <row r="187" spans="1:6" s="1044" customFormat="1" ht="16.899999999999999" customHeight="1">
      <c r="A187" s="1323">
        <v>36</v>
      </c>
      <c r="B187" s="1048" t="s">
        <v>1034</v>
      </c>
      <c r="C187" s="4">
        <f>'2-38'!H937</f>
        <v>4801.7</v>
      </c>
      <c r="D187" s="1046">
        <f>'2-38'!K937</f>
        <v>164</v>
      </c>
      <c r="E187" s="1046">
        <v>8</v>
      </c>
      <c r="F187" s="1047">
        <f>'2-38'!L937</f>
        <v>16464553.729999999</v>
      </c>
    </row>
    <row r="188" spans="1:6" s="1044" customFormat="1" ht="16.899999999999999" customHeight="1">
      <c r="A188" s="1323">
        <v>37</v>
      </c>
      <c r="B188" s="1049" t="s">
        <v>1121</v>
      </c>
      <c r="C188" s="4">
        <f>'2-38'!H946</f>
        <v>32867.800000000003</v>
      </c>
      <c r="D188" s="1046">
        <f>'2-38'!K946</f>
        <v>1395</v>
      </c>
      <c r="E188" s="1046">
        <v>24</v>
      </c>
      <c r="F188" s="1047">
        <f>'2-38'!L946</f>
        <v>60215452.650000006</v>
      </c>
    </row>
    <row r="189" spans="1:6" s="1044" customFormat="1" ht="16.899999999999999" customHeight="1">
      <c r="A189" s="1323">
        <v>38</v>
      </c>
      <c r="B189" s="1049" t="s">
        <v>2059</v>
      </c>
      <c r="C189" s="4">
        <f>'2-38'!H971</f>
        <v>808</v>
      </c>
      <c r="D189" s="1046">
        <f>'2-38'!K971</f>
        <v>25</v>
      </c>
      <c r="E189" s="1046">
        <v>1</v>
      </c>
      <c r="F189" s="1047">
        <f>'2-38'!L971</f>
        <v>3004703.75</v>
      </c>
    </row>
    <row r="190" spans="1:6" s="1044" customFormat="1" ht="16.899999999999999" customHeight="1">
      <c r="A190" s="1323">
        <v>39</v>
      </c>
      <c r="B190" s="1049" t="s">
        <v>1066</v>
      </c>
      <c r="C190" s="4">
        <f>'2-38'!H973</f>
        <v>6992.2</v>
      </c>
      <c r="D190" s="1046">
        <f>'2-38'!K973</f>
        <v>215</v>
      </c>
      <c r="E190" s="1046">
        <v>8</v>
      </c>
      <c r="F190" s="1047">
        <f>'2-38'!L973</f>
        <v>18759633.469999999</v>
      </c>
    </row>
    <row r="191" spans="1:6" s="1044" customFormat="1" ht="16.899999999999999" customHeight="1">
      <c r="A191" s="1323">
        <v>40</v>
      </c>
      <c r="B191" s="1049" t="s">
        <v>1050</v>
      </c>
      <c r="C191" s="4">
        <f>'2-38'!H982</f>
        <v>20045.2</v>
      </c>
      <c r="D191" s="1046">
        <f>'2-38'!K982</f>
        <v>665</v>
      </c>
      <c r="E191" s="1046">
        <v>12</v>
      </c>
      <c r="F191" s="1047">
        <f>'2-38'!L982</f>
        <v>36389188.410000004</v>
      </c>
    </row>
    <row r="192" spans="1:6" s="1044" customFormat="1" ht="16.899999999999999" customHeight="1">
      <c r="A192" s="1323">
        <v>41</v>
      </c>
      <c r="B192" s="1049" t="s">
        <v>2046</v>
      </c>
      <c r="C192" s="4">
        <f>'2-38'!H995</f>
        <v>1647</v>
      </c>
      <c r="D192" s="1046">
        <f>'2-38'!K995</f>
        <v>45</v>
      </c>
      <c r="E192" s="1046">
        <v>2</v>
      </c>
      <c r="F192" s="1047">
        <f>'2-38'!L995</f>
        <v>14648449.309999999</v>
      </c>
    </row>
    <row r="193" spans="1:6" s="1044" customFormat="1" ht="16.899999999999999" customHeight="1">
      <c r="A193" s="1323">
        <v>42</v>
      </c>
      <c r="B193" s="1048" t="s">
        <v>1118</v>
      </c>
      <c r="C193" s="4">
        <f>'2-38'!H998</f>
        <v>2532.3000000000002</v>
      </c>
      <c r="D193" s="1046">
        <f>'2-38'!K998</f>
        <v>126</v>
      </c>
      <c r="E193" s="1046">
        <v>3</v>
      </c>
      <c r="F193" s="1047">
        <f>'2-38'!L998</f>
        <v>7002836.7800000003</v>
      </c>
    </row>
    <row r="194" spans="1:6" s="1044" customFormat="1" ht="16.899999999999999" customHeight="1">
      <c r="A194" s="1323">
        <v>43</v>
      </c>
      <c r="B194" s="1048" t="s">
        <v>2005</v>
      </c>
      <c r="C194" s="4">
        <v>975.3</v>
      </c>
      <c r="D194" s="1046">
        <v>27</v>
      </c>
      <c r="E194" s="1046">
        <v>2</v>
      </c>
      <c r="F194" s="1047">
        <v>3611200.94</v>
      </c>
    </row>
    <row r="195" spans="1:6" s="1044" customFormat="1" ht="16.899999999999999" customHeight="1">
      <c r="A195" s="1323">
        <v>44</v>
      </c>
      <c r="B195" s="1049" t="s">
        <v>1100</v>
      </c>
      <c r="C195" s="4">
        <f>'2-38'!H1005</f>
        <v>7034.2</v>
      </c>
      <c r="D195" s="1046">
        <f>'2-38'!K1005</f>
        <v>267</v>
      </c>
      <c r="E195" s="1046">
        <v>5</v>
      </c>
      <c r="F195" s="1047">
        <f>'2-38'!L1005</f>
        <v>13889826.600000001</v>
      </c>
    </row>
    <row r="196" spans="1:6" s="1044" customFormat="1" ht="16.899999999999999" customHeight="1">
      <c r="A196" s="1323">
        <v>45</v>
      </c>
      <c r="B196" s="1049" t="s">
        <v>1239</v>
      </c>
      <c r="C196" s="4">
        <f>'2-38'!H1011</f>
        <v>1366.5</v>
      </c>
      <c r="D196" s="1046">
        <f>'2-38'!K1011</f>
        <v>56</v>
      </c>
      <c r="E196" s="1046">
        <v>2</v>
      </c>
      <c r="F196" s="1047">
        <f>'2-38'!L1011</f>
        <v>4992786.5399999991</v>
      </c>
    </row>
    <row r="197" spans="1:6" s="1044" customFormat="1" ht="16.899999999999999" customHeight="1">
      <c r="A197" s="1323">
        <v>46</v>
      </c>
      <c r="B197" s="1049" t="s">
        <v>1117</v>
      </c>
      <c r="C197" s="4">
        <f>'2-38'!H1014</f>
        <v>1827.8000000000002</v>
      </c>
      <c r="D197" s="1046">
        <f>'2-38'!K1014</f>
        <v>48</v>
      </c>
      <c r="E197" s="1046">
        <v>2</v>
      </c>
      <c r="F197" s="1047">
        <f>'2-38'!L1014</f>
        <v>4106879</v>
      </c>
    </row>
    <row r="198" spans="1:6" s="1044" customFormat="1" ht="16.899999999999999" customHeight="1">
      <c r="A198" s="1323">
        <v>47</v>
      </c>
      <c r="B198" s="1048" t="s">
        <v>1256</v>
      </c>
      <c r="C198" s="4">
        <f>'2-38'!H1017</f>
        <v>10338.6</v>
      </c>
      <c r="D198" s="1046">
        <f>'2-38'!K1017</f>
        <v>419</v>
      </c>
      <c r="E198" s="1046">
        <v>13</v>
      </c>
      <c r="F198" s="1047">
        <f>'2-38'!L1017</f>
        <v>35375596.030000001</v>
      </c>
    </row>
    <row r="199" spans="1:6" s="1044" customFormat="1" ht="16.899999999999999" customHeight="1">
      <c r="A199" s="1323"/>
      <c r="B199" s="1048" t="s">
        <v>211</v>
      </c>
      <c r="C199" s="4">
        <f>C200</f>
        <v>494.8</v>
      </c>
      <c r="D199" s="4">
        <f t="shared" ref="D199:F199" si="25">D200</f>
        <v>12</v>
      </c>
      <c r="E199" s="4">
        <f t="shared" si="25"/>
        <v>1</v>
      </c>
      <c r="F199" s="1047">
        <f t="shared" si="25"/>
        <v>1537679</v>
      </c>
    </row>
    <row r="200" spans="1:6" s="1044" customFormat="1" ht="16.899999999999999" customHeight="1">
      <c r="A200" s="1323">
        <v>48</v>
      </c>
      <c r="B200" s="1048" t="s">
        <v>2029</v>
      </c>
      <c r="C200" s="4">
        <f>'2-38'!H1032</f>
        <v>494.8</v>
      </c>
      <c r="D200" s="1046">
        <f>'2-38'!K1032</f>
        <v>12</v>
      </c>
      <c r="E200" s="1046">
        <v>1</v>
      </c>
      <c r="F200" s="1047">
        <f>'2-38'!L1032</f>
        <v>1537679</v>
      </c>
    </row>
    <row r="201" spans="1:6" s="1044" customFormat="1" ht="16.899999999999999" customHeight="1">
      <c r="A201" s="1323"/>
      <c r="B201" s="1048" t="s">
        <v>66</v>
      </c>
      <c r="C201" s="4">
        <f>C202</f>
        <v>741.2</v>
      </c>
      <c r="D201" s="4">
        <f t="shared" ref="D201:F201" si="26">D202</f>
        <v>35</v>
      </c>
      <c r="E201" s="4">
        <f t="shared" si="26"/>
        <v>2</v>
      </c>
      <c r="F201" s="1047">
        <f t="shared" si="26"/>
        <v>2913878.0300000003</v>
      </c>
    </row>
    <row r="202" spans="1:6" s="1044" customFormat="1" ht="16.5" customHeight="1">
      <c r="A202" s="1323">
        <v>49</v>
      </c>
      <c r="B202" s="1048" t="s">
        <v>1035</v>
      </c>
      <c r="C202" s="4">
        <f>'2-38'!H1035</f>
        <v>741.2</v>
      </c>
      <c r="D202" s="1046">
        <f>'2-38'!K1035</f>
        <v>35</v>
      </c>
      <c r="E202" s="1046">
        <v>2</v>
      </c>
      <c r="F202" s="1047">
        <f>'2-38'!L1035</f>
        <v>2913878.0300000003</v>
      </c>
    </row>
    <row r="203" spans="1:6" s="1044" customFormat="1" ht="16.899999999999999" customHeight="1">
      <c r="A203" s="1323">
        <v>50</v>
      </c>
      <c r="B203" s="1048" t="s">
        <v>1053</v>
      </c>
      <c r="C203" s="4">
        <f>'2-38'!H1038</f>
        <v>35876.15</v>
      </c>
      <c r="D203" s="1046">
        <f>'2-38'!K1039</f>
        <v>320</v>
      </c>
      <c r="E203" s="1046">
        <v>7</v>
      </c>
      <c r="F203" s="1047">
        <f>'2-38'!L1038</f>
        <v>37279404.839999996</v>
      </c>
    </row>
    <row r="204" spans="1:6" s="1044" customFormat="1" ht="16.899999999999999" customHeight="1">
      <c r="A204" s="1323"/>
      <c r="B204" s="1040" t="s">
        <v>67</v>
      </c>
      <c r="C204" s="4">
        <f>C206+C205</f>
        <v>2929.9</v>
      </c>
      <c r="D204" s="4">
        <f t="shared" ref="D204:F204" si="27">D206+D205</f>
        <v>132</v>
      </c>
      <c r="E204" s="4">
        <f t="shared" si="27"/>
        <v>5</v>
      </c>
      <c r="F204" s="1047">
        <f t="shared" si="27"/>
        <v>6477572.2299999995</v>
      </c>
    </row>
    <row r="205" spans="1:6">
      <c r="A205" s="1323">
        <v>51</v>
      </c>
      <c r="B205" s="1048" t="s">
        <v>1065</v>
      </c>
      <c r="C205" s="4">
        <f>'2-38'!H1051</f>
        <v>1085.9000000000001</v>
      </c>
      <c r="D205" s="1046">
        <f>'2-38'!K1051</f>
        <v>36</v>
      </c>
      <c r="E205" s="1046">
        <v>2</v>
      </c>
      <c r="F205" s="1047">
        <f>'2-38'!L1051</f>
        <v>1020196.75</v>
      </c>
    </row>
    <row r="206" spans="1:6">
      <c r="A206" s="1323">
        <v>52</v>
      </c>
      <c r="B206" s="1048" t="s">
        <v>1081</v>
      </c>
      <c r="C206" s="4">
        <f>'2-38'!H1047</f>
        <v>1844</v>
      </c>
      <c r="D206" s="1046">
        <f>'2-38'!K1047</f>
        <v>96</v>
      </c>
      <c r="E206" s="1046">
        <v>3</v>
      </c>
      <c r="F206" s="1047">
        <f>'2-38'!L1047</f>
        <v>5457375.4799999995</v>
      </c>
    </row>
    <row r="207" spans="1:6">
      <c r="F207" s="1092" t="s">
        <v>1196</v>
      </c>
    </row>
  </sheetData>
  <autoFilter ref="A5:F206" xr:uid="{00000000-0009-0000-0000-000006000000}"/>
  <customSheetViews>
    <customSheetView guid="{DC88C499-913F-4D15-846E-E5B9D5E047D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1"/>
      <headerFooter>
        <oddHeader>&amp;C&amp;"Times New Roman,обычный"&amp;14&amp;P</oddHeader>
      </headerFooter>
      <autoFilter ref="A5:F327" xr:uid="{00000000-0000-0000-0000-000000000000}"/>
    </customSheetView>
    <customSheetView guid="{A6187BD3-0BA4-497C-8924-4FA3D77530F0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2"/>
      <headerFooter>
        <oddHeader>&amp;C&amp;"Times New Roman,обычный"&amp;14&amp;P</oddHeader>
      </headerFooter>
      <autoFilter ref="A5:F327" xr:uid="{00000000-0000-0000-0000-000000000000}"/>
    </customSheetView>
    <customSheetView guid="{7A75CCE7-0E84-47E6-A162-5AC0354F296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3"/>
      <headerFooter>
        <oddHeader>&amp;C&amp;"Times New Roman,обычный"&amp;14&amp;P</oddHeader>
      </headerFooter>
      <autoFilter ref="A5:F327" xr:uid="{00000000-0000-0000-0000-000000000000}"/>
    </customSheetView>
    <customSheetView guid="{144E5A37-1CF2-41F0-BEF8-CB5D4D392E2A}" scale="73" showPageBreaks="1" fitToPage="1" printArea="1" showAutoFilter="1" view="pageBreakPreview">
      <pane xSplit="4" ySplit="5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4"/>
      <headerFooter>
        <oddHeader>&amp;C&amp;"Times New Roman,обычный"&amp;14&amp;P</oddHeader>
      </headerFooter>
      <autoFilter ref="A5:F327" xr:uid="{00000000-0000-0000-0000-000000000000}"/>
    </customSheetView>
    <customSheetView guid="{A28C0ADC-4E0C-4A0A-ACB1-DA409183476D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5"/>
      <headerFooter>
        <oddHeader>&amp;C&amp;"Times New Roman,обычный"&amp;14&amp;P</oddHeader>
      </headerFooter>
      <autoFilter ref="A5:F327" xr:uid="{00000000-0000-0000-0000-000000000000}"/>
    </customSheetView>
    <customSheetView guid="{B1841E62-04AF-4786-8B2B-B1F42C88E6D1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6"/>
      <headerFooter>
        <oddHeader>&amp;C&amp;"Times New Roman,обычный"&amp;14&amp;P</oddHeader>
      </headerFooter>
      <autoFilter ref="A5:F327" xr:uid="{00000000-0000-0000-0000-000000000000}"/>
    </customSheetView>
    <customSheetView guid="{570403C4-1D93-4175-B4D8-BD47D46CE99C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7"/>
      <headerFooter>
        <oddHeader>&amp;C&amp;"Times New Roman,обычный"&amp;14&amp;P</oddHeader>
      </headerFooter>
      <autoFilter ref="A5:F327" xr:uid="{00000000-0000-0000-0000-000000000000}"/>
    </customSheetView>
    <customSheetView guid="{4C44C113-DA02-468D-99C5-83FA6693F42F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8"/>
      <headerFooter>
        <oddHeader>&amp;C&amp;"Times New Roman,обычный"&amp;14&amp;P</oddHeader>
      </headerFooter>
      <autoFilter ref="A5:F327" xr:uid="{00000000-0000-0000-0000-000000000000}"/>
    </customSheetView>
    <customSheetView guid="{DFE5B545-478C-4B86-847C-1FEE882C6F69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9"/>
      <headerFooter>
        <oddHeader>&amp;C&amp;"Times New Roman,обычный"&amp;14&amp;P</oddHeader>
      </headerFooter>
      <autoFilter ref="A5:F327" xr:uid="{00000000-0000-0000-0000-000000000000}"/>
    </customSheetView>
    <customSheetView guid="{971AA6D5-B469-4A54-816C-1252CCB6D265}" scale="90" showPageBreaks="1" fitToPage="1" printArea="1" showAutoFilter="1" view="pageBreakPreview">
      <pane xSplit="5" ySplit="6" topLeftCell="F121" activePane="bottomRight" state="frozen"/>
      <selection pane="bottomRight" activeCell="A249" sqref="A249"/>
      <pageMargins left="0.62992125984251968" right="0.51181102362204722" top="0.82677165354330717" bottom="0.43307086614173229" header="0.51181102362204722" footer="0.31496062992125984"/>
      <printOptions horizontalCentered="1"/>
      <pageSetup paperSize="9" scale="81" firstPageNumber="100" fitToHeight="0" orientation="landscape" useFirstPageNumber="1" r:id="rId10"/>
      <headerFooter>
        <oddHeader>&amp;C&amp;"Times New Roman,обычный"&amp;12&amp;P</oddHeader>
      </headerFooter>
      <autoFilter ref="A5:F248" xr:uid="{00000000-0000-0000-0000-000000000000}"/>
    </customSheetView>
  </customSheetViews>
  <mergeCells count="12">
    <mergeCell ref="A144:F144"/>
    <mergeCell ref="A8:F8"/>
    <mergeCell ref="A58:F58"/>
    <mergeCell ref="A94:F94"/>
    <mergeCell ref="A1:F1"/>
    <mergeCell ref="A2:A4"/>
    <mergeCell ref="B2:B4"/>
    <mergeCell ref="C2:C3"/>
    <mergeCell ref="D2:D3"/>
    <mergeCell ref="E2:E3"/>
    <mergeCell ref="F2:F3"/>
    <mergeCell ref="A6:F6"/>
  </mergeCells>
  <printOptions horizontalCentered="1"/>
  <pageMargins left="0.39370078740157483" right="0.39370078740157483" top="1.1811023622047245" bottom="0.39370078740157483" header="0.70866141732283472" footer="0.31496062992125984"/>
  <pageSetup paperSize="9" scale="84" firstPageNumber="67" fitToHeight="0" orientation="landscape" useFirstPageNumber="1" r:id="rId1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часть 1</vt:lpstr>
      <vt:lpstr>часть 2</vt:lpstr>
      <vt:lpstr>часть 3</vt:lpstr>
      <vt:lpstr>№ п-п</vt:lpstr>
      <vt:lpstr>2-38</vt:lpstr>
      <vt:lpstr>39-66</vt:lpstr>
      <vt:lpstr>67-73</vt:lpstr>
      <vt:lpstr>'2-38'!Заголовки_для_печати</vt:lpstr>
      <vt:lpstr>'39-66'!Заголовки_для_печати</vt:lpstr>
      <vt:lpstr>'67-73'!Заголовки_для_печати</vt:lpstr>
      <vt:lpstr>'часть 1'!Заголовки_для_печати</vt:lpstr>
      <vt:lpstr>'часть 2'!Заголовки_для_печати</vt:lpstr>
      <vt:lpstr>'часть 3'!Заголовки_для_печати</vt:lpstr>
      <vt:lpstr>'2-38'!Область_печати</vt:lpstr>
      <vt:lpstr>'39-66'!Область_печати</vt:lpstr>
      <vt:lpstr>'67-73'!Область_печати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Ольга Костоусова</cp:lastModifiedBy>
  <cp:lastPrinted>2022-12-31T06:47:28Z</cp:lastPrinted>
  <dcterms:created xsi:type="dcterms:W3CDTF">2012-12-13T11:50:40Z</dcterms:created>
  <dcterms:modified xsi:type="dcterms:W3CDTF">2023-02-17T15:09:40Z</dcterms:modified>
</cp:coreProperties>
</file>